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teea\Documents\NRPortbl\LEGAL\STEEA\"/>
    </mc:Choice>
  </mc:AlternateContent>
  <xr:revisionPtr revIDLastSave="0" documentId="13_ncr:1_{601F46B7-EA50-4B71-AD9D-53D7604D1FF4}" xr6:coauthVersionLast="41" xr6:coauthVersionMax="41" xr10:uidLastSave="{00000000-0000-0000-0000-000000000000}"/>
  <bookViews>
    <workbookView xWindow="28690" yWindow="-110" windowWidth="29020" windowHeight="15820" xr2:uid="{00000000-000D-0000-FFFF-FFFF00000000}"/>
  </bookViews>
  <sheets>
    <sheet name="Attachment A" sheetId="9" r:id="rId1"/>
    <sheet name="Summary" sheetId="5" r:id="rId2"/>
    <sheet name="Original Summary" sheetId="4" r:id="rId3"/>
    <sheet name="Sch 141x &amp; 141z (Usage)" sheetId="1" r:id="rId4"/>
    <sheet name="Sch 141x &amp; 141z (Ratebase)" sheetId="2" r:id="rId5"/>
    <sheet name="Exhibit No.__(JAP-Prof-Prop)" sheetId="6" r:id="rId6"/>
    <sheet name="Exhibit No.__(JAP-TRANSP RD)" sheetId="7" r:id="rId7"/>
    <sheet name="COS Ratebase" sheetId="3" r:id="rId8"/>
    <sheet name="COS Ratebase by Function" sheetId="8" r:id="rId9"/>
  </sheets>
  <externalReferences>
    <externalReference r:id="rId10"/>
    <externalReference r:id="rId11"/>
  </externalReferences>
  <definedNames>
    <definedName name="_xlnm.Print_Area" localSheetId="5">'Exhibit No.__(JAP-Prof-Prop)'!$A$1:$M$50</definedName>
    <definedName name="_xlnm.Print_Area" localSheetId="4">'Sch 141x &amp; 141z (Ratebase)'!$A$1:$I$47</definedName>
    <definedName name="_xlnm.Print_Area" localSheetId="3">'Sch 141x &amp; 141z (Usage)'!$A$1:$H$47</definedName>
    <definedName name="_xlnm.Print_Area" localSheetId="1">Summary!$A$1:$L$23</definedName>
  </definedName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7" l="1"/>
  <c r="H23" i="7" s="1"/>
  <c r="G14" i="7"/>
  <c r="H14" i="7" s="1"/>
  <c r="M153" i="3"/>
  <c r="M154" i="3" s="1"/>
  <c r="H36" i="2" s="1"/>
  <c r="H25" i="7" l="1"/>
  <c r="Q19" i="5"/>
  <c r="G25" i="7"/>
  <c r="Q22" i="5" s="1"/>
  <c r="Q21" i="5" s="1"/>
  <c r="Q20" i="5" s="1"/>
  <c r="Q18" i="5" s="1"/>
  <c r="Q17" i="5" s="1"/>
  <c r="Q16" i="5" s="1"/>
  <c r="Q15" i="5" s="1"/>
  <c r="Q14" i="5" s="1"/>
  <c r="Q13" i="5" s="1"/>
  <c r="Q12" i="5" s="1"/>
  <c r="Q11" i="5" s="1"/>
  <c r="Q9" i="5"/>
  <c r="Q10" i="5"/>
  <c r="I25" i="6"/>
  <c r="L31" i="6"/>
  <c r="L36" i="6"/>
  <c r="L41" i="6"/>
  <c r="G25" i="6"/>
  <c r="G45" i="6"/>
  <c r="G49" i="6" s="1"/>
  <c r="I45" i="6"/>
  <c r="I49" i="6" s="1"/>
  <c r="I52" i="6" s="1"/>
  <c r="A22" i="6"/>
  <c r="Q23" i="5" l="1"/>
  <c r="L45" i="6"/>
  <c r="L49" i="6" s="1"/>
  <c r="L52" i="6" s="1"/>
  <c r="A23" i="6"/>
  <c r="A24" i="6" l="1"/>
  <c r="A25" i="6" l="1"/>
  <c r="A28" i="6" s="1"/>
  <c r="A29" i="6" l="1"/>
  <c r="A30" i="6"/>
  <c r="A31" i="6" s="1"/>
  <c r="A34" i="6" l="1"/>
  <c r="A35" i="6" l="1"/>
  <c r="A36" i="6" l="1"/>
  <c r="A39" i="6" s="1"/>
  <c r="A40" i="6" s="1"/>
  <c r="A41" i="6" s="1"/>
  <c r="A43" i="6" l="1"/>
  <c r="A45" i="6" s="1"/>
  <c r="A47" i="6" s="1"/>
  <c r="A49" i="6" s="1"/>
  <c r="B16" i="5"/>
  <c r="A16" i="5"/>
  <c r="B22" i="5"/>
  <c r="A22" i="5"/>
  <c r="B21" i="5"/>
  <c r="A21" i="5"/>
  <c r="B20" i="5"/>
  <c r="A20" i="5"/>
  <c r="B19" i="5"/>
  <c r="A19" i="5"/>
  <c r="B18" i="5"/>
  <c r="A18" i="5"/>
  <c r="B17" i="5"/>
  <c r="A17" i="5"/>
  <c r="B15" i="5"/>
  <c r="A15" i="5"/>
  <c r="B14" i="5"/>
  <c r="A14" i="5"/>
  <c r="B13" i="5"/>
  <c r="A13" i="5"/>
  <c r="B12" i="5"/>
  <c r="A12" i="5"/>
  <c r="B11" i="5"/>
  <c r="A11" i="5"/>
  <c r="B10" i="5"/>
  <c r="A10" i="5"/>
  <c r="B9" i="5"/>
  <c r="A9" i="5"/>
  <c r="G32" i="4" l="1"/>
  <c r="G27" i="4"/>
  <c r="G22" i="4"/>
  <c r="G16" i="4"/>
  <c r="G9" i="4"/>
  <c r="A9" i="4"/>
  <c r="G38" i="2"/>
  <c r="G42" i="2" s="1"/>
  <c r="G46" i="2" s="1"/>
  <c r="G49" i="2" s="1"/>
  <c r="G33" i="2"/>
  <c r="G28" i="2"/>
  <c r="G22" i="2"/>
  <c r="G15" i="2"/>
  <c r="H20" i="2"/>
  <c r="H48" i="2"/>
  <c r="H44" i="2"/>
  <c r="H40" i="2"/>
  <c r="H37" i="2"/>
  <c r="H33" i="2"/>
  <c r="H27" i="2"/>
  <c r="H26" i="2"/>
  <c r="H25" i="2"/>
  <c r="H19" i="2"/>
  <c r="H18" i="2"/>
  <c r="H14" i="2"/>
  <c r="H15" i="2" s="1"/>
  <c r="G36" i="4" l="1"/>
  <c r="G40" i="4" s="1"/>
  <c r="G43" i="4" s="1"/>
  <c r="A12" i="4"/>
  <c r="A13" i="4"/>
  <c r="A14" i="4" s="1"/>
  <c r="L47" i="2"/>
  <c r="H38" i="2"/>
  <c r="H28" i="2"/>
  <c r="H22" i="2"/>
  <c r="A15" i="2"/>
  <c r="K47" i="1"/>
  <c r="A15" i="1"/>
  <c r="G15" i="1"/>
  <c r="G28" i="1"/>
  <c r="G33" i="1"/>
  <c r="G38" i="1"/>
  <c r="A15" i="4" l="1"/>
  <c r="H42" i="2"/>
  <c r="H46" i="2" s="1"/>
  <c r="A18" i="2"/>
  <c r="G22" i="1"/>
  <c r="G42" i="1" s="1"/>
  <c r="A18" i="1"/>
  <c r="A19" i="1" s="1"/>
  <c r="J42" i="2" l="1"/>
  <c r="J33" i="2"/>
  <c r="A16" i="4"/>
  <c r="A19" i="2"/>
  <c r="A20" i="2" s="1"/>
  <c r="H49" i="2"/>
  <c r="J46" i="2"/>
  <c r="J37" i="2"/>
  <c r="D20" i="5" s="1"/>
  <c r="J32" i="2"/>
  <c r="J27" i="2"/>
  <c r="D16" i="5" s="1"/>
  <c r="J25" i="2"/>
  <c r="D14" i="5" s="1"/>
  <c r="J20" i="2"/>
  <c r="D12" i="5" s="1"/>
  <c r="J18" i="2"/>
  <c r="D10" i="5" s="1"/>
  <c r="J36" i="2"/>
  <c r="D19" i="5" s="1"/>
  <c r="J21" i="2"/>
  <c r="L21" i="2" s="1"/>
  <c r="J44" i="2"/>
  <c r="D22" i="5" s="1"/>
  <c r="J40" i="2"/>
  <c r="D21" i="5" s="1"/>
  <c r="J31" i="2"/>
  <c r="J26" i="2"/>
  <c r="D15" i="5" s="1"/>
  <c r="J19" i="2"/>
  <c r="J14" i="2"/>
  <c r="D9" i="5" s="1"/>
  <c r="G46" i="1"/>
  <c r="I42" i="1"/>
  <c r="A20" i="1"/>
  <c r="A21" i="1" s="1"/>
  <c r="D11" i="5" l="1"/>
  <c r="L19" i="2"/>
  <c r="D18" i="5"/>
  <c r="D23" i="5" s="1"/>
  <c r="O33" i="2"/>
  <c r="P33" i="2" s="1"/>
  <c r="L33" i="2"/>
  <c r="M33" i="2" s="1"/>
  <c r="A19" i="4"/>
  <c r="A20" i="4"/>
  <c r="O26" i="2"/>
  <c r="L26" i="2"/>
  <c r="L36" i="2"/>
  <c r="O36" i="2"/>
  <c r="O21" i="2"/>
  <c r="L25" i="2"/>
  <c r="O25" i="2"/>
  <c r="L27" i="2"/>
  <c r="O27" i="2"/>
  <c r="L14" i="2"/>
  <c r="O14" i="2"/>
  <c r="L40" i="2"/>
  <c r="O40" i="2"/>
  <c r="O18" i="2"/>
  <c r="L18" i="2"/>
  <c r="A21" i="2"/>
  <c r="A22" i="2" s="1"/>
  <c r="O19" i="2"/>
  <c r="P19" i="2" s="1"/>
  <c r="O44" i="2"/>
  <c r="L44" i="2"/>
  <c r="O20" i="2"/>
  <c r="L20" i="2"/>
  <c r="L37" i="2"/>
  <c r="O37" i="2"/>
  <c r="G49" i="1"/>
  <c r="I46" i="1"/>
  <c r="I37" i="1"/>
  <c r="C20" i="5" s="1"/>
  <c r="I27" i="1"/>
  <c r="C16" i="5" s="1"/>
  <c r="I20" i="1"/>
  <c r="C12" i="5" s="1"/>
  <c r="I25" i="1"/>
  <c r="C14" i="5" s="1"/>
  <c r="I40" i="1"/>
  <c r="C21" i="5" s="1"/>
  <c r="I31" i="1"/>
  <c r="C17" i="5" s="1"/>
  <c r="I21" i="1"/>
  <c r="C13" i="5" s="1"/>
  <c r="I44" i="1"/>
  <c r="C22" i="5" s="1"/>
  <c r="I36" i="1"/>
  <c r="C19" i="5" s="1"/>
  <c r="I26" i="1"/>
  <c r="C15" i="5" s="1"/>
  <c r="I19" i="1"/>
  <c r="C11" i="5" s="1"/>
  <c r="I32" i="1"/>
  <c r="C18" i="5" s="1"/>
  <c r="I18" i="1"/>
  <c r="C10" i="5" s="1"/>
  <c r="I14" i="1"/>
  <c r="C9" i="5" s="1"/>
  <c r="A22" i="1"/>
  <c r="A25" i="1" s="1"/>
  <c r="C23" i="5" l="1"/>
  <c r="N31" i="4"/>
  <c r="P37" i="2"/>
  <c r="J34" i="4"/>
  <c r="M40" i="2"/>
  <c r="N30" i="4"/>
  <c r="P36" i="2"/>
  <c r="J31" i="4"/>
  <c r="M37" i="2"/>
  <c r="J12" i="4"/>
  <c r="M18" i="2"/>
  <c r="N19" i="4"/>
  <c r="P25" i="2"/>
  <c r="J30" i="4"/>
  <c r="M36" i="2"/>
  <c r="J14" i="4"/>
  <c r="M20" i="2"/>
  <c r="M32" i="2"/>
  <c r="L32" i="2" s="1"/>
  <c r="J26" i="4" s="1"/>
  <c r="M31" i="2"/>
  <c r="L31" i="2" s="1"/>
  <c r="J25" i="4" s="1"/>
  <c r="J38" i="4"/>
  <c r="M44" i="2"/>
  <c r="J21" i="4"/>
  <c r="M27" i="2"/>
  <c r="N38" i="4"/>
  <c r="P44" i="2"/>
  <c r="N8" i="4"/>
  <c r="P14" i="2"/>
  <c r="N13" i="4"/>
  <c r="P21" i="2"/>
  <c r="N15" i="4" s="1"/>
  <c r="N12" i="4"/>
  <c r="P18" i="2"/>
  <c r="J8" i="4"/>
  <c r="M14" i="2"/>
  <c r="J19" i="4"/>
  <c r="M25" i="2"/>
  <c r="J20" i="4"/>
  <c r="M26" i="2"/>
  <c r="N14" i="4"/>
  <c r="P20" i="2"/>
  <c r="N34" i="4"/>
  <c r="P40" i="2"/>
  <c r="N21" i="4"/>
  <c r="P27" i="2"/>
  <c r="N20" i="4"/>
  <c r="P26" i="2"/>
  <c r="P32" i="2"/>
  <c r="O32" i="2" s="1"/>
  <c r="N26" i="4" s="1"/>
  <c r="P31" i="2"/>
  <c r="O31" i="2" s="1"/>
  <c r="N25" i="4" s="1"/>
  <c r="A21" i="4"/>
  <c r="A22" i="4" s="1"/>
  <c r="A25" i="4" s="1"/>
  <c r="O22" i="2"/>
  <c r="A25" i="2"/>
  <c r="L15" i="2"/>
  <c r="A26" i="2"/>
  <c r="A27" i="2" s="1"/>
  <c r="O28" i="2"/>
  <c r="O38" i="2"/>
  <c r="O15" i="2"/>
  <c r="L28" i="2"/>
  <c r="L38" i="2"/>
  <c r="N26" i="1"/>
  <c r="K26" i="1"/>
  <c r="N36" i="1"/>
  <c r="M30" i="4" s="1"/>
  <c r="K36" i="1"/>
  <c r="I30" i="4" s="1"/>
  <c r="N25" i="1"/>
  <c r="M19" i="4" s="1"/>
  <c r="K25" i="1"/>
  <c r="I19" i="4" s="1"/>
  <c r="K14" i="1"/>
  <c r="I8" i="4" s="1"/>
  <c r="N14" i="1"/>
  <c r="M8" i="4" s="1"/>
  <c r="N31" i="1"/>
  <c r="M25" i="4" s="1"/>
  <c r="K31" i="1"/>
  <c r="I25" i="4" s="1"/>
  <c r="N27" i="1"/>
  <c r="K27" i="1"/>
  <c r="N18" i="1"/>
  <c r="M12" i="4" s="1"/>
  <c r="K18" i="1"/>
  <c r="I12" i="4" s="1"/>
  <c r="N40" i="1"/>
  <c r="K40" i="1"/>
  <c r="I34" i="4" s="1"/>
  <c r="F21" i="5" s="1"/>
  <c r="N37" i="1"/>
  <c r="K37" i="1"/>
  <c r="N32" i="1"/>
  <c r="K32" i="1"/>
  <c r="N44" i="1"/>
  <c r="K44" i="1"/>
  <c r="N19" i="1"/>
  <c r="K19" i="1"/>
  <c r="N21" i="1"/>
  <c r="K21" i="1"/>
  <c r="N20" i="1"/>
  <c r="K20" i="1"/>
  <c r="A26" i="1"/>
  <c r="F19" i="5" l="1"/>
  <c r="F10" i="5"/>
  <c r="J10" i="5"/>
  <c r="N10" i="5" s="1"/>
  <c r="S10" i="5" s="1"/>
  <c r="L32" i="1"/>
  <c r="I26" i="4"/>
  <c r="F18" i="5" s="1"/>
  <c r="J19" i="5"/>
  <c r="N19" i="5" s="1"/>
  <c r="S19" i="5" s="1"/>
  <c r="L44" i="1"/>
  <c r="I38" i="4"/>
  <c r="F22" i="5" s="1"/>
  <c r="O44" i="1"/>
  <c r="M38" i="4"/>
  <c r="J22" i="5" s="1"/>
  <c r="N22" i="5" s="1"/>
  <c r="S22" i="5" s="1"/>
  <c r="L27" i="1"/>
  <c r="I21" i="4"/>
  <c r="F16" i="5" s="1"/>
  <c r="F17" i="5"/>
  <c r="L26" i="1"/>
  <c r="I20" i="4"/>
  <c r="F15" i="5" s="1"/>
  <c r="J14" i="5"/>
  <c r="O27" i="1"/>
  <c r="M21" i="4"/>
  <c r="J16" i="5" s="1"/>
  <c r="N16" i="5" s="1"/>
  <c r="S16" i="5" s="1"/>
  <c r="O21" i="1"/>
  <c r="M15" i="4"/>
  <c r="J13" i="5" s="1"/>
  <c r="J17" i="5"/>
  <c r="N17" i="5" s="1"/>
  <c r="S17" i="5" s="1"/>
  <c r="O26" i="1"/>
  <c r="M20" i="4"/>
  <c r="J15" i="5" s="1"/>
  <c r="N15" i="5" s="1"/>
  <c r="S15" i="5" s="1"/>
  <c r="F14" i="5"/>
  <c r="I22" i="4"/>
  <c r="O20" i="1"/>
  <c r="M14" i="4"/>
  <c r="J12" i="5" s="1"/>
  <c r="L37" i="1"/>
  <c r="I31" i="4"/>
  <c r="F20" i="5" s="1"/>
  <c r="J9" i="5"/>
  <c r="M9" i="4"/>
  <c r="L20" i="1"/>
  <c r="I14" i="4"/>
  <c r="F12" i="5" s="1"/>
  <c r="O32" i="1"/>
  <c r="M26" i="4"/>
  <c r="J18" i="5" s="1"/>
  <c r="L21" i="1"/>
  <c r="I15" i="4"/>
  <c r="F13" i="5" s="1"/>
  <c r="O37" i="1"/>
  <c r="M31" i="4"/>
  <c r="J20" i="5" s="1"/>
  <c r="N20" i="5" s="1"/>
  <c r="S20" i="5" s="1"/>
  <c r="L19" i="1"/>
  <c r="I13" i="4"/>
  <c r="F11" i="5" s="1"/>
  <c r="O19" i="1"/>
  <c r="M13" i="4"/>
  <c r="J11" i="5" s="1"/>
  <c r="O40" i="1"/>
  <c r="M34" i="4"/>
  <c r="F9" i="5"/>
  <c r="I9" i="4"/>
  <c r="K21" i="5"/>
  <c r="O34" i="4"/>
  <c r="G9" i="5"/>
  <c r="J9" i="4"/>
  <c r="K8" i="4"/>
  <c r="K9" i="4" s="1"/>
  <c r="G20" i="5"/>
  <c r="H20" i="5" s="1"/>
  <c r="K31" i="4"/>
  <c r="K13" i="5"/>
  <c r="O15" i="4"/>
  <c r="K15" i="5"/>
  <c r="G15" i="5"/>
  <c r="H15" i="5" s="1"/>
  <c r="K11" i="5"/>
  <c r="O13" i="4"/>
  <c r="K22" i="5"/>
  <c r="O38" i="4"/>
  <c r="G22" i="5"/>
  <c r="H22" i="5" s="1"/>
  <c r="G12" i="5"/>
  <c r="K14" i="5"/>
  <c r="N22" i="4"/>
  <c r="O19" i="4"/>
  <c r="G21" i="5"/>
  <c r="H21" i="5" s="1"/>
  <c r="K34" i="4"/>
  <c r="K17" i="5"/>
  <c r="N27" i="4"/>
  <c r="O25" i="4"/>
  <c r="G17" i="5"/>
  <c r="H17" i="5" s="1"/>
  <c r="J27" i="4"/>
  <c r="K25" i="4"/>
  <c r="K18" i="5"/>
  <c r="O26" i="4"/>
  <c r="K16" i="5"/>
  <c r="K12" i="5"/>
  <c r="O14" i="4"/>
  <c r="G14" i="5"/>
  <c r="H14" i="5" s="1"/>
  <c r="K19" i="4"/>
  <c r="J22" i="4"/>
  <c r="K10" i="5"/>
  <c r="O12" i="4"/>
  <c r="N16" i="4"/>
  <c r="K9" i="5"/>
  <c r="N9" i="4"/>
  <c r="O8" i="4"/>
  <c r="O9" i="4" s="1"/>
  <c r="G16" i="5"/>
  <c r="G18" i="5"/>
  <c r="H18" i="5" s="1"/>
  <c r="G19" i="5"/>
  <c r="H19" i="5" s="1"/>
  <c r="K30" i="4"/>
  <c r="J32" i="4"/>
  <c r="G10" i="5"/>
  <c r="H10" i="5" s="1"/>
  <c r="K12" i="4"/>
  <c r="K19" i="5"/>
  <c r="N32" i="4"/>
  <c r="O30" i="4"/>
  <c r="K20" i="5"/>
  <c r="A26" i="4"/>
  <c r="A27" i="4" s="1"/>
  <c r="A30" i="4" s="1"/>
  <c r="A31" i="4" s="1"/>
  <c r="A32" i="4" s="1"/>
  <c r="A34" i="4" s="1"/>
  <c r="A36" i="4" s="1"/>
  <c r="A38" i="4" s="1"/>
  <c r="A40" i="4" s="1"/>
  <c r="O42" i="2"/>
  <c r="O46" i="2" s="1"/>
  <c r="N42" i="4" s="1"/>
  <c r="A28" i="2"/>
  <c r="A31" i="2" s="1"/>
  <c r="N15" i="1"/>
  <c r="O14" i="1"/>
  <c r="O36" i="1"/>
  <c r="N38" i="1"/>
  <c r="L18" i="1"/>
  <c r="K22" i="1"/>
  <c r="L31" i="1"/>
  <c r="K33" i="1"/>
  <c r="K28" i="1"/>
  <c r="L25" i="1"/>
  <c r="L40" i="1"/>
  <c r="L36" i="1"/>
  <c r="K38" i="1"/>
  <c r="L14" i="1"/>
  <c r="K15" i="1"/>
  <c r="O18" i="1"/>
  <c r="N22" i="1"/>
  <c r="O31" i="1"/>
  <c r="N33" i="1"/>
  <c r="O25" i="1"/>
  <c r="N28" i="1"/>
  <c r="A27" i="1"/>
  <c r="A28" i="1" s="1"/>
  <c r="A32" i="2" l="1"/>
  <c r="K21" i="4"/>
  <c r="M22" i="4"/>
  <c r="M16" i="4"/>
  <c r="F23" i="5"/>
  <c r="N9" i="5"/>
  <c r="S9" i="5" s="1"/>
  <c r="N14" i="5"/>
  <c r="A33" i="2"/>
  <c r="H16" i="5"/>
  <c r="J21" i="5"/>
  <c r="N21" i="5" s="1"/>
  <c r="S21" i="5" s="1"/>
  <c r="M36" i="4"/>
  <c r="M40" i="4" s="1"/>
  <c r="M43" i="4" s="1"/>
  <c r="M27" i="4"/>
  <c r="I16" i="4"/>
  <c r="O31" i="4"/>
  <c r="K14" i="4"/>
  <c r="K20" i="4"/>
  <c r="O21" i="4"/>
  <c r="H12" i="5"/>
  <c r="N11" i="5"/>
  <c r="S11" i="5" s="1"/>
  <c r="N12" i="5"/>
  <c r="S12" i="5" s="1"/>
  <c r="N13" i="5"/>
  <c r="S13" i="5" s="1"/>
  <c r="I27" i="4"/>
  <c r="M32" i="4"/>
  <c r="I32" i="4"/>
  <c r="I36" i="4" s="1"/>
  <c r="I40" i="4" s="1"/>
  <c r="I43" i="4" s="1"/>
  <c r="N18" i="5"/>
  <c r="S18" i="5" s="1"/>
  <c r="K26" i="4"/>
  <c r="K27" i="4" s="1"/>
  <c r="K38" i="4"/>
  <c r="O20" i="4"/>
  <c r="O22" i="4"/>
  <c r="O17" i="5"/>
  <c r="T17" i="5" s="1"/>
  <c r="L17" i="5"/>
  <c r="O22" i="5"/>
  <c r="T22" i="5" s="1"/>
  <c r="L22" i="5"/>
  <c r="L13" i="5"/>
  <c r="O16" i="4"/>
  <c r="K23" i="5"/>
  <c r="O9" i="5"/>
  <c r="L9" i="5"/>
  <c r="O18" i="5"/>
  <c r="T18" i="5" s="1"/>
  <c r="L18" i="5"/>
  <c r="L11" i="5"/>
  <c r="L15" i="5"/>
  <c r="O15" i="5"/>
  <c r="T15" i="5" s="1"/>
  <c r="O16" i="5"/>
  <c r="T16" i="5" s="1"/>
  <c r="L16" i="5"/>
  <c r="O19" i="5"/>
  <c r="T19" i="5" s="1"/>
  <c r="L19" i="5"/>
  <c r="L10" i="5"/>
  <c r="O10" i="5"/>
  <c r="T10" i="5" s="1"/>
  <c r="N36" i="4"/>
  <c r="N40" i="4" s="1"/>
  <c r="N43" i="4" s="1"/>
  <c r="H9" i="5"/>
  <c r="L20" i="5"/>
  <c r="O20" i="5"/>
  <c r="T20" i="5" s="1"/>
  <c r="K32" i="4"/>
  <c r="O12" i="5"/>
  <c r="T12" i="5" s="1"/>
  <c r="L12" i="5"/>
  <c r="O27" i="4"/>
  <c r="O14" i="5"/>
  <c r="T14" i="5" s="1"/>
  <c r="L14" i="5"/>
  <c r="O32" i="4"/>
  <c r="K22" i="4"/>
  <c r="O21" i="5"/>
  <c r="T21" i="5" s="1"/>
  <c r="L21" i="5"/>
  <c r="A36" i="2"/>
  <c r="A37" i="2" s="1"/>
  <c r="A38" i="2" s="1"/>
  <c r="A40" i="2" s="1"/>
  <c r="A42" i="2" s="1"/>
  <c r="A44" i="2" s="1"/>
  <c r="N42" i="1"/>
  <c r="N46" i="1" s="1"/>
  <c r="M42" i="4" s="1"/>
  <c r="O42" i="4" s="1"/>
  <c r="K42" i="1"/>
  <c r="K46" i="1" s="1"/>
  <c r="I42" i="4" s="1"/>
  <c r="A31" i="1"/>
  <c r="A32" i="1" s="1"/>
  <c r="A33" i="1" s="1"/>
  <c r="A36" i="1" s="1"/>
  <c r="A37" i="1" s="1"/>
  <c r="A38" i="1" s="1"/>
  <c r="A40" i="1" s="1"/>
  <c r="A42" i="1" s="1"/>
  <c r="A44" i="1" s="1"/>
  <c r="A46" i="1" s="1"/>
  <c r="N23" i="5" l="1"/>
  <c r="S14" i="5"/>
  <c r="J23" i="5"/>
  <c r="O36" i="4"/>
  <c r="O40" i="4" s="1"/>
  <c r="O43" i="4" s="1"/>
  <c r="L23" i="5"/>
  <c r="T9" i="5"/>
  <c r="A46" i="2"/>
  <c r="M19" i="2" l="1"/>
  <c r="L22" i="2"/>
  <c r="L42" i="2" s="1"/>
  <c r="L46" i="2" s="1"/>
  <c r="J42" i="4" s="1"/>
  <c r="K42" i="4" s="1"/>
  <c r="J13" i="4" l="1"/>
  <c r="J13" i="2"/>
  <c r="G11" i="5"/>
  <c r="M21" i="2"/>
  <c r="G13" i="5" l="1"/>
  <c r="G23" i="5" s="1"/>
  <c r="J15" i="4"/>
  <c r="K15" i="4" s="1"/>
  <c r="H11" i="5"/>
  <c r="O11" i="5"/>
  <c r="K13" i="4"/>
  <c r="K16" i="4" s="1"/>
  <c r="K36" i="4" s="1"/>
  <c r="K40" i="4" s="1"/>
  <c r="K43" i="4" s="1"/>
  <c r="J16" i="4"/>
  <c r="J36" i="4" s="1"/>
  <c r="J40" i="4" s="1"/>
  <c r="J43" i="4" s="1"/>
  <c r="T11" i="5" l="1"/>
  <c r="H13" i="5"/>
  <c r="H23" i="5" s="1"/>
  <c r="O13" i="5"/>
  <c r="T13" i="5" s="1"/>
  <c r="O23" i="5" l="1"/>
  <c r="L51" i="6"/>
  <c r="I51" i="6"/>
  <c r="L47" i="6"/>
  <c r="J47" i="6"/>
  <c r="I47" i="6"/>
  <c r="G47" i="6"/>
  <c r="L43" i="6"/>
  <c r="I43" i="6"/>
  <c r="G43" i="6"/>
  <c r="I41" i="6"/>
  <c r="G41" i="6"/>
  <c r="L40" i="6"/>
  <c r="J40" i="6"/>
  <c r="I40" i="6"/>
  <c r="G40" i="6"/>
  <c r="L39" i="6"/>
  <c r="J39" i="6"/>
  <c r="I39" i="6"/>
  <c r="G39" i="6"/>
  <c r="I36" i="6"/>
  <c r="G36" i="6"/>
  <c r="L35" i="6"/>
  <c r="J35" i="6"/>
  <c r="I35" i="6"/>
  <c r="G35" i="6"/>
  <c r="L34" i="6"/>
  <c r="J34" i="6"/>
  <c r="I34" i="6"/>
  <c r="G34" i="6"/>
  <c r="I31" i="6"/>
  <c r="G31" i="6"/>
  <c r="L30" i="6"/>
  <c r="J30" i="6"/>
  <c r="I30" i="6"/>
  <c r="G30" i="6"/>
  <c r="L29" i="6"/>
  <c r="J29" i="6"/>
  <c r="I29" i="6"/>
  <c r="G29" i="6"/>
  <c r="L28" i="6"/>
  <c r="J28" i="6"/>
  <c r="I28" i="6"/>
  <c r="G28" i="6"/>
  <c r="L25" i="6"/>
  <c r="L24" i="6"/>
  <c r="J24" i="6"/>
  <c r="I24" i="6"/>
  <c r="G24" i="6"/>
  <c r="L23" i="6"/>
  <c r="J23" i="6"/>
  <c r="I23" i="6"/>
  <c r="G23" i="6"/>
  <c r="L22" i="6"/>
  <c r="J22" i="6"/>
  <c r="I22" i="6"/>
  <c r="G22" i="6"/>
  <c r="L21" i="6"/>
  <c r="I21" i="6"/>
  <c r="G21" i="6"/>
  <c r="A21" i="6"/>
  <c r="L18" i="6"/>
  <c r="I18" i="6"/>
  <c r="G18" i="6"/>
  <c r="A18" i="6"/>
  <c r="L17" i="6"/>
  <c r="I17" i="6"/>
  <c r="G17" i="6"/>
</calcChain>
</file>

<file path=xl/sharedStrings.xml><?xml version="1.0" encoding="utf-8"?>
<sst xmlns="http://schemas.openxmlformats.org/spreadsheetml/2006/main" count="813" uniqueCount="331">
  <si>
    <t>Check</t>
  </si>
  <si>
    <t xml:space="preserve"> </t>
  </si>
  <si>
    <t xml:space="preserve">Total Sales </t>
  </si>
  <si>
    <t>005</t>
  </si>
  <si>
    <t>Wholesale for Resale</t>
  </si>
  <si>
    <t>Total Jurisdictional Sales</t>
  </si>
  <si>
    <t>50-59</t>
  </si>
  <si>
    <t>Street and Area Lighting</t>
  </si>
  <si>
    <t>Transportation Service</t>
  </si>
  <si>
    <t>SC</t>
  </si>
  <si>
    <t>Special Contract Service</t>
  </si>
  <si>
    <t>449, 459</t>
  </si>
  <si>
    <t>Retail Wheeling Transporation</t>
  </si>
  <si>
    <t>High Voltage Service</t>
  </si>
  <si>
    <t>High Voltage General Service</t>
  </si>
  <si>
    <t>High Voltage Interruptible Service</t>
  </si>
  <si>
    <t>Total Primary Voltage Service</t>
  </si>
  <si>
    <t>Primary All Electric Schools</t>
  </si>
  <si>
    <t>Primary Irrigation &amp; Pumping Service</t>
  </si>
  <si>
    <t>10, 31</t>
  </si>
  <si>
    <t>Primary General Service</t>
  </si>
  <si>
    <t>Primary Voltage Service</t>
  </si>
  <si>
    <t>Total Secondary Voltage Service</t>
  </si>
  <si>
    <t>Secondary Irrigation &amp; Pumping Service</t>
  </si>
  <si>
    <t>12, 26, 26P</t>
  </si>
  <si>
    <t>Large Secondary General Service</t>
  </si>
  <si>
    <t>7A, 11, 25</t>
  </si>
  <si>
    <t>Small Secondary General Service</t>
  </si>
  <si>
    <t>8, 24</t>
  </si>
  <si>
    <t>Secondary General Service</t>
  </si>
  <si>
    <t>Secondary Voltage Service</t>
  </si>
  <si>
    <t>Total Residential Service</t>
  </si>
  <si>
    <t>Residential Service</t>
  </si>
  <si>
    <t>(4)</t>
  </si>
  <si>
    <t>(2)</t>
  </si>
  <si>
    <t>(1)</t>
  </si>
  <si>
    <t>(MWH)</t>
  </si>
  <si>
    <t>No.</t>
  </si>
  <si>
    <t>Description</t>
  </si>
  <si>
    <t>Energy</t>
  </si>
  <si>
    <t>Sch.</t>
  </si>
  <si>
    <t>Line</t>
  </si>
  <si>
    <t>Current</t>
  </si>
  <si>
    <t>12 MONTHS ENDED DECEMBER 2018</t>
  </si>
  <si>
    <t>ON REVENUES FROM ELECTRIC SALES</t>
  </si>
  <si>
    <t>ESTIMATED EFFECT OF PROPOSED BASE RATE INCREASE</t>
  </si>
  <si>
    <t>PUGET SOUND ENERGY</t>
  </si>
  <si>
    <t>TABLE A. PRESENT AND PROPOSED RATES</t>
  </si>
  <si>
    <t>Sch 141x
Rev Req</t>
  </si>
  <si>
    <t>Sch 141z
Rev Req</t>
  </si>
  <si>
    <t>% Load
to Total</t>
  </si>
  <si>
    <t>Sch 141x
Rates</t>
  </si>
  <si>
    <t>Sch 141z
Rates</t>
  </si>
  <si>
    <t>Puget Sound Energy</t>
  </si>
  <si>
    <t>ELECTRIC COST OF SERVICE SUMMARY - EXPENSE SUMMARY</t>
  </si>
  <si>
    <t>UE-190529 Adjusted Test Year Twelve Months ended December 2018 @ Proforma Rev Requirement</t>
  </si>
  <si>
    <t>Line No.</t>
  </si>
  <si>
    <t>COS ID</t>
  </si>
  <si>
    <t>Account Description</t>
  </si>
  <si>
    <t>Allocation Method</t>
  </si>
  <si>
    <t>Total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</si>
  <si>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</si>
  <si>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</si>
  <si>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</si>
  <si>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</si>
  <si>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</si>
  <si>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Special Contract</t>
  </si>
  <si>
    <t>High Volt
Sch 46/49</t>
  </si>
  <si>
    <t>Choice /
Retail Wheeling
Sch 448/449</t>
  </si>
  <si>
    <t>Lighting
Sch 50-59</t>
  </si>
  <si>
    <t>Firm Resale</t>
  </si>
  <si>
    <t>Pri Volt
Sch 31</t>
  </si>
  <si>
    <t>Pri Volt
Sch 35</t>
  </si>
  <si>
    <t>Pri Volt
Sch 43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</si>
  <si>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</si>
  <si>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</si>
  <si>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</si>
  <si>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</si>
  <si>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</si>
  <si>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</si>
  <si>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</si>
  <si>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</si>
  <si>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</si>
  <si>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</si>
  <si>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</si>
  <si>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</si>
  <si>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</si>
  <si>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RATE BASE</t>
  </si>
  <si>
    <t>Plant-in-Service</t>
  </si>
  <si>
    <t>Intangible Plant</t>
  </si>
  <si>
    <t>Generation/Transmission</t>
  </si>
  <si>
    <t>_PC4</t>
  </si>
  <si>
    <t>Distribution</t>
  </si>
  <si>
    <t>DP.T</t>
  </si>
  <si>
    <t>Other</t>
  </si>
  <si>
    <t>GP.T</t>
  </si>
  <si>
    <t>Sub-total</t>
  </si>
  <si>
    <t>Production Plant</t>
  </si>
  <si>
    <t>Thermal Baseload Generation</t>
  </si>
  <si>
    <t>Hydro Baseload Generation</t>
  </si>
  <si>
    <t>Other Production Generation</t>
  </si>
  <si>
    <t>Transmission Plant</t>
  </si>
  <si>
    <t>Washington Transmission Plant</t>
  </si>
  <si>
    <t>_PC3</t>
  </si>
  <si>
    <t>Washington Integrated Generation (GIF) Transmission Plant</t>
  </si>
  <si>
    <t>Washington Integrated Lease Facilities (LIF) Transmission Plant</t>
  </si>
  <si>
    <t>DEM</t>
  </si>
  <si>
    <t>Non-Washington Transmission Plant</t>
  </si>
  <si>
    <t>Distribution Plant</t>
  </si>
  <si>
    <t>Land &amp; Land Rights - Assigned</t>
  </si>
  <si>
    <t>DIR360.01</t>
  </si>
  <si>
    <t>Land &amp; Land Rights - Allocated</t>
  </si>
  <si>
    <t>NCP_360</t>
  </si>
  <si>
    <t>Structures &amp; Improve - Assigned</t>
  </si>
  <si>
    <t>DIR361.01</t>
  </si>
  <si>
    <t>Structures &amp; Improve - Allocated</t>
  </si>
  <si>
    <t>NCP_361</t>
  </si>
  <si>
    <t>Station Equipment - Assigned</t>
  </si>
  <si>
    <t>DIR362.01</t>
  </si>
  <si>
    <t>Station Equipment - Allocated</t>
  </si>
  <si>
    <t>NCP_362</t>
  </si>
  <si>
    <t>Battery Storage</t>
  </si>
  <si>
    <t xml:space="preserve">Poles Towers &amp; Fixtures </t>
  </si>
  <si>
    <t>OH_NCP</t>
  </si>
  <si>
    <t>OH Lines Direct Assignment</t>
  </si>
  <si>
    <t>DIR364.01</t>
  </si>
  <si>
    <t xml:space="preserve">OVHD Cond &amp; Devices </t>
  </si>
  <si>
    <t>UG Conduit Direct Assignment</t>
  </si>
  <si>
    <t>DIR366.01</t>
  </si>
  <si>
    <t xml:space="preserve">UG Conduit </t>
  </si>
  <si>
    <t>UG_NCP</t>
  </si>
  <si>
    <t xml:space="preserve">UG Conductor &amp; Devices </t>
  </si>
  <si>
    <t>368.01</t>
  </si>
  <si>
    <t>Line Transf  OVHD</t>
  </si>
  <si>
    <t>OH_TFMR</t>
  </si>
  <si>
    <t>368.02</t>
  </si>
  <si>
    <t>Line Transf  UNGD</t>
  </si>
  <si>
    <t>UG_TFMR</t>
  </si>
  <si>
    <t>Line Transf  Assigned</t>
  </si>
  <si>
    <t>DIR368.03</t>
  </si>
  <si>
    <t>369.01</t>
  </si>
  <si>
    <t>Services - OVHD</t>
  </si>
  <si>
    <t>OH_SVC</t>
  </si>
  <si>
    <t>369.02</t>
  </si>
  <si>
    <t>Services - UNGD</t>
  </si>
  <si>
    <t>RESID</t>
  </si>
  <si>
    <t>Meters</t>
  </si>
  <si>
    <t>METER</t>
  </si>
  <si>
    <t xml:space="preserve">Str &amp; Area Lighting Sys </t>
  </si>
  <si>
    <t>DIR373.00</t>
  </si>
  <si>
    <t>Asset Retirement Obligation</t>
  </si>
  <si>
    <t>LINE.T</t>
  </si>
  <si>
    <t>General Plant</t>
  </si>
  <si>
    <t>Land &amp; Land Rights</t>
  </si>
  <si>
    <t>SW.T</t>
  </si>
  <si>
    <t>Structures &amp; Improvements</t>
  </si>
  <si>
    <t>Office Furniture &amp; Equip</t>
  </si>
  <si>
    <t>Transportation Equip</t>
  </si>
  <si>
    <t>Stores Equip</t>
  </si>
  <si>
    <t>PTDP.T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</si>
  <si>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</si>
  <si>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</si>
  <si>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</si>
  <si>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</si>
  <si>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</si>
  <si>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</si>
  <si>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</si>
  <si>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</si>
  <si>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Accumulated Reserve for Depreciation</t>
  </si>
  <si>
    <t>Accum Amortization - Generation/Transmission</t>
  </si>
  <si>
    <t>Accum Amortization - Distribution</t>
  </si>
  <si>
    <t>Accum Amortization - Other</t>
  </si>
  <si>
    <t>Accum Depreciation Thermal Baseload Generation</t>
  </si>
  <si>
    <t>PP.T</t>
  </si>
  <si>
    <t>Accum Depreciation Hydro Baseload Generation</t>
  </si>
  <si>
    <t>Accum Depreciation Other Production Generation</t>
  </si>
  <si>
    <t>Transmisson Plant</t>
  </si>
  <si>
    <t>108.04a</t>
  </si>
  <si>
    <t>Accum Depreciation Washington Transmisson Plant</t>
  </si>
  <si>
    <t>108.04b</t>
  </si>
  <si>
    <t>Accum Depreciation Washington GIF Transmisson Plant</t>
  </si>
  <si>
    <t>108.04c</t>
  </si>
  <si>
    <t>Accum Depreciation Washington LIF Transmisson Plant</t>
  </si>
  <si>
    <t>DIR_449</t>
  </si>
  <si>
    <t>108.04d</t>
  </si>
  <si>
    <t>Accum Depreciation Non-Washington Transmisson Plant</t>
  </si>
  <si>
    <t>108.05_360a</t>
  </si>
  <si>
    <t>Land Rights - Assigned</t>
  </si>
  <si>
    <t>DIR108.360</t>
  </si>
  <si>
    <t>108.05_360b</t>
  </si>
  <si>
    <t>Land Rights</t>
  </si>
  <si>
    <t>108.05_361a</t>
  </si>
  <si>
    <t>DIR108.361</t>
  </si>
  <si>
    <t>108.05_361b</t>
  </si>
  <si>
    <t>108.05_362a</t>
  </si>
  <si>
    <t>DIR108.362</t>
  </si>
  <si>
    <t>108.05_362b</t>
  </si>
  <si>
    <t>108.10_363</t>
  </si>
  <si>
    <t>108.10_364a</t>
  </si>
  <si>
    <t>108.10_364b</t>
  </si>
  <si>
    <t>Poles &amp; OH Conductor - Assigned</t>
  </si>
  <si>
    <t>DIR108.364</t>
  </si>
  <si>
    <t>108.10_365a</t>
  </si>
  <si>
    <t>108.10_366a</t>
  </si>
  <si>
    <t>UG Conduit &amp; Conductor - Assigned</t>
  </si>
  <si>
    <t>DIR108.366</t>
  </si>
  <si>
    <t>108.10_366b</t>
  </si>
  <si>
    <t>UG Conduit &amp; Conductor</t>
  </si>
  <si>
    <t>108.10_367a</t>
  </si>
  <si>
    <t xml:space="preserve">UNGDCond &amp; Devices </t>
  </si>
  <si>
    <t>108.10_368a</t>
  </si>
  <si>
    <t>Line Transformers - Assigned</t>
  </si>
  <si>
    <t>108.10_368b</t>
  </si>
  <si>
    <t>Line Transformers - OH</t>
  </si>
  <si>
    <t>108.10_368c</t>
  </si>
  <si>
    <t>Line Transformers - UG</t>
  </si>
  <si>
    <t>108.10_369a</t>
  </si>
  <si>
    <t>Services - OH</t>
  </si>
  <si>
    <t>108.10_369b</t>
  </si>
  <si>
    <t>Services - UG</t>
  </si>
  <si>
    <t>108.10_370</t>
  </si>
  <si>
    <t>D370.T</t>
  </si>
  <si>
    <t>108.10_373</t>
  </si>
  <si>
    <t>108.10_374</t>
  </si>
  <si>
    <t>Accum Depreciation General Plant</t>
  </si>
  <si>
    <t>RWIP</t>
  </si>
  <si>
    <t>PTDGP.T</t>
  </si>
  <si>
    <t>TOTAL ACCUMULATED RESERVE FOR DEPRECIATION</t>
  </si>
  <si>
    <t>Rate Base Adjustments and Working Capital</t>
  </si>
  <si>
    <t>Working Capital Assets</t>
  </si>
  <si>
    <t>WC</t>
  </si>
  <si>
    <t>Working Capital</t>
  </si>
  <si>
    <t>EPIS.T</t>
  </si>
  <si>
    <t>Other Items</t>
  </si>
  <si>
    <t>Misc Def Debits - Production</t>
  </si>
  <si>
    <t>Misc Def Debits - Transmission</t>
  </si>
  <si>
    <t>Misc Def Debits - Distribution</t>
  </si>
  <si>
    <t>Misc Def Debits - Other</t>
  </si>
  <si>
    <t xml:space="preserve">Accum Deferred Income Tax - Prod </t>
  </si>
  <si>
    <t>Accum Deferred Income Tax - Trans</t>
  </si>
  <si>
    <t>DEM_2B</t>
  </si>
  <si>
    <t>Accum Deferred Income Tax - General</t>
  </si>
  <si>
    <t>Customer Deposits</t>
  </si>
  <si>
    <t>CUS</t>
  </si>
  <si>
    <t>Customer Deposits - Transmission</t>
  </si>
  <si>
    <t>Customer Advances</t>
  </si>
  <si>
    <t>DIR252.00</t>
  </si>
  <si>
    <t>Landlord Incentive</t>
  </si>
  <si>
    <t>Acquisition Adjustment - Production</t>
  </si>
  <si>
    <t>Acquisition Adjustment - Transmission</t>
  </si>
  <si>
    <t>Acquisition Adjustment - Distribution</t>
  </si>
  <si>
    <t>Accum Amort Acquition Adj - Production</t>
  </si>
  <si>
    <t>Accum Amort Acquition Adj - Transmission</t>
  </si>
  <si>
    <t>Accum Amort Acquition Adj - Distribution</t>
  </si>
  <si>
    <t>ARO - Production</t>
  </si>
  <si>
    <t>ARO - Transmission</t>
  </si>
  <si>
    <t>ARO - Distribution</t>
  </si>
  <si>
    <t>ARO - General</t>
  </si>
  <si>
    <t>TOTAL OTHER RATE BASE</t>
  </si>
  <si>
    <t>TOTAL RATE BASE</t>
  </si>
  <si>
    <t>Ratebase</t>
  </si>
  <si>
    <t>($)</t>
  </si>
  <si>
    <t>% Ratebase
to Total</t>
  </si>
  <si>
    <t>Sch 141Z</t>
  </si>
  <si>
    <t>Sch 141x ($xM)</t>
  </si>
  <si>
    <t>Load
Spread $</t>
  </si>
  <si>
    <t>Ratebase
Spread $</t>
  </si>
  <si>
    <t>Diff</t>
  </si>
  <si>
    <t>Schedule 141X &amp; 141Z Revenue by Class</t>
  </si>
  <si>
    <t>Usage vs. Ratebase Allocation</t>
  </si>
  <si>
    <t>Schedule 141X</t>
  </si>
  <si>
    <t>Schedule 141Z</t>
  </si>
  <si>
    <t>Usage</t>
  </si>
  <si>
    <t>Rate Class</t>
  </si>
  <si>
    <t>Schedules</t>
  </si>
  <si>
    <t>Allocation</t>
  </si>
  <si>
    <t>Spread $</t>
  </si>
  <si>
    <t>Difference</t>
  </si>
  <si>
    <t>2019 Electric General Rate Case</t>
  </si>
  <si>
    <t>Schedules 141X &amp; 141Z</t>
  </si>
  <si>
    <t>Base</t>
  </si>
  <si>
    <t>Proforma</t>
  </si>
  <si>
    <t>Base Rates</t>
  </si>
  <si>
    <t>Present</t>
  </si>
  <si>
    <t>Avg Cust or</t>
  </si>
  <si>
    <t>Demand</t>
  </si>
  <si>
    <t>Revenues</t>
  </si>
  <si>
    <t>Basic Chg</t>
  </si>
  <si>
    <t>(MW or MVa)</t>
  </si>
  <si>
    <t>($000)</t>
  </si>
  <si>
    <t>(3)</t>
  </si>
  <si>
    <t>(5)</t>
  </si>
  <si>
    <t>(Note 1)</t>
  </si>
  <si>
    <t>Note 1 - Sch 449 / Sch 459 Base Revenue Excludes OATT Revenue</t>
  </si>
  <si>
    <t>STATE OF WASHINGTON</t>
  </si>
  <si>
    <t>(Including Effects of Unbilled Revenue, Unbilled MWh and Weather Normalization)</t>
  </si>
  <si>
    <t>Transportation &amp; Wholesale for Resale &amp; Special Contract</t>
  </si>
  <si>
    <t>Units</t>
  </si>
  <si>
    <t>Actual</t>
  </si>
  <si>
    <t>Price</t>
  </si>
  <si>
    <t>Dollars</t>
  </si>
  <si>
    <t>SCHEDULES 449 &amp; 459</t>
  </si>
  <si>
    <t>Choice / Retail Wheeling Service</t>
  </si>
  <si>
    <t>Customer Charges</t>
  </si>
  <si>
    <t>Energy Charge</t>
  </si>
  <si>
    <t>All kWh</t>
  </si>
  <si>
    <t>Temperature Adjustment</t>
  </si>
  <si>
    <t>Unbilled</t>
  </si>
  <si>
    <t>Subtotal</t>
  </si>
  <si>
    <t>Total kVa</t>
  </si>
  <si>
    <t>OATT Charges</t>
  </si>
  <si>
    <t xml:space="preserve">  Total</t>
  </si>
  <si>
    <t>141X &amp; 141Z 
% to Base Rates</t>
  </si>
  <si>
    <t>Exclude Transmission Related Plant</t>
  </si>
  <si>
    <t>ELECTRIC COST OF SERVICE SUMMARY</t>
  </si>
  <si>
    <t>Functional Rate Base</t>
  </si>
  <si>
    <t>System Total</t>
  </si>
  <si>
    <t>Pri Volt Sch 31</t>
  </si>
  <si>
    <t>Pri Volt Sch 35</t>
  </si>
  <si>
    <t>Pri Volt Sch 43</t>
  </si>
  <si>
    <t>(n)</t>
  </si>
  <si>
    <t>(o)</t>
  </si>
  <si>
    <t>Production</t>
  </si>
  <si>
    <t/>
  </si>
  <si>
    <t>Customer</t>
  </si>
  <si>
    <t>~</t>
  </si>
  <si>
    <t>Transmission</t>
  </si>
  <si>
    <t>TOTAL</t>
  </si>
  <si>
    <t>Ratebase net of Transmission plant</t>
  </si>
  <si>
    <t>Allocate Unbilled</t>
  </si>
  <si>
    <t>Attachment A to Puget Sound Energy's Motion for Clarification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</si>
</sst>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_(&quot;$&quot;* #,##0.0_);_(&quot;$&quot;* \(#,##0.0\);_(&quot;$&quot;* &quot;-&quot;??_);_(@_)"/>
    <numFmt numFmtId="168" formatCode="0.0%"/>
    <numFmt numFmtId="169" formatCode="_(* #,##0_);_(* \(#,##0\);_(* &quot;-&quot;??_);_(@_)"/>
    <numFmt numFmtId="170" formatCode="_(&quot;$&quot;* #,##0.000_);_(&quot;$&quot;* \(#,##0.000\);_(&quot;$&quot;* &quot;-&quot;??_);_(@_)"/>
  </numFmts>
  <fonts count="14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NewRomanPS"/>
    </font>
    <font>
      <b/>
      <u/>
      <sz val="11"/>
      <name val="TimesNewRomanPS"/>
    </font>
    <font>
      <b/>
      <sz val="14"/>
      <name val="Times New Roman"/>
      <family val="1"/>
    </font>
    <font>
      <b/>
      <sz val="10"/>
      <name val="Arial"/>
      <family val="2"/>
    </font>
    <font>
      <sz val="11"/>
      <name val="TimesNewRomanPS"/>
    </font>
    <font>
      <b/>
      <sz val="14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 applyFill="1"/>
    <xf numFmtId="0" fontId="2" fillId="0" borderId="0" xfId="0" quotePrefix="1" applyFont="1" applyFill="1"/>
    <xf numFmtId="0" fontId="2" fillId="0" borderId="0" xfId="0" applyFont="1" applyFill="1" applyBorder="1"/>
    <xf numFmtId="164" fontId="2" fillId="0" borderId="0" xfId="0" applyNumberFormat="1" applyFont="1" applyFill="1"/>
    <xf numFmtId="37" fontId="2" fillId="0" borderId="0" xfId="0" applyNumberFormat="1" applyFont="1" applyFill="1"/>
    <xf numFmtId="37" fontId="2" fillId="0" borderId="1" xfId="0" applyNumberFormat="1" applyFont="1" applyFill="1" applyBorder="1"/>
    <xf numFmtId="10" fontId="2" fillId="0" borderId="0" xfId="0" applyNumberFormat="1" applyFont="1" applyFill="1" applyBorder="1" applyProtection="1">
      <protection locked="0"/>
    </xf>
    <xf numFmtId="37" fontId="2" fillId="0" borderId="0" xfId="0" applyNumberFormat="1" applyFont="1" applyFill="1" applyBorder="1"/>
    <xf numFmtId="164" fontId="2" fillId="0" borderId="0" xfId="0" applyNumberFormat="1" applyFont="1" applyFill="1" applyBorder="1" applyProtection="1">
      <protection locked="0"/>
    </xf>
    <xf numFmtId="0" fontId="3" fillId="0" borderId="0" xfId="0" quotePrefix="1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Protection="1">
      <protection locked="0"/>
    </xf>
    <xf numFmtId="37" fontId="2" fillId="0" borderId="2" xfId="0" applyNumberFormat="1" applyFont="1" applyFill="1" applyBorder="1" applyProtection="1"/>
    <xf numFmtId="0" fontId="2" fillId="0" borderId="0" xfId="0" quotePrefix="1" applyFont="1" applyFill="1" applyAlignment="1">
      <alignment horizontal="center"/>
    </xf>
    <xf numFmtId="37" fontId="2" fillId="0" borderId="0" xfId="0" applyNumberFormat="1" applyFont="1" applyFill="1" applyProtection="1"/>
    <xf numFmtId="0" fontId="5" fillId="0" borderId="0" xfId="0" quotePrefix="1" applyFont="1" applyFill="1" applyAlignment="1">
      <alignment horizontal="left" indent="1"/>
    </xf>
    <xf numFmtId="0" fontId="2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/>
    <xf numFmtId="0" fontId="6" fillId="0" borderId="0" xfId="0" quotePrefix="1" applyFont="1" applyFill="1" applyAlignment="1">
      <alignment horizontal="left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quotePrefix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/>
    <xf numFmtId="0" fontId="2" fillId="0" borderId="0" xfId="0" applyFont="1" applyFill="1" applyAlignment="1">
      <alignment horizontal="center" wrapText="1"/>
    </xf>
    <xf numFmtId="10" fontId="2" fillId="0" borderId="0" xfId="2" applyNumberFormat="1" applyFont="1" applyFill="1"/>
    <xf numFmtId="166" fontId="2" fillId="0" borderId="0" xfId="1" applyNumberFormat="1" applyFont="1" applyFill="1"/>
    <xf numFmtId="165" fontId="2" fillId="0" borderId="0" xfId="1" applyNumberFormat="1" applyFont="1" applyFill="1"/>
    <xf numFmtId="165" fontId="2" fillId="0" borderId="0" xfId="1" applyNumberFormat="1" applyFont="1" applyFill="1" applyProtection="1">
      <protection locked="0"/>
    </xf>
    <xf numFmtId="165" fontId="2" fillId="0" borderId="2" xfId="1" applyNumberFormat="1" applyFont="1" applyFill="1" applyBorder="1" applyProtection="1">
      <protection locked="0"/>
    </xf>
    <xf numFmtId="165" fontId="2" fillId="0" borderId="1" xfId="1" applyNumberFormat="1" applyFont="1" applyFill="1" applyBorder="1"/>
    <xf numFmtId="0" fontId="0" fillId="0" borderId="0" xfId="0" applyNumberFormat="1" applyFill="1" applyBorder="1" applyAlignment="1">
      <alignment horizontal="center"/>
    </xf>
    <xf numFmtId="0" fontId="0" fillId="2" borderId="0" xfId="0" applyNumberFormat="1" applyFill="1" applyAlignment="1"/>
    <xf numFmtId="0" fontId="0" fillId="2" borderId="0" xfId="0" applyNumberFormat="1" applyFill="1" applyAlignment="1">
      <alignment horizontal="center"/>
    </xf>
    <xf numFmtId="0" fontId="8" fillId="2" borderId="2" xfId="0" applyNumberFormat="1" applyFont="1" applyFill="1" applyBorder="1" applyAlignment="1">
      <alignment horizontal="center" wrapText="1"/>
    </xf>
    <xf numFmtId="0" fontId="8" fillId="2" borderId="2" xfId="0" applyNumberFormat="1" applyFont="1" applyFill="1" applyBorder="1" applyAlignment="1">
      <alignment horizontal="left" wrapText="1"/>
    </xf>
    <xf numFmtId="0" fontId="8" fillId="2" borderId="0" xfId="0" applyNumberFormat="1" applyFont="1" applyFill="1" applyAlignment="1">
      <alignment horizontal="center" vertical="center" wrapText="1"/>
    </xf>
    <xf numFmtId="0" fontId="8" fillId="2" borderId="2" xfId="0" quotePrefix="1" applyNumberFormat="1" applyFont="1" applyFill="1" applyBorder="1" applyAlignment="1">
      <alignment horizontal="center" wrapText="1"/>
    </xf>
    <xf numFmtId="0" fontId="8" fillId="2" borderId="0" xfId="0" applyNumberFormat="1" applyFont="1" applyFill="1" applyAlignment="1"/>
    <xf numFmtId="2" fontId="0" fillId="2" borderId="0" xfId="0" applyNumberFormat="1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0" fontId="8" fillId="2" borderId="2" xfId="0" applyNumberFormat="1" applyFont="1" applyFill="1" applyBorder="1" applyAlignment="1"/>
    <xf numFmtId="2" fontId="8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165" fontId="8" fillId="2" borderId="2" xfId="1" applyNumberFormat="1" applyFont="1" applyFill="1" applyBorder="1" applyAlignment="1">
      <alignment horizontal="center"/>
    </xf>
    <xf numFmtId="0" fontId="8" fillId="2" borderId="0" xfId="0" applyNumberFormat="1" applyFont="1" applyFill="1" applyAlignment="1">
      <alignment horizontal="center"/>
    </xf>
    <xf numFmtId="0" fontId="8" fillId="2" borderId="5" xfId="0" applyNumberFormat="1" applyFont="1" applyFill="1" applyBorder="1" applyAlignment="1"/>
    <xf numFmtId="2" fontId="8" fillId="2" borderId="5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  <xf numFmtId="165" fontId="8" fillId="2" borderId="5" xfId="1" applyNumberFormat="1" applyFont="1" applyFill="1" applyBorder="1" applyAlignment="1">
      <alignment horizontal="center"/>
    </xf>
    <xf numFmtId="165" fontId="2" fillId="0" borderId="0" xfId="1" applyNumberFormat="1" applyFont="1" applyFill="1" applyProtection="1"/>
    <xf numFmtId="37" fontId="2" fillId="0" borderId="0" xfId="0" applyNumberFormat="1" applyFont="1" applyFill="1" applyBorder="1" applyProtection="1"/>
    <xf numFmtId="167" fontId="2" fillId="0" borderId="0" xfId="1" applyNumberFormat="1" applyFont="1" applyFill="1" applyProtection="1"/>
    <xf numFmtId="167" fontId="2" fillId="0" borderId="2" xfId="1" applyNumberFormat="1" applyFont="1" applyFill="1" applyBorder="1" applyProtection="1"/>
    <xf numFmtId="167" fontId="2" fillId="0" borderId="0" xfId="1" applyNumberFormat="1" applyFont="1" applyFill="1"/>
    <xf numFmtId="167" fontId="2" fillId="0" borderId="1" xfId="1" applyNumberFormat="1" applyFont="1" applyFill="1" applyBorder="1"/>
    <xf numFmtId="167" fontId="2" fillId="0" borderId="0" xfId="1" applyNumberFormat="1" applyFont="1" applyFill="1" applyBorder="1"/>
    <xf numFmtId="0" fontId="2" fillId="0" borderId="0" xfId="0" quotePrefix="1" applyFont="1" applyFill="1" applyBorder="1" applyAlignment="1">
      <alignment horizontal="center" wrapText="1"/>
    </xf>
    <xf numFmtId="0" fontId="2" fillId="0" borderId="0" xfId="0" quotePrefix="1" applyFont="1" applyFill="1" applyAlignment="1">
      <alignment horizontal="left"/>
    </xf>
    <xf numFmtId="0" fontId="0" fillId="0" borderId="4" xfId="0" applyBorder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0" fillId="0" borderId="0" xfId="0" applyFont="1" applyAlignment="1"/>
    <xf numFmtId="0" fontId="0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68" fontId="0" fillId="0" borderId="0" xfId="0" applyNumberFormat="1" applyFont="1" applyFill="1"/>
    <xf numFmtId="42" fontId="0" fillId="0" borderId="0" xfId="0" applyNumberFormat="1" applyFont="1"/>
    <xf numFmtId="42" fontId="0" fillId="0" borderId="6" xfId="0" applyNumberFormat="1" applyFont="1" applyBorder="1"/>
    <xf numFmtId="168" fontId="0" fillId="0" borderId="6" xfId="0" applyNumberFormat="1" applyFont="1" applyBorder="1"/>
    <xf numFmtId="0" fontId="0" fillId="0" borderId="0" xfId="0" quotePrefix="1" applyFont="1" applyAlignment="1">
      <alignment horizontal="left"/>
    </xf>
    <xf numFmtId="0" fontId="5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6" fontId="2" fillId="0" borderId="3" xfId="0" quotePrefix="1" applyNumberFormat="1" applyFont="1" applyFill="1" applyBorder="1" applyAlignment="1">
      <alignment horizontal="center"/>
    </xf>
    <xf numFmtId="164" fontId="2" fillId="0" borderId="2" xfId="0" applyNumberFormat="1" applyFont="1" applyFill="1" applyBorder="1" applyProtection="1">
      <protection locked="0"/>
    </xf>
    <xf numFmtId="165" fontId="2" fillId="0" borderId="0" xfId="0" applyNumberFormat="1" applyFont="1" applyFill="1"/>
    <xf numFmtId="164" fontId="2" fillId="0" borderId="1" xfId="0" applyNumberFormat="1" applyFont="1" applyFill="1" applyBorder="1"/>
    <xf numFmtId="5" fontId="2" fillId="0" borderId="0" xfId="0" applyNumberFormat="1" applyFont="1" applyFill="1" applyBorder="1"/>
    <xf numFmtId="165" fontId="0" fillId="0" borderId="0" xfId="1" applyNumberFormat="1" applyFont="1"/>
    <xf numFmtId="0" fontId="0" fillId="0" borderId="0" xfId="0" quotePrefix="1" applyAlignment="1">
      <alignment horizontal="left"/>
    </xf>
    <xf numFmtId="168" fontId="0" fillId="0" borderId="0" xfId="2" applyNumberFormat="1" applyFont="1"/>
    <xf numFmtId="0" fontId="12" fillId="0" borderId="0" xfId="0" quotePrefix="1" applyFont="1" applyFill="1" applyAlignment="1" applyProtection="1">
      <alignment horizontal="centerContinuous"/>
    </xf>
    <xf numFmtId="0" fontId="11" fillId="0" borderId="0" xfId="0" applyFont="1" applyFill="1" applyAlignment="1" applyProtection="1">
      <alignment horizontal="centerContinuous"/>
    </xf>
    <xf numFmtId="37" fontId="11" fillId="0" borderId="0" xfId="0" applyNumberFormat="1" applyFont="1" applyFill="1" applyAlignment="1" applyProtection="1">
      <alignment horizontal="centerContinuous"/>
    </xf>
    <xf numFmtId="0" fontId="11" fillId="0" borderId="0" xfId="0" applyFont="1" applyFill="1" applyProtection="1"/>
    <xf numFmtId="37" fontId="12" fillId="0" borderId="0" xfId="0" applyNumberFormat="1" applyFont="1" applyFill="1" applyAlignment="1" applyProtection="1">
      <alignment horizontal="center"/>
    </xf>
    <xf numFmtId="0" fontId="12" fillId="0" borderId="0" xfId="0" applyFont="1" applyFill="1" applyProtection="1"/>
    <xf numFmtId="0" fontId="12" fillId="0" borderId="0" xfId="0" applyFont="1" applyFill="1" applyAlignment="1" applyProtection="1">
      <alignment horizontal="center"/>
    </xf>
    <xf numFmtId="37" fontId="12" fillId="0" borderId="3" xfId="0" applyNumberFormat="1" applyFont="1" applyFill="1" applyBorder="1" applyAlignment="1" applyProtection="1">
      <alignment horizontal="center"/>
    </xf>
    <xf numFmtId="0" fontId="12" fillId="0" borderId="3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2" fillId="0" borderId="0" xfId="0" applyFont="1" applyFill="1" applyProtection="1"/>
    <xf numFmtId="5" fontId="2" fillId="0" borderId="0" xfId="0" applyNumberFormat="1" applyFont="1" applyFill="1" applyProtection="1"/>
    <xf numFmtId="0" fontId="2" fillId="0" borderId="0" xfId="0" quotePrefix="1" applyFont="1" applyFill="1" applyAlignment="1" applyProtection="1">
      <alignment horizontal="left"/>
    </xf>
    <xf numFmtId="44" fontId="2" fillId="0" borderId="0" xfId="0" applyNumberFormat="1" applyFont="1" applyFill="1" applyProtection="1">
      <protection locked="0"/>
    </xf>
    <xf numFmtId="166" fontId="2" fillId="0" borderId="0" xfId="0" applyNumberFormat="1" applyFont="1" applyFill="1" applyProtection="1">
      <protection locked="0"/>
    </xf>
    <xf numFmtId="0" fontId="2" fillId="0" borderId="0" xfId="0" quotePrefix="1" applyFont="1" applyFill="1" applyAlignment="1" applyProtection="1">
      <alignment horizontal="left" indent="1"/>
    </xf>
    <xf numFmtId="0" fontId="2" fillId="0" borderId="0" xfId="0" applyFont="1" applyFill="1" applyAlignment="1" applyProtection="1">
      <alignment horizontal="left" indent="1"/>
    </xf>
    <xf numFmtId="165" fontId="2" fillId="0" borderId="0" xfId="0" applyNumberFormat="1" applyFont="1" applyFill="1" applyProtection="1"/>
    <xf numFmtId="37" fontId="2" fillId="0" borderId="4" xfId="0" applyNumberFormat="1" applyFont="1" applyFill="1" applyBorder="1" applyProtection="1"/>
    <xf numFmtId="5" fontId="2" fillId="0" borderId="4" xfId="0" applyNumberFormat="1" applyFont="1" applyFill="1" applyBorder="1" applyProtection="1"/>
    <xf numFmtId="0" fontId="2" fillId="0" borderId="0" xfId="0" applyFont="1" applyFill="1" applyAlignment="1" applyProtection="1">
      <alignment horizontal="left" indent="2"/>
    </xf>
    <xf numFmtId="169" fontId="2" fillId="0" borderId="0" xfId="0" applyNumberFormat="1" applyFont="1" applyFill="1" applyBorder="1" applyProtection="1"/>
    <xf numFmtId="0" fontId="2" fillId="0" borderId="0" xfId="0" applyFont="1" applyFill="1" applyBorder="1" applyProtection="1"/>
    <xf numFmtId="5" fontId="2" fillId="0" borderId="0" xfId="0" applyNumberFormat="1" applyFont="1" applyFill="1" applyBorder="1" applyProtection="1"/>
    <xf numFmtId="170" fontId="2" fillId="0" borderId="0" xfId="0" applyNumberFormat="1" applyFont="1" applyFill="1" applyProtection="1">
      <protection locked="0"/>
    </xf>
    <xf numFmtId="5" fontId="2" fillId="0" borderId="5" xfId="0" applyNumberFormat="1" applyFont="1" applyFill="1" applyBorder="1" applyProtection="1"/>
    <xf numFmtId="0" fontId="0" fillId="0" borderId="0" xfId="0" applyAlignment="1">
      <alignment horizontal="center"/>
    </xf>
    <xf numFmtId="0" fontId="8" fillId="2" borderId="0" xfId="0" applyNumberFormat="1" applyFont="1" applyFill="1" applyAlignment="1">
      <alignment horizontal="center" wrapText="1"/>
    </xf>
    <xf numFmtId="165" fontId="0" fillId="2" borderId="0" xfId="1" applyNumberFormat="1" applyFont="1" applyFill="1" applyAlignment="1"/>
    <xf numFmtId="165" fontId="8" fillId="2" borderId="2" xfId="1" applyNumberFormat="1" applyFont="1" applyFill="1" applyBorder="1" applyAlignment="1"/>
    <xf numFmtId="165" fontId="8" fillId="2" borderId="5" xfId="1" applyNumberFormat="1" applyFont="1" applyFill="1" applyBorder="1" applyAlignment="1"/>
    <xf numFmtId="0" fontId="0" fillId="0" borderId="4" xfId="0" applyFont="1" applyBorder="1" applyAlignment="1">
      <alignment horizontal="center"/>
    </xf>
    <xf numFmtId="0" fontId="0" fillId="0" borderId="4" xfId="0" quotePrefix="1" applyFont="1" applyBorder="1" applyAlignment="1">
      <alignment horizontal="center"/>
    </xf>
    <xf numFmtId="0" fontId="0" fillId="0" borderId="0" xfId="0" quotePrefix="1" applyFont="1" applyBorder="1" applyAlignment="1">
      <alignment horizontal="center" wrapText="1"/>
    </xf>
    <xf numFmtId="0" fontId="0" fillId="0" borderId="4" xfId="0" quotePrefix="1" applyFont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0" fillId="0" borderId="4" xfId="0" quotePrefix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quotePrefix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2" fillId="0" borderId="0" xfId="0" quotePrefix="1" applyFont="1" applyFill="1" applyAlignment="1" applyProtection="1">
      <alignment horizontal="center"/>
    </xf>
    <xf numFmtId="0" fontId="12" fillId="0" borderId="7" xfId="0" applyFont="1" applyFill="1" applyBorder="1" applyAlignment="1" applyProtection="1">
      <alignment horizontal="center"/>
    </xf>
    <xf numFmtId="0" fontId="12" fillId="0" borderId="2" xfId="0" applyFont="1" applyFill="1" applyBorder="1" applyAlignment="1" applyProtection="1">
      <alignment horizontal="center"/>
    </xf>
    <xf numFmtId="0" fontId="12" fillId="0" borderId="8" xfId="0" applyFont="1" applyFill="1" applyBorder="1" applyAlignment="1" applyProtection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quotePrefix="1" applyNumberFormat="1" applyFont="1" applyFill="1" applyAlignment="1">
      <alignment horizontal="center"/>
    </xf>
    <xf numFmtId="0" fontId="8" fillId="2" borderId="0" xfId="0" applyNumberFormat="1" applyFont="1" applyFill="1" applyAlignment="1">
      <alignment horizontal="center"/>
    </xf>
    <xf numFmtId="0" fontId="8" fillId="2" borderId="0" xfId="0" quotePrefix="1" applyNumberFormat="1" applyFont="1" applyFill="1" applyAlignment="1">
      <alignment horizontal="center"/>
    </xf>
    <xf numFmtId="0" fontId="13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137584</xdr:colOff>
      <xdr:row>47</xdr:row>
      <xdr:rowOff>158748</xdr:rowOff>
    </xdr:from>
    <xdr:to>
      <xdr:col>19</xdr:col>
      <xdr:colOff>46567</xdr:colOff>
      <xdr:row>53</xdr:row>
      <xdr:rowOff>116415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1" y="9673165"/>
          <a:ext cx="7327899" cy="120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137584</xdr:colOff>
      <xdr:row>47</xdr:row>
      <xdr:rowOff>158748</xdr:rowOff>
    </xdr:from>
    <xdr:to>
      <xdr:col>20</xdr:col>
      <xdr:colOff>46567</xdr:colOff>
      <xdr:row>53</xdr:row>
      <xdr:rowOff>116415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984" y="9617073"/>
          <a:ext cx="6557433" cy="1195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ss/AppData/Local/Temp/Workshare/rr5icrvf.glw/3/Users/prasan/Desktop/2019%20GRC%20Compliance%20(DRAFT)/NEW-PSE-WP-JAP06-ELEC-RATE-SPREAD-DESIGN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Test%20BR15%20(start%20w%20BR%20001)\NEW-PSE-WP-JAP03-ELEC-NORM-MO-REV-19GRC-06-2019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HV RD)"/>
      <sheetName val="Exhibit No.__(JAP-TRANSP RD)"/>
      <sheetName val="Exhibit No.__(JAP-LIGHT RD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C16">
            <v>12361319</v>
          </cell>
        </row>
        <row r="23">
          <cell r="C23">
            <v>10623030235.689331</v>
          </cell>
          <cell r="F23">
            <v>1105896514</v>
          </cell>
        </row>
      </sheetData>
      <sheetData sheetId="8">
        <row r="17">
          <cell r="C17">
            <v>1568095</v>
          </cell>
        </row>
        <row r="25">
          <cell r="C25">
            <v>2700129196.7702866</v>
          </cell>
          <cell r="F25">
            <v>263390397</v>
          </cell>
        </row>
        <row r="31">
          <cell r="C31">
            <v>93524</v>
          </cell>
        </row>
        <row r="39">
          <cell r="C39">
            <v>2990164373.5601029</v>
          </cell>
        </row>
        <row r="43">
          <cell r="C43">
            <v>4639397</v>
          </cell>
        </row>
        <row r="47">
          <cell r="F47">
            <v>269437799</v>
          </cell>
        </row>
        <row r="65">
          <cell r="C65">
            <v>10371</v>
          </cell>
        </row>
        <row r="71">
          <cell r="C71">
            <v>1930452063.9308119</v>
          </cell>
        </row>
        <row r="75">
          <cell r="C75">
            <v>4747920</v>
          </cell>
        </row>
        <row r="79">
          <cell r="F79">
            <v>159417133</v>
          </cell>
        </row>
        <row r="85">
          <cell r="C85">
            <v>23</v>
          </cell>
        </row>
        <row r="94">
          <cell r="C94">
            <v>10849300</v>
          </cell>
        </row>
        <row r="99">
          <cell r="C99">
            <v>26744</v>
          </cell>
        </row>
        <row r="105">
          <cell r="F105">
            <v>863708</v>
          </cell>
        </row>
        <row r="118">
          <cell r="C118">
            <v>7906</v>
          </cell>
        </row>
        <row r="128">
          <cell r="C128">
            <v>16009313.796828577</v>
          </cell>
        </row>
        <row r="132">
          <cell r="C132">
            <v>5759</v>
          </cell>
        </row>
        <row r="136">
          <cell r="F136">
            <v>1265443</v>
          </cell>
        </row>
      </sheetData>
      <sheetData sheetId="9">
        <row r="15">
          <cell r="C15">
            <v>5942</v>
          </cell>
        </row>
        <row r="21">
          <cell r="C21">
            <v>1407978352.242965</v>
          </cell>
        </row>
        <row r="25">
          <cell r="C25">
            <v>3463815</v>
          </cell>
        </row>
        <row r="29">
          <cell r="F29">
            <v>113255217</v>
          </cell>
        </row>
        <row r="37">
          <cell r="C37">
            <v>39</v>
          </cell>
        </row>
        <row r="43">
          <cell r="C43">
            <v>4443660</v>
          </cell>
        </row>
        <row r="47">
          <cell r="C47">
            <v>9099</v>
          </cell>
        </row>
        <row r="51">
          <cell r="F51">
            <v>268015</v>
          </cell>
        </row>
        <row r="60">
          <cell r="C60">
            <v>1874</v>
          </cell>
        </row>
        <row r="66">
          <cell r="C66">
            <v>122500713.32397975</v>
          </cell>
        </row>
        <row r="69">
          <cell r="C69">
            <v>602303</v>
          </cell>
        </row>
        <row r="75">
          <cell r="F75">
            <v>10687149</v>
          </cell>
        </row>
      </sheetData>
      <sheetData sheetId="10">
        <row r="14">
          <cell r="C14">
            <v>72</v>
          </cell>
        </row>
        <row r="18">
          <cell r="C18">
            <v>78351492</v>
          </cell>
        </row>
        <row r="20">
          <cell r="C20">
            <v>397464</v>
          </cell>
        </row>
        <row r="22">
          <cell r="F22">
            <v>5190436</v>
          </cell>
        </row>
        <row r="29">
          <cell r="C29">
            <v>228</v>
          </cell>
        </row>
        <row r="33">
          <cell r="C33">
            <v>542259321.40199995</v>
          </cell>
        </row>
        <row r="35">
          <cell r="C35">
            <v>1344134</v>
          </cell>
        </row>
        <row r="37">
          <cell r="F37">
            <v>34937812</v>
          </cell>
        </row>
      </sheetData>
      <sheetData sheetId="11">
        <row r="14">
          <cell r="C14">
            <v>240</v>
          </cell>
        </row>
        <row r="19">
          <cell r="C19">
            <v>2028727006.1700001</v>
          </cell>
        </row>
        <row r="21">
          <cell r="C21">
            <v>3557525</v>
          </cell>
        </row>
        <row r="25">
          <cell r="F25">
            <v>10114356</v>
          </cell>
        </row>
        <row r="30">
          <cell r="C30">
            <v>1180</v>
          </cell>
        </row>
        <row r="33">
          <cell r="C33">
            <v>799158</v>
          </cell>
        </row>
        <row r="39">
          <cell r="C39">
            <v>336220536</v>
          </cell>
        </row>
        <row r="41">
          <cell r="F41">
            <v>5493907</v>
          </cell>
        </row>
        <row r="45">
          <cell r="C45">
            <v>96</v>
          </cell>
        </row>
        <row r="50">
          <cell r="C50">
            <v>7170066.2345252717</v>
          </cell>
        </row>
        <row r="52">
          <cell r="C52">
            <v>14252</v>
          </cell>
        </row>
        <row r="58">
          <cell r="F58">
            <v>327360</v>
          </cell>
        </row>
      </sheetData>
      <sheetData sheetId="12">
        <row r="22">
          <cell r="C22">
            <v>93950</v>
          </cell>
          <cell r="F22">
            <v>16457504</v>
          </cell>
          <cell r="J22">
            <v>69969105.296000004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Proforma kWh &amp; Revenue"/>
      <sheetName val="Rev Req Summary"/>
      <sheetName val="Average Costs"/>
      <sheetName val="Summary - Delivered kWh"/>
      <sheetName val="Sum - Delivered Restated Rev"/>
      <sheetName val="Temperature Adjustment"/>
      <sheetName val="Sch 7 Res"/>
      <sheetName val="Sch 24 Sm Sec"/>
      <sheetName val="Sch 7A Master Met"/>
      <sheetName val="Sch 25 Med Sec"/>
      <sheetName val="Sch 26 Large Sec"/>
      <sheetName val="Sch 26 Primary"/>
      <sheetName val="Sch 29 Irr Sec"/>
      <sheetName val="Sch 31 Pri Gen Svc"/>
      <sheetName val="Sch 35 Pri Irr Svc"/>
      <sheetName val="Sch 43 Pri Int Svc"/>
      <sheetName val="Sch 40 Campus Svc"/>
      <sheetName val="Sch 46 HV Int Svc"/>
      <sheetName val="Sch 49 HV Gen Svc"/>
      <sheetName val="Sch 449 - Transportation"/>
      <sheetName val="Lighting 50-59"/>
      <sheetName val="Firm Resale"/>
      <sheetName val="Financial Support Data====&gt;"/>
      <sheetName val="SOE"/>
      <sheetName val="Unbilled Rev Adj"/>
      <sheetName val="BPA Res Exch Load"/>
      <sheetName val="Delivered kWh"/>
      <sheetName val="Unbilled Change kWh"/>
      <sheetName val="Billed kWh"/>
      <sheetName val="2018 Delivered Revenue"/>
      <sheetName val="2018 Billed Revenue"/>
      <sheetName val="Unbilled Change - $"/>
      <sheetName val="SAP Billed kWh"/>
      <sheetName val="SAP BW 95-135-136"/>
      <sheetName val="Transportation EIM JE"/>
      <sheetName val="SAP Data (Do Not Print) ====&gt;"/>
      <sheetName val="Tie Revenue back to SOE"/>
      <sheetName val="SAP Data Non-Lighting"/>
      <sheetName val="Schedule 10  and 31 Demand"/>
      <sheetName val="Sch 40 Dist Demand Rev (C)"/>
      <sheetName val="Sch 40 Migration (C)"/>
      <sheetName val="Sch 40 Dist Demand (C)"/>
      <sheetName val="Light Inventory (Annual)"/>
      <sheetName val="Lighting Data"/>
      <sheetName val="Sch 26P (C)"/>
      <sheetName val="Checking Proforma to BW"/>
      <sheetName val="Sch 40 Migration"/>
    </sheetNames>
    <sheetDataSet>
      <sheetData sheetId="0"/>
      <sheetData sheetId="1">
        <row r="10">
          <cell r="J10">
            <v>196567</v>
          </cell>
        </row>
        <row r="39">
          <cell r="D39">
            <v>22868254738.416828</v>
          </cell>
          <cell r="J39">
            <v>1997002382.391351</v>
          </cell>
        </row>
      </sheetData>
      <sheetData sheetId="2"/>
      <sheetData sheetId="3"/>
      <sheetData sheetId="4"/>
      <sheetData sheetId="5"/>
      <sheetData sheetId="6">
        <row r="22">
          <cell r="B22">
            <v>128083498.13659537</v>
          </cell>
        </row>
      </sheetData>
      <sheetData sheetId="7">
        <row r="6">
          <cell r="C6">
            <v>12356999</v>
          </cell>
        </row>
      </sheetData>
      <sheetData sheetId="8">
        <row r="6">
          <cell r="C6">
            <v>27561</v>
          </cell>
        </row>
      </sheetData>
      <sheetData sheetId="9">
        <row r="9">
          <cell r="C9">
            <v>18</v>
          </cell>
        </row>
      </sheetData>
      <sheetData sheetId="10">
        <row r="10">
          <cell r="C10">
            <v>93361</v>
          </cell>
        </row>
      </sheetData>
      <sheetData sheetId="11">
        <row r="9">
          <cell r="C9">
            <v>10239</v>
          </cell>
        </row>
      </sheetData>
      <sheetData sheetId="12">
        <row r="8">
          <cell r="C8">
            <v>23</v>
          </cell>
        </row>
      </sheetData>
      <sheetData sheetId="13">
        <row r="6">
          <cell r="C6">
            <v>71</v>
          </cell>
        </row>
      </sheetData>
      <sheetData sheetId="14">
        <row r="9">
          <cell r="C9">
            <v>5882</v>
          </cell>
        </row>
      </sheetData>
      <sheetData sheetId="15">
        <row r="9">
          <cell r="C9">
            <v>39</v>
          </cell>
        </row>
      </sheetData>
      <sheetData sheetId="16">
        <row r="9">
          <cell r="C9">
            <v>1874</v>
          </cell>
        </row>
      </sheetData>
      <sheetData sheetId="17"/>
      <sheetData sheetId="18">
        <row r="9">
          <cell r="C9">
            <v>77875892</v>
          </cell>
        </row>
      </sheetData>
      <sheetData sheetId="19">
        <row r="9">
          <cell r="C9">
            <v>539795730</v>
          </cell>
        </row>
      </sheetData>
      <sheetData sheetId="20">
        <row r="6">
          <cell r="C6">
            <v>2027109354</v>
          </cell>
        </row>
      </sheetData>
      <sheetData sheetId="21">
        <row r="14">
          <cell r="C14">
            <v>-55389</v>
          </cell>
        </row>
      </sheetData>
      <sheetData sheetId="22">
        <row r="8">
          <cell r="C8">
            <v>7130880</v>
          </cell>
        </row>
      </sheetData>
      <sheetData sheetId="23"/>
      <sheetData sheetId="24"/>
      <sheetData sheetId="25"/>
      <sheetData sheetId="26"/>
      <sheetData sheetId="27">
        <row r="7">
          <cell r="E7">
            <v>10494946737.49617</v>
          </cell>
        </row>
      </sheetData>
      <sheetData sheetId="28">
        <row r="29">
          <cell r="E29">
            <v>-1628.2004999999917</v>
          </cell>
        </row>
      </sheetData>
      <sheetData sheetId="29">
        <row r="29">
          <cell r="E29">
            <v>1906399.6029999999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J5">
            <v>248459418</v>
          </cell>
        </row>
      </sheetData>
      <sheetData sheetId="44"/>
      <sheetData sheetId="45"/>
      <sheetData sheetId="46"/>
      <sheetData sheetId="4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A2C41-7A39-483B-821A-7A899228E415}">
  <dimension ref="A4"/>
  <sheetViews>
    <sheetView tabSelected="1" zoomScaleNormal="100" workbookViewId="0">
      <selection activeCell="G31" sqref="G31"/>
    </sheetView>
  </sheetViews>
  <sheetFormatPr defaultRowHeight="15.5"/>
  <sheetData>
    <row r="4" spans="1:1" ht="20">
      <c r="A4" s="139" t="s">
        <v>330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zoomScale="90" zoomScaleNormal="90" workbookViewId="0">
      <selection activeCell="Q19" sqref="Q19"/>
    </sheetView>
  </sheetViews>
  <sheetFormatPr defaultRowHeight="15.5"/>
  <cols>
    <col min="1" max="1" width="34" bestFit="1" customWidth="1"/>
    <col min="2" max="2" width="10" bestFit="1" customWidth="1"/>
    <col min="3" max="4" width="8.5" bestFit="1" customWidth="1"/>
    <col min="5" max="5" width="1.83203125" customWidth="1"/>
    <col min="6" max="7" width="12.75" bestFit="1" customWidth="1"/>
    <col min="8" max="8" width="11.75" bestFit="1" customWidth="1"/>
    <col min="9" max="9" width="1.83203125" customWidth="1"/>
    <col min="10" max="11" width="12.75" bestFit="1" customWidth="1"/>
    <col min="12" max="12" width="11.75" bestFit="1" customWidth="1"/>
    <col min="13" max="13" width="1.83203125" customWidth="1"/>
    <col min="14" max="15" width="12.75" bestFit="1" customWidth="1"/>
    <col min="16" max="16" width="1.83203125" customWidth="1"/>
    <col min="17" max="17" width="17.33203125" bestFit="1" customWidth="1"/>
    <col min="18" max="18" width="1.83203125" customWidth="1"/>
  </cols>
  <sheetData>
    <row r="1" spans="1:20">
      <c r="A1" s="66" t="s">
        <v>53</v>
      </c>
      <c r="B1" s="66"/>
      <c r="C1" s="66"/>
      <c r="D1" s="67"/>
      <c r="E1" s="67"/>
      <c r="F1" s="67"/>
      <c r="G1" s="67"/>
      <c r="H1" s="67"/>
      <c r="I1" s="67"/>
      <c r="J1" s="67"/>
      <c r="K1" s="67"/>
      <c r="L1" s="67"/>
    </row>
    <row r="2" spans="1:20">
      <c r="A2" s="77" t="s">
        <v>278</v>
      </c>
      <c r="B2" s="66"/>
      <c r="C2" s="66"/>
      <c r="D2" s="67"/>
      <c r="E2" s="67"/>
      <c r="F2" s="67"/>
      <c r="G2" s="67"/>
      <c r="H2" s="67"/>
      <c r="I2" s="67"/>
      <c r="J2" s="67"/>
      <c r="K2" s="67"/>
      <c r="L2" s="67"/>
    </row>
    <row r="3" spans="1:20">
      <c r="A3" s="66" t="s">
        <v>268</v>
      </c>
      <c r="B3" s="66"/>
      <c r="C3" s="66"/>
      <c r="D3" s="67"/>
      <c r="E3" s="67"/>
      <c r="F3" s="67"/>
      <c r="G3" s="67"/>
      <c r="H3" s="67"/>
      <c r="I3" s="67"/>
      <c r="J3" s="67"/>
      <c r="K3" s="67"/>
      <c r="L3" s="67"/>
    </row>
    <row r="4" spans="1:20">
      <c r="A4" s="66" t="s">
        <v>269</v>
      </c>
      <c r="B4" s="66"/>
      <c r="C4" s="66"/>
      <c r="D4" s="67"/>
      <c r="E4" s="67"/>
      <c r="F4" s="67"/>
      <c r="G4" s="67"/>
      <c r="H4" s="67"/>
      <c r="I4" s="67"/>
      <c r="J4" s="67"/>
      <c r="K4" s="67"/>
      <c r="L4" s="67"/>
    </row>
    <row r="5" spans="1:20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S5" s="121" t="s">
        <v>312</v>
      </c>
      <c r="T5" s="121"/>
    </row>
    <row r="6" spans="1:20">
      <c r="A6" s="68"/>
      <c r="B6" s="68"/>
      <c r="C6" s="69"/>
      <c r="D6" s="67"/>
      <c r="E6" s="67"/>
      <c r="F6" s="119" t="s">
        <v>270</v>
      </c>
      <c r="G6" s="119"/>
      <c r="H6" s="119"/>
      <c r="I6" s="67"/>
      <c r="J6" s="119" t="s">
        <v>271</v>
      </c>
      <c r="K6" s="119"/>
      <c r="L6" s="119"/>
      <c r="N6" s="120" t="s">
        <v>279</v>
      </c>
      <c r="O6" s="119"/>
      <c r="Q6" s="64" t="s">
        <v>292</v>
      </c>
      <c r="S6" s="122"/>
      <c r="T6" s="122"/>
    </row>
    <row r="7" spans="1:20">
      <c r="A7" s="68"/>
      <c r="B7" s="68"/>
      <c r="C7" s="69" t="s">
        <v>272</v>
      </c>
      <c r="D7" s="67" t="s">
        <v>260</v>
      </c>
      <c r="E7" s="67"/>
      <c r="F7" s="70" t="s">
        <v>272</v>
      </c>
      <c r="G7" s="70" t="s">
        <v>260</v>
      </c>
      <c r="H7" s="67"/>
      <c r="I7" s="67"/>
      <c r="J7" s="70" t="s">
        <v>272</v>
      </c>
      <c r="K7" s="70" t="s">
        <v>260</v>
      </c>
      <c r="L7" s="67"/>
      <c r="N7" s="70" t="s">
        <v>272</v>
      </c>
      <c r="O7" s="70" t="s">
        <v>260</v>
      </c>
      <c r="Q7" s="114" t="s">
        <v>281</v>
      </c>
      <c r="S7" s="70" t="s">
        <v>272</v>
      </c>
      <c r="T7" s="70" t="s">
        <v>260</v>
      </c>
    </row>
    <row r="8" spans="1:20">
      <c r="A8" s="71" t="s">
        <v>273</v>
      </c>
      <c r="B8" s="71" t="s">
        <v>274</v>
      </c>
      <c r="C8" s="72" t="s">
        <v>275</v>
      </c>
      <c r="D8" s="72" t="s">
        <v>275</v>
      </c>
      <c r="E8" s="67"/>
      <c r="F8" s="72" t="s">
        <v>276</v>
      </c>
      <c r="G8" s="72" t="s">
        <v>276</v>
      </c>
      <c r="H8" s="72" t="s">
        <v>277</v>
      </c>
      <c r="I8" s="67"/>
      <c r="J8" s="72" t="s">
        <v>276</v>
      </c>
      <c r="K8" s="72" t="s">
        <v>276</v>
      </c>
      <c r="L8" s="72" t="s">
        <v>277</v>
      </c>
      <c r="N8" s="72" t="s">
        <v>276</v>
      </c>
      <c r="O8" s="72" t="s">
        <v>276</v>
      </c>
      <c r="Q8" s="72" t="s">
        <v>282</v>
      </c>
      <c r="S8" s="72" t="s">
        <v>276</v>
      </c>
      <c r="T8" s="72" t="s">
        <v>276</v>
      </c>
    </row>
    <row r="9" spans="1:20">
      <c r="A9" s="67" t="str">
        <f>+'Sch 141x &amp; 141z (Usage)'!C14</f>
        <v>Residential Service</v>
      </c>
      <c r="B9" s="70">
        <f>+'Sch 141x &amp; 141z (Usage)'!E14</f>
        <v>7</v>
      </c>
      <c r="C9" s="73">
        <f>+'Sch 141x &amp; 141z (Usage)'!I14</f>
        <v>0.46453174315801882</v>
      </c>
      <c r="D9" s="73">
        <f>+'Sch 141x &amp; 141z (Ratebase)'!J14</f>
        <v>0.59047118927505038</v>
      </c>
      <c r="E9" s="67"/>
      <c r="F9" s="74">
        <f>+'Original Summary'!I8*1000000</f>
        <v>-25332028.507931631</v>
      </c>
      <c r="G9" s="74">
        <f>+'Original Summary'!J8*1000000</f>
        <v>-32199808.129666813</v>
      </c>
      <c r="H9" s="74">
        <f t="shared" ref="H9:H18" si="0">G9-F9</f>
        <v>-6867779.6217351817</v>
      </c>
      <c r="I9" s="67"/>
      <c r="J9" s="74">
        <f>+'Original Summary'!M8*1000000</f>
        <v>-7424099.8659771411</v>
      </c>
      <c r="K9" s="74">
        <f>+'Original Summary'!N8*1000000</f>
        <v>-9436851.4998749271</v>
      </c>
      <c r="L9" s="74">
        <f t="shared" ref="L9:L18" si="1">K9-J9</f>
        <v>-2012751.633897786</v>
      </c>
      <c r="N9" s="74">
        <f>SUM(J9,F9)</f>
        <v>-32756128.373908773</v>
      </c>
      <c r="O9" s="74">
        <f t="shared" ref="O9:O22" si="2">SUM(K9,G9)</f>
        <v>-41636659.62954174</v>
      </c>
      <c r="Q9" s="85">
        <f>+'Exhibit No.__(JAP-Prof-Prop)'!L17*1000</f>
        <v>1105896514</v>
      </c>
      <c r="S9" s="87">
        <f>+N9/Q9</f>
        <v>-2.9619524032525137E-2</v>
      </c>
      <c r="T9" s="87">
        <f>+O9/Q9</f>
        <v>-3.7649688829330862E-2</v>
      </c>
    </row>
    <row r="10" spans="1:20">
      <c r="A10" s="67" t="str">
        <f>+'Sch 141x &amp; 141z (Usage)'!C18</f>
        <v>Secondary General Service</v>
      </c>
      <c r="B10" s="70" t="str">
        <f>+'Sch 141x &amp; 141z (Usage)'!E18</f>
        <v>8, 24</v>
      </c>
      <c r="C10" s="73">
        <f>+'Sch 141x &amp; 141z (Usage)'!I18</f>
        <v>0.11807325167103518</v>
      </c>
      <c r="D10" s="73">
        <f>+'Sch 141x &amp; 141z (Ratebase)'!J18</f>
        <v>0.12140534785039553</v>
      </c>
      <c r="E10" s="67"/>
      <c r="F10" s="74">
        <f>+'Original Summary'!I12*1000000</f>
        <v>-6438817.1990593001</v>
      </c>
      <c r="G10" s="74">
        <f>+'Original Summary'!J12*1000000</f>
        <v>-6620524.3840901703</v>
      </c>
      <c r="H10" s="74">
        <f t="shared" si="0"/>
        <v>-181707.18503087014</v>
      </c>
      <c r="I10" s="67"/>
      <c r="J10" s="74">
        <f>+'Original Summary'!M12*1000000</f>
        <v>-1887034.900881317</v>
      </c>
      <c r="K10" s="74">
        <f>+'Original Summary'!N12*1000000</f>
        <v>-1940288.1288102362</v>
      </c>
      <c r="L10" s="74">
        <f t="shared" si="1"/>
        <v>-53253.227928919252</v>
      </c>
      <c r="N10" s="74">
        <f t="shared" ref="N10:N22" si="3">SUM(J10,F10)</f>
        <v>-8325852.0999406166</v>
      </c>
      <c r="O10" s="74">
        <f t="shared" si="2"/>
        <v>-8560812.5129004065</v>
      </c>
      <c r="Q10" s="85">
        <f>+'Exhibit No.__(JAP-Prof-Prop)'!L21*1000</f>
        <v>263390397</v>
      </c>
      <c r="S10" s="87">
        <f t="shared" ref="S10:S22" si="4">+N10/Q10</f>
        <v>-3.1610309999041526E-2</v>
      </c>
      <c r="T10" s="87">
        <f t="shared" ref="T10:T22" si="5">+O10/Q10</f>
        <v>-3.250237142434774E-2</v>
      </c>
    </row>
    <row r="11" spans="1:20">
      <c r="A11" s="67" t="str">
        <f>+'Sch 141x &amp; 141z (Usage)'!C19</f>
        <v>Small Secondary General Service</v>
      </c>
      <c r="B11" s="70" t="str">
        <f>+'Sch 141x &amp; 141z (Usage)'!E19</f>
        <v>7A, 11, 25</v>
      </c>
      <c r="C11" s="73">
        <f>+'Sch 141x &amp; 141z (Usage)'!I19</f>
        <v>0.13075612494373606</v>
      </c>
      <c r="D11" s="73">
        <f>+'Sch 141x &amp; 141z (Ratebase)'!J19</f>
        <v>0.12471774819661804</v>
      </c>
      <c r="E11" s="67"/>
      <c r="F11" s="74">
        <f>+'Original Summary'!I13*1000000</f>
        <v>-7130444.6541011678</v>
      </c>
      <c r="G11" s="74">
        <f>+'Sch 141x &amp; 141z (Ratebase)'!M19*'Sch 141x &amp; 141z (Ratebase)'!G19*1000</f>
        <v>-6764938.0890485039</v>
      </c>
      <c r="H11" s="74">
        <f t="shared" si="0"/>
        <v>365506.56505266391</v>
      </c>
      <c r="I11" s="67"/>
      <c r="J11" s="74">
        <f>+'Original Summary'!M13*1000000</f>
        <v>-2089731.3132382953</v>
      </c>
      <c r="K11" s="74">
        <f>+'Original Summary'!N13*1000000</f>
        <v>-1982611.6943032537</v>
      </c>
      <c r="L11" s="74">
        <f t="shared" si="1"/>
        <v>107119.6189350416</v>
      </c>
      <c r="N11" s="74">
        <f t="shared" si="3"/>
        <v>-9220175.9673394635</v>
      </c>
      <c r="O11" s="74">
        <f t="shared" si="2"/>
        <v>-8747549.7833517566</v>
      </c>
      <c r="Q11" s="85">
        <f>+'Exhibit No.__(JAP-Prof-Prop)'!L22*1000</f>
        <v>269437799</v>
      </c>
      <c r="S11" s="87">
        <f t="shared" si="4"/>
        <v>-3.4220053762165206E-2</v>
      </c>
      <c r="T11" s="87">
        <f t="shared" si="5"/>
        <v>-3.2465933940292305E-2</v>
      </c>
    </row>
    <row r="12" spans="1:20">
      <c r="A12" s="67" t="str">
        <f>+'Sch 141x &amp; 141z (Usage)'!C20</f>
        <v>Large Secondary General Service</v>
      </c>
      <c r="B12" s="70" t="str">
        <f>+'Sch 141x &amp; 141z (Usage)'!E20</f>
        <v>12, 26, 26P</v>
      </c>
      <c r="C12" s="73">
        <f>+'Sch 141x &amp; 141z (Usage)'!I20</f>
        <v>8.4890665523301295E-2</v>
      </c>
      <c r="D12" s="73">
        <f>+'Sch 141x &amp; 141z (Ratebase)'!J20</f>
        <v>6.9141427417593479E-2</v>
      </c>
      <c r="E12" s="67"/>
      <c r="F12" s="74">
        <f>+'Original Summary'!I14*1000000</f>
        <v>-4629291.3041295484</v>
      </c>
      <c r="G12" s="74">
        <f>+'Original Summary'!J14*1000000</f>
        <v>-3770447.6308000376</v>
      </c>
      <c r="H12" s="74">
        <f t="shared" si="0"/>
        <v>858843.67332951073</v>
      </c>
      <c r="I12" s="67"/>
      <c r="J12" s="74">
        <f>+'Original Summary'!M14*1000000</f>
        <v>-1356714.1273268489</v>
      </c>
      <c r="K12" s="74">
        <f>+'Original Summary'!N14*1000000</f>
        <v>-1105011.3788452372</v>
      </c>
      <c r="L12" s="74">
        <f t="shared" si="1"/>
        <v>251702.74848161172</v>
      </c>
      <c r="N12" s="74">
        <f t="shared" si="3"/>
        <v>-5986005.4314563973</v>
      </c>
      <c r="O12" s="74">
        <f t="shared" si="2"/>
        <v>-4875459.0096452748</v>
      </c>
      <c r="Q12" s="85">
        <f>+'Exhibit No.__(JAP-Prof-Prop)'!L23*1000</f>
        <v>160280841</v>
      </c>
      <c r="S12" s="87">
        <f t="shared" si="4"/>
        <v>-3.7346980425791487E-2</v>
      </c>
      <c r="T12" s="87">
        <f t="shared" si="5"/>
        <v>-3.0418227027179591E-2</v>
      </c>
    </row>
    <row r="13" spans="1:20">
      <c r="A13" s="67" t="str">
        <f>+'Sch 141x &amp; 141z (Usage)'!C21</f>
        <v>Secondary Irrigation &amp; Pumping Service</v>
      </c>
      <c r="B13" s="70">
        <f>+'Sch 141x &amp; 141z (Usage)'!E21</f>
        <v>29</v>
      </c>
      <c r="C13" s="73">
        <f>+'Sch 141x &amp; 141z (Usage)'!I21</f>
        <v>7.0006714466645987E-4</v>
      </c>
      <c r="D13" s="73"/>
      <c r="E13" s="67"/>
      <c r="F13" s="74">
        <f>+'Original Summary'!I15*1000000</f>
        <v>-38176.338059473535</v>
      </c>
      <c r="G13" s="74">
        <f>+'Sch 141x &amp; 141z (Ratebase)'!M21*'Sch 141x &amp; 141z (Ratebase)'!G21*1000</f>
        <v>-36219.419120009945</v>
      </c>
      <c r="H13" s="74">
        <f t="shared" si="0"/>
        <v>1956.9189394635905</v>
      </c>
      <c r="I13" s="67"/>
      <c r="J13" s="74">
        <f>+'Original Summary'!M15*1000000</f>
        <v>-11188.403099344894</v>
      </c>
      <c r="K13" s="74">
        <f>+'Original Summary'!N15*1000000</f>
        <v>-10614.885600276439</v>
      </c>
      <c r="L13" s="74">
        <f t="shared" si="1"/>
        <v>573.51749906845544</v>
      </c>
      <c r="N13" s="74">
        <f t="shared" si="3"/>
        <v>-49364.741158818433</v>
      </c>
      <c r="O13" s="74">
        <f t="shared" si="2"/>
        <v>-46834.304720286382</v>
      </c>
      <c r="Q13" s="85">
        <f>+'Exhibit No.__(JAP-Prof-Prop)'!L24*1000</f>
        <v>1265443</v>
      </c>
      <c r="S13" s="87">
        <f t="shared" si="4"/>
        <v>-3.9009849640654251E-2</v>
      </c>
      <c r="T13" s="87">
        <f t="shared" si="5"/>
        <v>-3.7010204900802632E-2</v>
      </c>
    </row>
    <row r="14" spans="1:20">
      <c r="A14" s="67" t="str">
        <f>+'Sch 141x &amp; 141z (Usage)'!C25</f>
        <v>Primary General Service</v>
      </c>
      <c r="B14" s="70" t="str">
        <f>+'Sch 141x &amp; 141z (Usage)'!E25</f>
        <v>10, 31</v>
      </c>
      <c r="C14" s="73">
        <f>+'Sch 141x &amp; 141z (Usage)'!I25</f>
        <v>6.1569121407451036E-2</v>
      </c>
      <c r="D14" s="73">
        <f>+'Sch 141x &amp; 141z (Ratebase)'!J25</f>
        <v>5.2326606375532922E-2</v>
      </c>
      <c r="E14" s="67"/>
      <c r="F14" s="74">
        <f>+'Original Summary'!I19*1000000</f>
        <v>-3357511.6483940757</v>
      </c>
      <c r="G14" s="74">
        <f>+'Original Summary'!J19*1000000</f>
        <v>-2853495.1678800797</v>
      </c>
      <c r="H14" s="74">
        <f t="shared" si="0"/>
        <v>504016.48051399598</v>
      </c>
      <c r="I14" s="67"/>
      <c r="J14" s="74">
        <f>+'Original Summary'!M19*1000000</f>
        <v>-983991.54142174171</v>
      </c>
      <c r="K14" s="74">
        <f>+'Original Summary'!N19*1000000</f>
        <v>-836278.59043312958</v>
      </c>
      <c r="L14" s="74">
        <f t="shared" si="1"/>
        <v>147712.95098861214</v>
      </c>
      <c r="N14" s="74">
        <f t="shared" si="3"/>
        <v>-4341503.1898158174</v>
      </c>
      <c r="O14" s="74">
        <f t="shared" si="2"/>
        <v>-3689773.7583132093</v>
      </c>
      <c r="Q14" s="85">
        <f>+'Exhibit No.__(JAP-Prof-Prop)'!L28*1000</f>
        <v>113255217</v>
      </c>
      <c r="S14" s="87">
        <f t="shared" si="4"/>
        <v>-3.8333803111390598E-2</v>
      </c>
      <c r="T14" s="87">
        <f t="shared" si="5"/>
        <v>-3.2579282933281647E-2</v>
      </c>
    </row>
    <row r="15" spans="1:20">
      <c r="A15" s="67" t="str">
        <f>+'Sch 141x &amp; 141z (Usage)'!C26</f>
        <v>Primary Irrigation &amp; Pumping Service</v>
      </c>
      <c r="B15" s="70">
        <f>+'Sch 141x &amp; 141z (Usage)'!E26</f>
        <v>35</v>
      </c>
      <c r="C15" s="73">
        <f>+'Sch 141x &amp; 141z (Usage)'!I26</f>
        <v>1.9431565946847877E-4</v>
      </c>
      <c r="D15" s="73">
        <f>+'Sch 141x &amp; 141z (Ratebase)'!J26</f>
        <v>2.7094663434003893E-4</v>
      </c>
      <c r="E15" s="67"/>
      <c r="F15" s="74">
        <f>+'Original Summary'!I20*1000000</f>
        <v>-10596.498296820575</v>
      </c>
      <c r="G15" s="74">
        <f>+'Original Summary'!J20*1000000</f>
        <v>-14775.368887751567</v>
      </c>
      <c r="H15" s="74">
        <f t="shared" si="0"/>
        <v>-4178.870590930992</v>
      </c>
      <c r="I15" s="67"/>
      <c r="J15" s="74">
        <f>+'Original Summary'!M20*1000000</f>
        <v>-3105.5334380592808</v>
      </c>
      <c r="K15" s="74">
        <f>+'Original Summary'!N20*1000000</f>
        <v>-4330.2420153590683</v>
      </c>
      <c r="L15" s="74">
        <f t="shared" si="1"/>
        <v>-1224.7085772997875</v>
      </c>
      <c r="N15" s="74">
        <f t="shared" si="3"/>
        <v>-13702.031734879856</v>
      </c>
      <c r="O15" s="74">
        <f t="shared" si="2"/>
        <v>-19105.610903110635</v>
      </c>
      <c r="Q15" s="85">
        <f>+'Exhibit No.__(JAP-Prof-Prop)'!L29*1000</f>
        <v>268015</v>
      </c>
      <c r="S15" s="87">
        <f t="shared" si="4"/>
        <v>-5.1124122660596821E-2</v>
      </c>
      <c r="T15" s="87">
        <f t="shared" si="5"/>
        <v>-7.1285603056211913E-2</v>
      </c>
    </row>
    <row r="16" spans="1:20">
      <c r="A16" s="67" t="str">
        <f>+'Sch 141x &amp; 141z (Usage)'!C27</f>
        <v>Primary All Electric Schools</v>
      </c>
      <c r="B16" s="70">
        <f>+'Sch 141x &amp; 141z (Usage)'!E27</f>
        <v>43</v>
      </c>
      <c r="C16" s="73">
        <f>+'Sch 141x &amp; 141z (Usage)'!I27</f>
        <v>5.3568020269120931E-3</v>
      </c>
      <c r="D16" s="73">
        <f>+'Sch 141x &amp; 141z (Ratebase)'!J27</f>
        <v>6.4963081580762493E-3</v>
      </c>
      <c r="E16" s="67"/>
      <c r="F16" s="74">
        <f>+'Original Summary'!I21*1000000</f>
        <v>-292119.2440683709</v>
      </c>
      <c r="G16" s="74">
        <f>+'Original Summary'!J21*1000000</f>
        <v>-354259.24251793645</v>
      </c>
      <c r="H16" s="74">
        <f t="shared" si="0"/>
        <v>-62139.998449565552</v>
      </c>
      <c r="I16" s="67"/>
      <c r="J16" s="74">
        <f>+'Original Summary'!M21*1000000</f>
        <v>-85611.874313906388</v>
      </c>
      <c r="K16" s="74">
        <f>+'Original Summary'!N21*1000000</f>
        <v>-103823.34735155881</v>
      </c>
      <c r="L16" s="74">
        <f t="shared" si="1"/>
        <v>-18211.473037652424</v>
      </c>
      <c r="N16" s="74">
        <f t="shared" si="3"/>
        <v>-377731.11838227732</v>
      </c>
      <c r="O16" s="74">
        <f t="shared" si="2"/>
        <v>-458082.58986949525</v>
      </c>
      <c r="Q16" s="85">
        <f>+'Exhibit No.__(JAP-Prof-Prop)'!L30*1000</f>
        <v>10687149</v>
      </c>
      <c r="S16" s="87">
        <f t="shared" si="4"/>
        <v>-3.5344423323963883E-2</v>
      </c>
      <c r="T16" s="87">
        <f t="shared" si="5"/>
        <v>-4.2862936585753159E-2</v>
      </c>
    </row>
    <row r="17" spans="1:20">
      <c r="A17" s="67" t="str">
        <f>+'Sch 141x &amp; 141z (Usage)'!C31</f>
        <v>High Voltage Interruptible Service</v>
      </c>
      <c r="B17" s="70">
        <f>+'Sch 141x &amp; 141z (Usage)'!E31</f>
        <v>46</v>
      </c>
      <c r="C17" s="73">
        <f>+'Sch 141x &amp; 141z (Usage)'!I31</f>
        <v>3.4262121400645503E-3</v>
      </c>
      <c r="D17" s="73"/>
      <c r="E17" s="67"/>
      <c r="F17" s="74">
        <f>+'Original Summary'!I25*1000000</f>
        <v>-186839.55377579539</v>
      </c>
      <c r="G17" s="74">
        <f>+'Original Summary'!J25*1000000</f>
        <v>-119216.14800861877</v>
      </c>
      <c r="H17" s="74">
        <f t="shared" si="0"/>
        <v>67623.40576717662</v>
      </c>
      <c r="I17" s="67"/>
      <c r="J17" s="74">
        <f>+'Original Summary'!M25*1000000</f>
        <v>-54757.37980129764</v>
      </c>
      <c r="K17" s="74">
        <f>+'Original Summary'!N25*1000000</f>
        <v>-34938.875430997374</v>
      </c>
      <c r="L17" s="74">
        <f t="shared" si="1"/>
        <v>19818.504370300267</v>
      </c>
      <c r="N17" s="74">
        <f t="shared" si="3"/>
        <v>-241596.93357709303</v>
      </c>
      <c r="O17" s="74">
        <f t="shared" si="2"/>
        <v>-154155.02343961614</v>
      </c>
      <c r="Q17" s="85">
        <f>+'Exhibit No.__(JAP-Prof-Prop)'!L34*1000</f>
        <v>5190436</v>
      </c>
      <c r="S17" s="87">
        <f t="shared" si="4"/>
        <v>-4.6546558627655374E-2</v>
      </c>
      <c r="T17" s="87">
        <f t="shared" si="5"/>
        <v>-2.9699821641113799E-2</v>
      </c>
    </row>
    <row r="18" spans="1:20">
      <c r="A18" s="67" t="str">
        <f>+'Sch 141x &amp; 141z (Usage)'!C32</f>
        <v>High Voltage General Service</v>
      </c>
      <c r="B18" s="70">
        <f>+'Sch 141x &amp; 141z (Usage)'!E32</f>
        <v>49</v>
      </c>
      <c r="C18" s="73">
        <f>+'Sch 141x &amp; 141z (Usage)'!I32</f>
        <v>2.3712317693333738E-2</v>
      </c>
      <c r="D18" s="73">
        <f>+'Sch 141x &amp; 141z (Ratebase)'!J33</f>
        <v>1.7316199509002778E-2</v>
      </c>
      <c r="E18" s="67"/>
      <c r="F18" s="74">
        <f>+'Original Summary'!I26*1000000</f>
        <v>-1293089.4748183643</v>
      </c>
      <c r="G18" s="74">
        <f>+'Original Summary'!J26*1000000</f>
        <v>-825077.68351512682</v>
      </c>
      <c r="H18" s="74">
        <f t="shared" si="0"/>
        <v>468011.79130323743</v>
      </c>
      <c r="I18" s="67"/>
      <c r="J18" s="74">
        <f>+'Original Summary'!M26*1000000</f>
        <v>-378967.89014309045</v>
      </c>
      <c r="K18" s="74">
        <f>+'Original Summary'!N26*1000000</f>
        <v>-241806.89350193413</v>
      </c>
      <c r="L18" s="74">
        <f t="shared" si="1"/>
        <v>137160.99664115632</v>
      </c>
      <c r="N18" s="74">
        <f t="shared" si="3"/>
        <v>-1672057.3649614546</v>
      </c>
      <c r="O18" s="74">
        <f t="shared" si="2"/>
        <v>-1066884.5770170609</v>
      </c>
      <c r="Q18" s="85">
        <f>+'Exhibit No.__(JAP-Prof-Prop)'!L35*1000</f>
        <v>34937812</v>
      </c>
      <c r="S18" s="87">
        <f t="shared" si="4"/>
        <v>-4.7858101845686694E-2</v>
      </c>
      <c r="T18" s="87">
        <f t="shared" si="5"/>
        <v>-3.0536674048651385E-2</v>
      </c>
    </row>
    <row r="19" spans="1:20">
      <c r="A19" s="67" t="str">
        <f>+'Sch 141x &amp; 141z (Usage)'!C36</f>
        <v>Retail Wheeling Transporation</v>
      </c>
      <c r="B19" s="70" t="str">
        <f>+'Sch 141x &amp; 141z (Usage)'!E36</f>
        <v>449, 459</v>
      </c>
      <c r="C19" s="73">
        <f>+'Sch 141x &amp; 141z (Usage)'!I36</f>
        <v>8.8713678833537271E-2</v>
      </c>
      <c r="D19" s="73">
        <f>+'Sch 141x &amp; 141z (Ratebase)'!J36</f>
        <v>6.7626743070084937E-4</v>
      </c>
      <c r="E19" s="67"/>
      <c r="F19" s="74">
        <f>+'Original Summary'!I30*1000000</f>
        <v>-4837769.3760535941</v>
      </c>
      <c r="G19" s="74">
        <f>+'Original Summary'!J30*1000000</f>
        <v>-36878.482656613844</v>
      </c>
      <c r="H19" s="74">
        <f t="shared" ref="H19:H20" si="6">G19-F19</f>
        <v>4800890.8933969801</v>
      </c>
      <c r="I19" s="67"/>
      <c r="J19" s="74">
        <f>+'Original Summary'!M30*1000000</f>
        <v>-1417813.1437497092</v>
      </c>
      <c r="K19" s="74">
        <f>+'Original Summary'!N30*1000000</f>
        <v>-10808.038450717904</v>
      </c>
      <c r="L19" s="74">
        <f t="shared" ref="L19:L20" si="7">K19-J19</f>
        <v>1407005.1052989913</v>
      </c>
      <c r="N19" s="74">
        <f t="shared" si="3"/>
        <v>-6255582.5198033033</v>
      </c>
      <c r="O19" s="74">
        <f t="shared" si="2"/>
        <v>-47686.521107331748</v>
      </c>
      <c r="Q19" s="85">
        <f>+'Exhibit No.__(JAP-TRANSP RD)'!H14</f>
        <v>510215.02252807148</v>
      </c>
      <c r="S19" s="87">
        <f t="shared" si="4"/>
        <v>-12.26067881891723</v>
      </c>
      <c r="T19" s="87">
        <f t="shared" si="5"/>
        <v>-9.3463577122933669E-2</v>
      </c>
    </row>
    <row r="20" spans="1:20">
      <c r="A20" s="67" t="str">
        <f>+'Sch 141x &amp; 141z (Usage)'!C37</f>
        <v>Special Contract Service</v>
      </c>
      <c r="B20" s="70" t="str">
        <f>+'Sch 141x &amp; 141z (Usage)'!E37</f>
        <v>SC</v>
      </c>
      <c r="C20" s="73">
        <f>+'Sch 141x &amp; 141z (Usage)'!I37</f>
        <v>1.4702500906839276E-2</v>
      </c>
      <c r="D20" s="73">
        <f>+'Sch 141x &amp; 141z (Ratebase)'!J37</f>
        <v>5.9480833195286438E-3</v>
      </c>
      <c r="E20" s="67"/>
      <c r="F20" s="74">
        <f>+'Original Summary'!I31*1000000</f>
        <v>-801762.58693961764</v>
      </c>
      <c r="G20" s="74">
        <f>+'Original Summary'!J31*1000000</f>
        <v>-324363.22907344723</v>
      </c>
      <c r="H20" s="74">
        <f t="shared" si="6"/>
        <v>477399.35786617041</v>
      </c>
      <c r="I20" s="67"/>
      <c r="J20" s="74">
        <f>+'Original Summary'!M31*1000000</f>
        <v>-234973.89924301463</v>
      </c>
      <c r="K20" s="74">
        <f>+'Original Summary'!N31*1000000</f>
        <v>-95061.67280437483</v>
      </c>
      <c r="L20" s="74">
        <f t="shared" si="7"/>
        <v>139912.2264386398</v>
      </c>
      <c r="N20" s="74">
        <f t="shared" si="3"/>
        <v>-1036736.4861826323</v>
      </c>
      <c r="O20" s="74">
        <f t="shared" si="2"/>
        <v>-419424.90187782206</v>
      </c>
      <c r="Q20" s="85">
        <f>+'Exhibit No.__(JAP-Prof-Prop)'!L40*1000</f>
        <v>5493907</v>
      </c>
      <c r="S20" s="87">
        <f t="shared" si="4"/>
        <v>-0.18870659553986485</v>
      </c>
      <c r="T20" s="87">
        <f t="shared" si="5"/>
        <v>-7.6343647949960208E-2</v>
      </c>
    </row>
    <row r="21" spans="1:20">
      <c r="A21" s="67" t="str">
        <f>+'Sch 141x &amp; 141z (Usage)'!C40</f>
        <v>Street and Area Lighting</v>
      </c>
      <c r="B21" s="70" t="str">
        <f>+'Sch 141x &amp; 141z (Usage)'!E40</f>
        <v>50-59</v>
      </c>
      <c r="C21" s="73">
        <f>+'Sch 141x &amp; 141z (Usage)'!I40</f>
        <v>3.0596609187047777E-3</v>
      </c>
      <c r="D21" s="73">
        <f>+'Sch 141x &amp; 141z (Ratebase)'!J40</f>
        <v>1.0893076726781224E-2</v>
      </c>
      <c r="E21" s="67"/>
      <c r="F21" s="74">
        <f>+'Original Summary'!I34*1000000</f>
        <v>-166850.63778487183</v>
      </c>
      <c r="G21" s="74">
        <f>+'Original Summary'!J34*1000000</f>
        <v>-594025.56283014081</v>
      </c>
      <c r="H21" s="74">
        <f t="shared" ref="H21" si="8">G21-F21</f>
        <v>-427174.92504526896</v>
      </c>
      <c r="I21" s="67"/>
      <c r="J21" s="74">
        <f>+'Original Summary'!M34*1000000</f>
        <v>-48899.19483664789</v>
      </c>
      <c r="K21" s="74">
        <f>+'Original Summary'!N34*1000000</f>
        <v>-174092.06293974485</v>
      </c>
      <c r="L21" s="74">
        <f t="shared" ref="L21" si="9">K21-J21</f>
        <v>-125192.86810309696</v>
      </c>
      <c r="N21" s="74">
        <f t="shared" si="3"/>
        <v>-215749.83262151972</v>
      </c>
      <c r="O21" s="74">
        <f t="shared" si="2"/>
        <v>-768117.62576988572</v>
      </c>
      <c r="Q21" s="85">
        <f>+'Exhibit No.__(JAP-Prof-Prop)'!L43*1000</f>
        <v>16457504</v>
      </c>
      <c r="S21" s="87">
        <f t="shared" si="4"/>
        <v>-1.3109511176270698E-2</v>
      </c>
      <c r="T21" s="87">
        <f t="shared" si="5"/>
        <v>-4.667278985743438E-2</v>
      </c>
    </row>
    <row r="22" spans="1:20">
      <c r="A22" s="67" t="str">
        <f>+'Sch 141x &amp; 141z (Usage)'!C44</f>
        <v>Wholesale for Resale</v>
      </c>
      <c r="B22" s="70" t="str">
        <f>+'Sch 141x &amp; 141z (Usage)'!E44</f>
        <v>005</v>
      </c>
      <c r="C22" s="73">
        <f>+'Sch 141x &amp; 141z (Usage)'!I44</f>
        <v>3.135379729309737E-4</v>
      </c>
      <c r="D22" s="73">
        <f>+'Sch 141x &amp; 141z (Ratebase)'!J44</f>
        <v>3.3679910637992737E-4</v>
      </c>
      <c r="E22" s="67"/>
      <c r="F22" s="74">
        <f>+'Original Summary'!I38*1000000</f>
        <v>-17097.976587371166</v>
      </c>
      <c r="G22" s="74">
        <f>+'Original Summary'!J38*1000000</f>
        <v>-18366.46190475722</v>
      </c>
      <c r="H22" s="74">
        <f t="shared" ref="H22" si="10">G22-F22</f>
        <v>-1268.4853173860538</v>
      </c>
      <c r="I22" s="67"/>
      <c r="J22" s="74">
        <f>+'Original Summary'!M38*1000000</f>
        <v>-5010.9325295855288</v>
      </c>
      <c r="K22" s="74">
        <f>+'Original Summary'!N38*1000000</f>
        <v>-5382.6896382533614</v>
      </c>
      <c r="L22" s="74">
        <f t="shared" ref="L22" si="11">K22-J22</f>
        <v>-371.75710866783265</v>
      </c>
      <c r="N22" s="74">
        <f t="shared" si="3"/>
        <v>-22108.909116956696</v>
      </c>
      <c r="O22" s="74">
        <f t="shared" si="2"/>
        <v>-23749.151543010579</v>
      </c>
      <c r="Q22" s="85">
        <f>+'Exhibit No.__(JAP-Prof-Prop)'!L47*1000</f>
        <v>327360</v>
      </c>
      <c r="S22" s="87">
        <f t="shared" si="4"/>
        <v>-6.753699021553243E-2</v>
      </c>
      <c r="T22" s="87">
        <f t="shared" si="5"/>
        <v>-7.2547505935393997E-2</v>
      </c>
    </row>
    <row r="23" spans="1:20">
      <c r="A23" s="67" t="s">
        <v>60</v>
      </c>
      <c r="B23" s="67"/>
      <c r="C23" s="76">
        <f>SUM(C9:C22)</f>
        <v>1</v>
      </c>
      <c r="D23" s="76">
        <f>SUM(D9:D22)</f>
        <v>0.99999999999999989</v>
      </c>
      <c r="E23" s="67"/>
      <c r="F23" s="75">
        <f>SUM(F9:F22)</f>
        <v>-54532394.999999993</v>
      </c>
      <c r="G23" s="75">
        <f>SUM(G9:G22)</f>
        <v>-54532395.000000007</v>
      </c>
      <c r="H23" s="75">
        <f>SUM(H9:H22)</f>
        <v>-3.8489815779030323E-9</v>
      </c>
      <c r="I23" s="67"/>
      <c r="J23" s="75">
        <f>SUM(J9:J22)</f>
        <v>-15981899.999999998</v>
      </c>
      <c r="K23" s="75">
        <f>SUM(K9:K22)</f>
        <v>-15981900</v>
      </c>
      <c r="L23" s="75">
        <f>SUM(L9:L22)</f>
        <v>-5.4933479987084866E-10</v>
      </c>
      <c r="N23" s="75">
        <f>SUM(N9:N22)</f>
        <v>-70514294.999999985</v>
      </c>
      <c r="O23" s="75">
        <f>SUM(O9:O22)</f>
        <v>-70514295</v>
      </c>
      <c r="Q23" s="75">
        <f>SUM(Q9:Q22)</f>
        <v>1987398609.0225282</v>
      </c>
    </row>
    <row r="26" spans="1:20">
      <c r="B26" s="86" t="s">
        <v>293</v>
      </c>
    </row>
  </sheetData>
  <mergeCells count="4">
    <mergeCell ref="F6:H6"/>
    <mergeCell ref="J6:L6"/>
    <mergeCell ref="N6:O6"/>
    <mergeCell ref="S5:T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44"/>
  <sheetViews>
    <sheetView zoomScale="70" zoomScaleNormal="70" workbookViewId="0">
      <selection activeCell="J19" sqref="J19"/>
    </sheetView>
  </sheetViews>
  <sheetFormatPr defaultRowHeight="15.5"/>
  <cols>
    <col min="1" max="1" width="5" style="1" bestFit="1" customWidth="1"/>
    <col min="2" max="2" width="2" style="1" hidden="1" customWidth="1"/>
    <col min="3" max="3" width="36.33203125" style="1" bestFit="1" customWidth="1"/>
    <col min="4" max="4" width="2" style="1" hidden="1" customWidth="1"/>
    <col min="5" max="5" width="11" style="1" bestFit="1" customWidth="1"/>
    <col min="6" max="6" width="2.33203125" style="1" hidden="1" customWidth="1"/>
    <col min="7" max="7" width="11.5" style="1" bestFit="1" customWidth="1"/>
    <col min="8" max="8" width="2.33203125" style="1" hidden="1" customWidth="1"/>
    <col min="9" max="9" width="8.08203125" bestFit="1" customWidth="1"/>
    <col min="10" max="10" width="11.83203125" bestFit="1" customWidth="1"/>
    <col min="11" max="11" width="7.08203125" bestFit="1" customWidth="1"/>
    <col min="12" max="12" width="2.33203125" hidden="1" customWidth="1"/>
    <col min="13" max="13" width="8.08203125" bestFit="1" customWidth="1"/>
    <col min="14" max="14" width="8.33203125" bestFit="1" customWidth="1"/>
    <col min="15" max="15" width="7.08203125" bestFit="1" customWidth="1"/>
    <col min="16" max="16" width="9" customWidth="1"/>
  </cols>
  <sheetData>
    <row r="2" spans="1:15">
      <c r="E2" s="15" t="s">
        <v>42</v>
      </c>
      <c r="F2" s="12"/>
    </row>
    <row r="3" spans="1:15">
      <c r="A3" s="12" t="s">
        <v>41</v>
      </c>
      <c r="E3" s="12" t="s">
        <v>40</v>
      </c>
      <c r="F3" s="12"/>
      <c r="G3" s="12" t="s">
        <v>39</v>
      </c>
      <c r="H3" s="12"/>
      <c r="I3" s="125" t="s">
        <v>264</v>
      </c>
      <c r="J3" s="126"/>
      <c r="K3" s="126"/>
      <c r="M3" s="126" t="s">
        <v>263</v>
      </c>
      <c r="N3" s="126"/>
      <c r="O3" s="126"/>
    </row>
    <row r="4" spans="1:15" ht="31">
      <c r="A4" s="26" t="s">
        <v>37</v>
      </c>
      <c r="C4" s="26" t="s">
        <v>38</v>
      </c>
      <c r="E4" s="26" t="s">
        <v>37</v>
      </c>
      <c r="F4" s="24"/>
      <c r="G4" s="25" t="s">
        <v>36</v>
      </c>
      <c r="H4" s="23"/>
      <c r="I4" s="62" t="s">
        <v>265</v>
      </c>
      <c r="J4" s="62" t="s">
        <v>266</v>
      </c>
      <c r="K4" s="23" t="s">
        <v>267</v>
      </c>
      <c r="M4" s="62" t="s">
        <v>265</v>
      </c>
      <c r="N4" s="62" t="s">
        <v>266</v>
      </c>
      <c r="O4" s="23" t="s">
        <v>267</v>
      </c>
    </row>
    <row r="5" spans="1:15">
      <c r="A5" s="2"/>
      <c r="C5" s="15" t="s">
        <v>35</v>
      </c>
      <c r="E5" s="15" t="s">
        <v>34</v>
      </c>
      <c r="F5" s="12"/>
      <c r="G5" s="15" t="s">
        <v>33</v>
      </c>
      <c r="H5" s="15"/>
    </row>
    <row r="7" spans="1:15">
      <c r="C7" s="22" t="s">
        <v>32</v>
      </c>
    </row>
    <row r="8" spans="1:15">
      <c r="A8" s="12">
        <v>1</v>
      </c>
      <c r="C8" s="1" t="s">
        <v>32</v>
      </c>
      <c r="E8" s="15">
        <v>7</v>
      </c>
      <c r="F8" s="15"/>
      <c r="G8" s="16">
        <v>10623030.235689331</v>
      </c>
      <c r="H8" s="16"/>
      <c r="I8" s="57">
        <f>+'Sch 141x &amp; 141z (Usage)'!K14/1000000</f>
        <v>-25.332028507931632</v>
      </c>
      <c r="J8" s="57">
        <f>+'Sch 141x &amp; 141z (Ratebase)'!L14/1000000</f>
        <v>-32.199808129666813</v>
      </c>
      <c r="K8" s="57">
        <f>+J8-I8</f>
        <v>-6.8677796217351812</v>
      </c>
      <c r="M8" s="57">
        <f>+'Sch 141x &amp; 141z (Usage)'!N14/1000000</f>
        <v>-7.4240998659771407</v>
      </c>
      <c r="N8" s="57">
        <f>+'Sch 141x &amp; 141z (Ratebase)'!O14/1000000</f>
        <v>-9.4368514998749262</v>
      </c>
      <c r="O8" s="57">
        <f>+N8-M8</f>
        <v>-2.0127516338977856</v>
      </c>
    </row>
    <row r="9" spans="1:15">
      <c r="A9" s="11">
        <f>MAX(A$5:A8)+1</f>
        <v>2</v>
      </c>
      <c r="C9" s="17" t="s">
        <v>31</v>
      </c>
      <c r="G9" s="14">
        <f>SUM(G8:G8)</f>
        <v>10623030.235689331</v>
      </c>
      <c r="H9" s="14"/>
      <c r="I9" s="58">
        <f>SUM(I8:I8)</f>
        <v>-25.332028507931632</v>
      </c>
      <c r="J9" s="58">
        <f>SUM(J8:J8)</f>
        <v>-32.199808129666813</v>
      </c>
      <c r="K9" s="58">
        <f>SUM(K8:K8)</f>
        <v>-6.8677796217351812</v>
      </c>
      <c r="M9" s="58">
        <f>SUM(M8:M8)</f>
        <v>-7.4240998659771407</v>
      </c>
      <c r="N9" s="58">
        <f>SUM(N8:N8)</f>
        <v>-9.4368514998749262</v>
      </c>
      <c r="O9" s="58">
        <f>SUM(O8:O8)</f>
        <v>-2.0127516338977856</v>
      </c>
    </row>
    <row r="10" spans="1:15">
      <c r="G10" s="1" t="s">
        <v>1</v>
      </c>
      <c r="I10" s="59" t="s">
        <v>1</v>
      </c>
      <c r="J10" s="59" t="s">
        <v>1</v>
      </c>
      <c r="K10" s="59" t="s">
        <v>1</v>
      </c>
      <c r="M10" s="59" t="s">
        <v>1</v>
      </c>
      <c r="N10" s="59" t="s">
        <v>1</v>
      </c>
      <c r="O10" s="59" t="s">
        <v>1</v>
      </c>
    </row>
    <row r="11" spans="1:15">
      <c r="C11" s="20" t="s">
        <v>30</v>
      </c>
      <c r="I11" s="59"/>
      <c r="J11" s="59"/>
      <c r="K11" s="59"/>
      <c r="M11" s="59"/>
      <c r="N11" s="59"/>
      <c r="O11" s="59"/>
    </row>
    <row r="12" spans="1:15">
      <c r="A12" s="11">
        <f>MAX(A$5:A11)+1</f>
        <v>3</v>
      </c>
      <c r="C12" s="18" t="s">
        <v>29</v>
      </c>
      <c r="E12" s="15" t="s">
        <v>28</v>
      </c>
      <c r="F12" s="12"/>
      <c r="G12" s="16">
        <v>2700129.1967702867</v>
      </c>
      <c r="H12" s="16"/>
      <c r="I12" s="57">
        <f>+'Sch 141x &amp; 141z (Usage)'!K18/1000000</f>
        <v>-6.4388171990592999</v>
      </c>
      <c r="J12" s="57">
        <f>+'Sch 141x &amp; 141z (Ratebase)'!L18/1000000</f>
        <v>-6.62052438409017</v>
      </c>
      <c r="K12" s="57">
        <f t="shared" ref="K12:K15" si="0">+J12-I12</f>
        <v>-0.18170718503087002</v>
      </c>
      <c r="M12" s="57">
        <f>+'Sch 141x &amp; 141z (Usage)'!N18/1000000</f>
        <v>-1.887034900881317</v>
      </c>
      <c r="N12" s="57">
        <f>+'Sch 141x &amp; 141z (Ratebase)'!O18/1000000</f>
        <v>-1.9402881288102363</v>
      </c>
      <c r="O12" s="57">
        <f t="shared" ref="O12:O15" si="1">+N12-M12</f>
        <v>-5.3253227928919289E-2</v>
      </c>
    </row>
    <row r="13" spans="1:15">
      <c r="A13" s="11">
        <f>MAX(A$5:A12)+1</f>
        <v>4</v>
      </c>
      <c r="C13" s="18" t="s">
        <v>27</v>
      </c>
      <c r="D13" s="21"/>
      <c r="E13" s="15" t="s">
        <v>26</v>
      </c>
      <c r="F13" s="12"/>
      <c r="G13" s="16">
        <v>2990164.3735601031</v>
      </c>
      <c r="H13" s="16"/>
      <c r="I13" s="57">
        <f>+'Sch 141x &amp; 141z (Usage)'!K19/1000000</f>
        <v>-7.1304446541011677</v>
      </c>
      <c r="J13" s="57">
        <f>+G13*1000*'Sch 141x &amp; 141z (Ratebase)'!M19/1000000</f>
        <v>-6.7649380890485027</v>
      </c>
      <c r="K13" s="57">
        <f t="shared" si="0"/>
        <v>0.36550656505266499</v>
      </c>
      <c r="M13" s="57">
        <f>+'Sch 141x &amp; 141z (Usage)'!N19/1000000</f>
        <v>-2.0897313132382953</v>
      </c>
      <c r="N13" s="57">
        <f>+'Sch 141x &amp; 141z (Ratebase)'!P19*'Original Summary'!G13*1000/1000000</f>
        <v>-1.9826116943032537</v>
      </c>
      <c r="O13" s="57">
        <f t="shared" si="1"/>
        <v>0.10711961893504163</v>
      </c>
    </row>
    <row r="14" spans="1:15">
      <c r="A14" s="11">
        <f>MAX(A$5:A13)+1</f>
        <v>5</v>
      </c>
      <c r="C14" s="18" t="s">
        <v>25</v>
      </c>
      <c r="E14" s="15" t="s">
        <v>24</v>
      </c>
      <c r="F14" s="12"/>
      <c r="G14" s="16">
        <v>1941301.3639308119</v>
      </c>
      <c r="H14" s="16"/>
      <c r="I14" s="57">
        <f>+'Sch 141x &amp; 141z (Usage)'!K20/1000000</f>
        <v>-4.6292913041295485</v>
      </c>
      <c r="J14" s="57">
        <f>+'Sch 141x &amp; 141z (Ratebase)'!L20/1000000</f>
        <v>-3.7704476308000379</v>
      </c>
      <c r="K14" s="57">
        <f t="shared" si="0"/>
        <v>0.85884367332951062</v>
      </c>
      <c r="M14" s="57">
        <f>+'Sch 141x &amp; 141z (Usage)'!N20/1000000</f>
        <v>-1.3567141273268488</v>
      </c>
      <c r="N14" s="57">
        <f>+'Sch 141x &amp; 141z (Ratebase)'!O20/1000000</f>
        <v>-1.1050113788452371</v>
      </c>
      <c r="O14" s="57">
        <f t="shared" si="1"/>
        <v>0.25170274848161167</v>
      </c>
    </row>
    <row r="15" spans="1:15">
      <c r="A15" s="11">
        <f>MAX(A$5:A14)+1</f>
        <v>6</v>
      </c>
      <c r="C15" s="18" t="s">
        <v>23</v>
      </c>
      <c r="E15" s="12">
        <v>29</v>
      </c>
      <c r="F15" s="12"/>
      <c r="G15" s="16">
        <v>16009.313796828577</v>
      </c>
      <c r="H15" s="16"/>
      <c r="I15" s="57">
        <f>+'Sch 141x &amp; 141z (Usage)'!K21/1000000</f>
        <v>-3.8176338059473534E-2</v>
      </c>
      <c r="J15" s="57">
        <f>+G15*1000*'Sch 141x &amp; 141z (Ratebase)'!M21/1000000</f>
        <v>-3.6219419120009942E-2</v>
      </c>
      <c r="K15" s="57">
        <f t="shared" si="0"/>
        <v>1.9569189394635922E-3</v>
      </c>
      <c r="M15" s="57">
        <f>+'Sch 141x &amp; 141z (Usage)'!N21/1000000</f>
        <v>-1.1188403099344895E-2</v>
      </c>
      <c r="N15" s="57">
        <f>+'Sch 141x &amp; 141z (Ratebase)'!P21*'Original Summary'!G15*1000/1000000</f>
        <v>-1.0614885600276439E-2</v>
      </c>
      <c r="O15" s="57">
        <f t="shared" si="1"/>
        <v>5.7351749906845578E-4</v>
      </c>
    </row>
    <row r="16" spans="1:15">
      <c r="A16" s="11">
        <f>MAX(A$5:A15)+1</f>
        <v>7</v>
      </c>
      <c r="C16" s="17" t="s">
        <v>22</v>
      </c>
      <c r="E16" s="12"/>
      <c r="F16" s="12"/>
      <c r="G16" s="14">
        <f>SUM(G12:G15)</f>
        <v>7647604.2480580304</v>
      </c>
      <c r="H16" s="14"/>
      <c r="I16" s="58">
        <f>SUM(I12:I15)</f>
        <v>-18.236729495349486</v>
      </c>
      <c r="J16" s="58">
        <f>SUM(J12:J15)</f>
        <v>-17.192129523058721</v>
      </c>
      <c r="K16" s="58">
        <f>SUM(K12:K15)</f>
        <v>1.0445999722907691</v>
      </c>
      <c r="M16" s="58">
        <f>SUM(M12:M15)</f>
        <v>-5.3446687445458059</v>
      </c>
      <c r="N16" s="58">
        <f>SUM(N12:N15)</f>
        <v>-5.0385260875590028</v>
      </c>
      <c r="O16" s="58">
        <f>SUM(O12:O15)</f>
        <v>0.30614265698680249</v>
      </c>
    </row>
    <row r="17" spans="1:15">
      <c r="A17" s="11"/>
      <c r="C17" s="18"/>
      <c r="E17" s="12"/>
      <c r="F17" s="12"/>
      <c r="G17" s="16"/>
      <c r="H17" s="16"/>
      <c r="I17" s="57"/>
      <c r="J17" s="57"/>
      <c r="K17" s="57"/>
      <c r="M17" s="57"/>
      <c r="N17" s="57"/>
      <c r="O17" s="57"/>
    </row>
    <row r="18" spans="1:15">
      <c r="A18" s="11"/>
      <c r="C18" s="20" t="s">
        <v>21</v>
      </c>
      <c r="E18" s="12"/>
      <c r="F18" s="12"/>
      <c r="G18" s="16"/>
      <c r="H18" s="16"/>
      <c r="I18" s="57"/>
      <c r="J18" s="57"/>
      <c r="K18" s="57"/>
      <c r="M18" s="57"/>
      <c r="N18" s="57"/>
      <c r="O18" s="57"/>
    </row>
    <row r="19" spans="1:15">
      <c r="A19" s="11">
        <f>MAX(A$5:A17)+1</f>
        <v>8</v>
      </c>
      <c r="C19" s="18" t="s">
        <v>20</v>
      </c>
      <c r="E19" s="15" t="s">
        <v>19</v>
      </c>
      <c r="F19" s="12"/>
      <c r="G19" s="16">
        <v>1407978.352242965</v>
      </c>
      <c r="H19" s="16"/>
      <c r="I19" s="57">
        <f>+'Sch 141x &amp; 141z (Usage)'!K25/1000000</f>
        <v>-3.3575116483940759</v>
      </c>
      <c r="J19" s="57">
        <f>+'Sch 141x &amp; 141z (Ratebase)'!L25/1000000</f>
        <v>-2.8534951678800797</v>
      </c>
      <c r="K19" s="57">
        <f t="shared" ref="K19:K21" si="2">+J19-I19</f>
        <v>0.50401648051399617</v>
      </c>
      <c r="M19" s="57">
        <f>+'Sch 141x &amp; 141z (Usage)'!N25/1000000</f>
        <v>-0.98399154142174172</v>
      </c>
      <c r="N19" s="57">
        <f>+'Sch 141x &amp; 141z (Ratebase)'!O25/1000000</f>
        <v>-0.83627859043312958</v>
      </c>
      <c r="O19" s="57">
        <f t="shared" ref="O19:O21" si="3">+N19-M19</f>
        <v>0.14771295098861215</v>
      </c>
    </row>
    <row r="20" spans="1:15">
      <c r="A20" s="11">
        <f>MAX(A$5:A19)+1</f>
        <v>9</v>
      </c>
      <c r="C20" s="18" t="s">
        <v>18</v>
      </c>
      <c r="E20" s="12">
        <v>35</v>
      </c>
      <c r="F20" s="12"/>
      <c r="G20" s="16">
        <v>4443.66</v>
      </c>
      <c r="H20" s="16"/>
      <c r="I20" s="57">
        <f>+'Sch 141x &amp; 141z (Usage)'!K26/1000000</f>
        <v>-1.0596498296820574E-2</v>
      </c>
      <c r="J20" s="57">
        <f>+'Sch 141x &amp; 141z (Ratebase)'!L26/1000000</f>
        <v>-1.4775368887751567E-2</v>
      </c>
      <c r="K20" s="57">
        <f t="shared" si="2"/>
        <v>-4.1788705909309928E-3</v>
      </c>
      <c r="M20" s="57">
        <f>+'Sch 141x &amp; 141z (Usage)'!N26/1000000</f>
        <v>-3.1055334380592809E-3</v>
      </c>
      <c r="N20" s="57">
        <f>+'Sch 141x &amp; 141z (Ratebase)'!O26/1000000</f>
        <v>-4.330242015359068E-3</v>
      </c>
      <c r="O20" s="57">
        <f t="shared" si="3"/>
        <v>-1.2247085772997871E-3</v>
      </c>
    </row>
    <row r="21" spans="1:15">
      <c r="A21" s="11">
        <f>MAX(A$5:A20)+1</f>
        <v>10</v>
      </c>
      <c r="C21" s="1" t="s">
        <v>17</v>
      </c>
      <c r="E21" s="15">
        <v>43</v>
      </c>
      <c r="F21" s="12"/>
      <c r="G21" s="16">
        <v>122500.71332397975</v>
      </c>
      <c r="H21" s="16"/>
      <c r="I21" s="57">
        <f>+'Sch 141x &amp; 141z (Usage)'!K27/1000000</f>
        <v>-0.29211924406837092</v>
      </c>
      <c r="J21" s="57">
        <f>+'Sch 141x &amp; 141z (Ratebase)'!L27/1000000</f>
        <v>-0.35425924251793645</v>
      </c>
      <c r="K21" s="57">
        <f t="shared" si="2"/>
        <v>-6.2139998449565526E-2</v>
      </c>
      <c r="M21" s="57">
        <f>+'Sch 141x &amp; 141z (Usage)'!N27/1000000</f>
        <v>-8.5611874313906391E-2</v>
      </c>
      <c r="N21" s="57">
        <f>+'Sch 141x &amp; 141z (Ratebase)'!O27/1000000</f>
        <v>-0.10382334735155881</v>
      </c>
      <c r="O21" s="57">
        <f t="shared" si="3"/>
        <v>-1.8211473037652415E-2</v>
      </c>
    </row>
    <row r="22" spans="1:15">
      <c r="A22" s="11">
        <f>MAX(A$5:A21)+1</f>
        <v>11</v>
      </c>
      <c r="C22" s="17" t="s">
        <v>16</v>
      </c>
      <c r="E22" s="12"/>
      <c r="F22" s="12"/>
      <c r="G22" s="14">
        <f>SUM(G19:G21)</f>
        <v>1534922.7255669446</v>
      </c>
      <c r="H22" s="14"/>
      <c r="I22" s="58">
        <f>SUM(I19:I21)</f>
        <v>-3.6602273907592675</v>
      </c>
      <c r="J22" s="58">
        <f>SUM(J19:J21)</f>
        <v>-3.2225297792857677</v>
      </c>
      <c r="K22" s="58">
        <f>SUM(K19:K21)</f>
        <v>0.43769761147349967</v>
      </c>
      <c r="M22" s="58">
        <f>SUM(M19:M21)</f>
        <v>-1.0727089491737074</v>
      </c>
      <c r="N22" s="58">
        <f>SUM(N19:N21)</f>
        <v>-0.94443217980004746</v>
      </c>
      <c r="O22" s="58">
        <f>SUM(O19:O21)</f>
        <v>0.12827676937365995</v>
      </c>
    </row>
    <row r="23" spans="1:15">
      <c r="A23" s="11"/>
      <c r="E23" s="15"/>
      <c r="F23" s="12"/>
      <c r="G23" s="16"/>
      <c r="H23" s="16"/>
      <c r="I23" s="57"/>
      <c r="J23" s="57"/>
      <c r="K23" s="57"/>
      <c r="M23" s="57"/>
      <c r="N23" s="57"/>
      <c r="O23" s="57"/>
    </row>
    <row r="24" spans="1:15">
      <c r="A24" s="11"/>
      <c r="C24" s="20" t="s">
        <v>13</v>
      </c>
      <c r="E24" s="15"/>
      <c r="F24" s="12"/>
      <c r="G24" s="16"/>
      <c r="H24" s="16"/>
      <c r="I24" s="57"/>
      <c r="J24" s="57"/>
      <c r="K24" s="57"/>
      <c r="M24" s="57"/>
      <c r="N24" s="57"/>
      <c r="O24" s="57"/>
    </row>
    <row r="25" spans="1:15">
      <c r="A25" s="11">
        <f>MAX(A$5:A23)+1</f>
        <v>12</v>
      </c>
      <c r="C25" s="18" t="s">
        <v>15</v>
      </c>
      <c r="E25" s="15">
        <v>46</v>
      </c>
      <c r="F25" s="12"/>
      <c r="G25" s="16">
        <v>78351.491999999998</v>
      </c>
      <c r="H25" s="16"/>
      <c r="I25" s="57">
        <f>+'Sch 141x &amp; 141z (Usage)'!K31/1000000</f>
        <v>-0.18683955377579539</v>
      </c>
      <c r="J25" s="57">
        <f>+'Sch 141x &amp; 141z (Ratebase)'!L31/1000000</f>
        <v>-0.11921614800861877</v>
      </c>
      <c r="K25" s="57">
        <f t="shared" ref="K25:K26" si="4">+J25-I25</f>
        <v>6.7623405767176625E-2</v>
      </c>
      <c r="M25" s="57">
        <f>+'Sch 141x &amp; 141z (Usage)'!N31/1000000</f>
        <v>-5.4757379801297641E-2</v>
      </c>
      <c r="N25" s="57">
        <f>+'Sch 141x &amp; 141z (Ratebase)'!O31/1000000</f>
        <v>-3.4938875430997371E-2</v>
      </c>
      <c r="O25" s="57">
        <f t="shared" ref="O25:O26" si="5">+N25-M25</f>
        <v>1.981850437030027E-2</v>
      </c>
    </row>
    <row r="26" spans="1:15">
      <c r="A26" s="11">
        <f>MAX(A$5:A25)+1</f>
        <v>13</v>
      </c>
      <c r="C26" s="1" t="s">
        <v>14</v>
      </c>
      <c r="E26" s="15">
        <v>49</v>
      </c>
      <c r="F26" s="12"/>
      <c r="G26" s="16">
        <v>542259.32140199991</v>
      </c>
      <c r="H26" s="16"/>
      <c r="I26" s="57">
        <f>+'Sch 141x &amp; 141z (Usage)'!K32/1000000</f>
        <v>-1.2930894748183643</v>
      </c>
      <c r="J26" s="57">
        <f>+'Sch 141x &amp; 141z (Ratebase)'!L32/1000000</f>
        <v>-0.82507768351512678</v>
      </c>
      <c r="K26" s="57">
        <f t="shared" si="4"/>
        <v>0.46801179130323756</v>
      </c>
      <c r="M26" s="57">
        <f>+'Sch 141x &amp; 141z (Usage)'!N32/1000000</f>
        <v>-0.37896789014309046</v>
      </c>
      <c r="N26" s="57">
        <f>+'Sch 141x &amp; 141z (Ratebase)'!O32/1000000</f>
        <v>-0.24180689350193413</v>
      </c>
      <c r="O26" s="57">
        <f t="shared" si="5"/>
        <v>0.13716099664115633</v>
      </c>
    </row>
    <row r="27" spans="1:15">
      <c r="A27" s="11">
        <f>MAX(A$5:A26)+1</f>
        <v>14</v>
      </c>
      <c r="C27" s="17" t="s">
        <v>13</v>
      </c>
      <c r="E27" s="12"/>
      <c r="F27" s="12"/>
      <c r="G27" s="14">
        <f>SUM(G25:G26)</f>
        <v>620610.81340199988</v>
      </c>
      <c r="H27" s="14"/>
      <c r="I27" s="58">
        <f>SUM(I25:I26)</f>
        <v>-1.4799290285941598</v>
      </c>
      <c r="J27" s="58">
        <f>SUM(J25:J26)</f>
        <v>-0.94429383152374557</v>
      </c>
      <c r="K27" s="58">
        <f>SUM(K25:K26)</f>
        <v>0.53563519707041418</v>
      </c>
      <c r="M27" s="58">
        <f>SUM(M25:M26)</f>
        <v>-0.43372526994438809</v>
      </c>
      <c r="N27" s="58">
        <f>SUM(N25:N26)</f>
        <v>-0.27674576893293151</v>
      </c>
      <c r="O27" s="58">
        <f>SUM(O25:O26)</f>
        <v>0.15697950101145661</v>
      </c>
    </row>
    <row r="28" spans="1:15">
      <c r="A28" s="11"/>
      <c r="E28" s="15"/>
      <c r="F28" s="12"/>
      <c r="G28" s="16"/>
      <c r="H28" s="16"/>
      <c r="I28" s="57"/>
      <c r="J28" s="57"/>
      <c r="K28" s="57"/>
      <c r="M28" s="57"/>
      <c r="N28" s="57"/>
      <c r="O28" s="57"/>
    </row>
    <row r="29" spans="1:15">
      <c r="A29" s="11"/>
      <c r="C29" s="19" t="s">
        <v>8</v>
      </c>
      <c r="E29" s="15"/>
      <c r="F29" s="12"/>
      <c r="G29" s="16"/>
      <c r="H29" s="16"/>
      <c r="I29" s="57"/>
      <c r="J29" s="57"/>
      <c r="K29" s="57"/>
      <c r="M29" s="57"/>
      <c r="N29" s="57"/>
      <c r="O29" s="57"/>
    </row>
    <row r="30" spans="1:15">
      <c r="A30" s="11">
        <f>MAX(A$5:A28)+1</f>
        <v>15</v>
      </c>
      <c r="C30" s="18" t="s">
        <v>12</v>
      </c>
      <c r="E30" s="15" t="s">
        <v>11</v>
      </c>
      <c r="F30" s="12"/>
      <c r="G30" s="16">
        <v>2028727.0061700002</v>
      </c>
      <c r="H30" s="16"/>
      <c r="I30" s="57">
        <f>+'Sch 141x &amp; 141z (Usage)'!K36/1000000</f>
        <v>-4.8377693760535943</v>
      </c>
      <c r="J30" s="57">
        <f>+'Sch 141x &amp; 141z (Ratebase)'!L36/1000000</f>
        <v>-3.6878482656613844E-2</v>
      </c>
      <c r="K30" s="57">
        <f t="shared" ref="K30:K31" si="6">+J30-I30</f>
        <v>4.8008908933969803</v>
      </c>
      <c r="M30" s="57">
        <f>+'Sch 141x &amp; 141z (Usage)'!N36/1000000</f>
        <v>-1.4178131437497092</v>
      </c>
      <c r="N30" s="57">
        <f>+'Sch 141x &amp; 141z (Ratebase)'!O36/1000000</f>
        <v>-1.0808038450717905E-2</v>
      </c>
      <c r="O30" s="57">
        <f t="shared" ref="O30:O31" si="7">+N30-M30</f>
        <v>1.4070051052989914</v>
      </c>
    </row>
    <row r="31" spans="1:15">
      <c r="A31" s="11">
        <f>MAX(A$5:A30)+1</f>
        <v>16</v>
      </c>
      <c r="C31" s="18" t="s">
        <v>10</v>
      </c>
      <c r="E31" s="15" t="s">
        <v>9</v>
      </c>
      <c r="F31" s="12"/>
      <c r="G31" s="16">
        <v>336220.53600000002</v>
      </c>
      <c r="H31" s="16"/>
      <c r="I31" s="57">
        <f>+'Sch 141x &amp; 141z (Usage)'!K37/1000000</f>
        <v>-0.80176258693961766</v>
      </c>
      <c r="J31" s="57">
        <f>+'Sch 141x &amp; 141z (Ratebase)'!L37/1000000</f>
        <v>-0.32436322907344722</v>
      </c>
      <c r="K31" s="57">
        <f t="shared" si="6"/>
        <v>0.47739935786617044</v>
      </c>
      <c r="M31" s="57">
        <f>+'Sch 141x &amp; 141z (Usage)'!N37/1000000</f>
        <v>-0.23497389924301462</v>
      </c>
      <c r="N31" s="57">
        <f>+'Sch 141x &amp; 141z (Ratebase)'!O37/1000000</f>
        <v>-9.506167280437483E-2</v>
      </c>
      <c r="O31" s="57">
        <f t="shared" si="7"/>
        <v>0.13991222643863979</v>
      </c>
    </row>
    <row r="32" spans="1:15">
      <c r="A32" s="11">
        <f>MAX(A$5:A31)+1</f>
        <v>17</v>
      </c>
      <c r="C32" s="17" t="s">
        <v>8</v>
      </c>
      <c r="E32" s="15"/>
      <c r="F32" s="12"/>
      <c r="G32" s="14">
        <f>SUM(G30:G31)</f>
        <v>2364947.5421700003</v>
      </c>
      <c r="H32" s="14"/>
      <c r="I32" s="58">
        <f>SUM(I30:I31)</f>
        <v>-5.6395319629932121</v>
      </c>
      <c r="J32" s="58">
        <f>SUM(J30:J31)</f>
        <v>-0.36124171173006109</v>
      </c>
      <c r="K32" s="58">
        <f>SUM(K30:K31)</f>
        <v>5.2782902512631509</v>
      </c>
      <c r="M32" s="58">
        <f>SUM(M30:M31)</f>
        <v>-1.6527870429927238</v>
      </c>
      <c r="N32" s="58">
        <f>SUM(N30:N31)</f>
        <v>-0.10586971125509273</v>
      </c>
      <c r="O32" s="58">
        <f>SUM(O30:O31)</f>
        <v>1.5469173317376312</v>
      </c>
    </row>
    <row r="33" spans="1:15">
      <c r="A33" s="11"/>
      <c r="E33" s="15"/>
      <c r="F33" s="12"/>
      <c r="G33" s="16"/>
      <c r="H33" s="16"/>
      <c r="I33" s="57"/>
      <c r="J33" s="57"/>
      <c r="K33" s="57"/>
      <c r="M33" s="57"/>
      <c r="N33" s="57"/>
      <c r="O33" s="57"/>
    </row>
    <row r="34" spans="1:15">
      <c r="A34" s="11">
        <f>MAX(A$5:A32)+1</f>
        <v>18</v>
      </c>
      <c r="C34" s="1" t="s">
        <v>7</v>
      </c>
      <c r="E34" s="15" t="s">
        <v>6</v>
      </c>
      <c r="F34" s="12"/>
      <c r="G34" s="14">
        <v>69969.105296000009</v>
      </c>
      <c r="H34" s="56"/>
      <c r="I34" s="58">
        <f>+'Sch 141x &amp; 141z (Usage)'!K40/1000000</f>
        <v>-0.16685063778487183</v>
      </c>
      <c r="J34" s="58">
        <f>+'Sch 141x &amp; 141z (Ratebase)'!L40/1000000</f>
        <v>-0.59402556283014085</v>
      </c>
      <c r="K34" s="58">
        <f>+J34-I34</f>
        <v>-0.42717492504526899</v>
      </c>
      <c r="M34" s="58">
        <f>+'Sch 141x &amp; 141z (Usage)'!N40/1000000</f>
        <v>-4.889919483664789E-2</v>
      </c>
      <c r="N34" s="58">
        <f>+'Sch 141x &amp; 141z (Ratebase)'!O40/1000000</f>
        <v>-0.17409206293974486</v>
      </c>
      <c r="O34" s="58">
        <f>+N34-M34</f>
        <v>-0.12519286810309696</v>
      </c>
    </row>
    <row r="35" spans="1:15">
      <c r="A35" s="11"/>
      <c r="E35" s="15"/>
      <c r="F35" s="12"/>
      <c r="G35" s="16"/>
      <c r="H35" s="16"/>
      <c r="I35" s="57"/>
      <c r="J35" s="57"/>
      <c r="K35" s="57"/>
      <c r="M35" s="57"/>
      <c r="N35" s="57"/>
      <c r="O35" s="57"/>
    </row>
    <row r="36" spans="1:15">
      <c r="A36" s="11">
        <f>MAX(A$5:A35)+1</f>
        <v>19</v>
      </c>
      <c r="C36" s="17" t="s">
        <v>5</v>
      </c>
      <c r="G36" s="14">
        <f>SUM(G34,G32,G27,G22,G16,G9)</f>
        <v>22861084.670182306</v>
      </c>
      <c r="H36" s="14"/>
      <c r="I36" s="58">
        <f>SUM(I34,I32,I27,I22,I16,I9)</f>
        <v>-54.515297023412629</v>
      </c>
      <c r="J36" s="58">
        <f>SUM(J34,J32,J27,J22,J16,J9)</f>
        <v>-54.514028538095246</v>
      </c>
      <c r="K36" s="58">
        <f>SUM(K34,K32,K27,K22,K16,K9)</f>
        <v>1.2684853173841049E-3</v>
      </c>
      <c r="M36" s="58">
        <f>SUM(M34,M32,M27,M22,M16,M9)</f>
        <v>-15.976889067470413</v>
      </c>
      <c r="N36" s="58">
        <f>SUM(N34,N32,N27,N22,N16,N9)</f>
        <v>-15.976517310361746</v>
      </c>
      <c r="O36" s="58">
        <f>SUM(O34,O32,O27,O22,O16,O9)</f>
        <v>3.7175710866765854E-4</v>
      </c>
    </row>
    <row r="37" spans="1:15">
      <c r="A37" s="12"/>
      <c r="I37" s="59"/>
      <c r="J37" s="59"/>
      <c r="K37" s="59"/>
      <c r="M37" s="59"/>
      <c r="N37" s="59"/>
      <c r="O37" s="59"/>
    </row>
    <row r="38" spans="1:15">
      <c r="A38" s="11">
        <f>MAX(A$5:A37)+1</f>
        <v>20</v>
      </c>
      <c r="C38" s="1" t="s">
        <v>4</v>
      </c>
      <c r="E38" s="15" t="s">
        <v>3</v>
      </c>
      <c r="F38" s="12"/>
      <c r="G38" s="14">
        <v>7170.0662345252713</v>
      </c>
      <c r="H38" s="56"/>
      <c r="I38" s="58">
        <f>+'Sch 141x &amp; 141z (Usage)'!K44/1000000</f>
        <v>-1.7097976587371166E-2</v>
      </c>
      <c r="J38" s="58">
        <f>+'Sch 141x &amp; 141z (Ratebase)'!L44/1000000</f>
        <v>-1.8366461904757221E-2</v>
      </c>
      <c r="K38" s="58">
        <f>+J38-I38</f>
        <v>-1.2684853173860547E-3</v>
      </c>
      <c r="M38" s="58">
        <f>+'Sch 141x &amp; 141z (Usage)'!N44/1000000</f>
        <v>-5.0109325295855291E-3</v>
      </c>
      <c r="N38" s="58">
        <f>+'Sch 141x &amp; 141z (Ratebase)'!O44/1000000</f>
        <v>-5.3826896382533612E-3</v>
      </c>
      <c r="O38" s="58">
        <f>+N38-M38</f>
        <v>-3.7175710866783201E-4</v>
      </c>
    </row>
    <row r="39" spans="1:15">
      <c r="A39" s="12"/>
      <c r="I39" s="59"/>
      <c r="J39" s="59"/>
      <c r="K39" s="59"/>
      <c r="M39" s="59"/>
      <c r="N39" s="59"/>
      <c r="O39" s="59"/>
    </row>
    <row r="40" spans="1:15" ht="16" thickBot="1">
      <c r="A40" s="11">
        <f>MAX(A$5:A39)+1</f>
        <v>21</v>
      </c>
      <c r="C40" s="10" t="s">
        <v>2</v>
      </c>
      <c r="G40" s="6">
        <f>G38+G36</f>
        <v>22868254.736416832</v>
      </c>
      <c r="H40" s="6"/>
      <c r="I40" s="60">
        <f>I38+I36</f>
        <v>-54.532395000000001</v>
      </c>
      <c r="J40" s="60">
        <f>J38+J36</f>
        <v>-54.532395000000001</v>
      </c>
      <c r="K40" s="60">
        <f>K38+K36</f>
        <v>-1.9498291869979312E-15</v>
      </c>
      <c r="M40" s="60">
        <f>M38+M36</f>
        <v>-15.9819</v>
      </c>
      <c r="N40" s="60">
        <f>N38+N36</f>
        <v>-15.9819</v>
      </c>
      <c r="O40" s="60">
        <f>O38+O36</f>
        <v>-1.7347234759768071E-16</v>
      </c>
    </row>
    <row r="41" spans="1:15" ht="16" thickTop="1">
      <c r="A41" s="123" t="s">
        <v>1</v>
      </c>
      <c r="B41" s="124"/>
      <c r="C41" s="124"/>
      <c r="G41" s="8"/>
      <c r="H41" s="8"/>
      <c r="I41" s="61"/>
      <c r="J41" s="61"/>
      <c r="K41" s="61"/>
      <c r="M41" s="61"/>
      <c r="N41" s="61"/>
      <c r="O41" s="61"/>
    </row>
    <row r="42" spans="1:15" ht="16" thickBot="1">
      <c r="C42" s="1" t="s">
        <v>0</v>
      </c>
      <c r="G42" s="6">
        <v>22868254.738416828</v>
      </c>
      <c r="H42" s="8"/>
      <c r="I42" s="60">
        <f>+'Sch 141x &amp; 141z (Usage)'!K46/1000000</f>
        <v>-54.532395000000001</v>
      </c>
      <c r="J42" s="60">
        <f>+'Sch 141x &amp; 141z (Ratebase)'!L46/1000000</f>
        <v>-54.532395000000008</v>
      </c>
      <c r="K42" s="60">
        <f>+J42-I42</f>
        <v>0</v>
      </c>
      <c r="M42" s="60">
        <f>+'Sch 141x &amp; 141z (Usage)'!N46/1000000</f>
        <v>-15.981900000000001</v>
      </c>
      <c r="N42" s="60">
        <f>+'Sch 141x &amp; 141z (Ratebase)'!O46/1000000</f>
        <v>-15.9819</v>
      </c>
      <c r="O42" s="60">
        <f>+N42-M42</f>
        <v>0</v>
      </c>
    </row>
    <row r="43" spans="1:15" ht="16.5" thickTop="1" thickBot="1">
      <c r="C43" s="1" t="s">
        <v>0</v>
      </c>
      <c r="G43" s="6">
        <f>G42-G40</f>
        <v>1.9999966025352478E-3</v>
      </c>
      <c r="H43" s="6"/>
      <c r="I43" s="60">
        <f>I42-I40</f>
        <v>0</v>
      </c>
      <c r="J43" s="60">
        <f>J42-J40</f>
        <v>0</v>
      </c>
      <c r="K43" s="60">
        <f>K42-K40</f>
        <v>1.9498291869979312E-15</v>
      </c>
      <c r="M43" s="60">
        <f>M42-M40</f>
        <v>0</v>
      </c>
      <c r="N43" s="60">
        <f>N42-N40</f>
        <v>0</v>
      </c>
      <c r="O43" s="60">
        <f>O42-O40</f>
        <v>1.7347234759768071E-16</v>
      </c>
    </row>
    <row r="44" spans="1:15" ht="16" thickTop="1">
      <c r="G44" s="5"/>
      <c r="H44" s="5"/>
    </row>
  </sheetData>
  <mergeCells count="3">
    <mergeCell ref="A41:C41"/>
    <mergeCell ref="I3:K3"/>
    <mergeCell ref="M3:O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transitionEntry="1">
    <tabColor theme="5" tint="0.79998168889431442"/>
    <pageSetUpPr fitToPage="1"/>
  </sheetPr>
  <dimension ref="A1:O50"/>
  <sheetViews>
    <sheetView zoomScale="90" zoomScaleNormal="90" zoomScaleSheetLayoutView="70" workbookViewId="0">
      <pane xSplit="6" ySplit="11" topLeftCell="G14" activePane="bottomRight" state="frozen"/>
      <selection sqref="A1:XFD1048576"/>
      <selection pane="topRight" sqref="A1:XFD1048576"/>
      <selection pane="bottomLeft" sqref="A1:XFD1048576"/>
      <selection pane="bottomRight" activeCell="I14" sqref="I14"/>
    </sheetView>
  </sheetViews>
  <sheetFormatPr defaultColWidth="6.5" defaultRowHeight="15.5"/>
  <cols>
    <col min="1" max="1" width="4.25" style="1" bestFit="1" customWidth="1"/>
    <col min="2" max="2" width="2" style="1" customWidth="1"/>
    <col min="3" max="3" width="33.83203125" style="1" bestFit="1" customWidth="1"/>
    <col min="4" max="4" width="2" style="1" customWidth="1"/>
    <col min="5" max="5" width="10.08203125" style="1" bestFit="1" customWidth="1"/>
    <col min="6" max="6" width="2" style="1" customWidth="1"/>
    <col min="7" max="7" width="10.5" style="1" bestFit="1" customWidth="1"/>
    <col min="8" max="8" width="2.25" style="1" customWidth="1"/>
    <col min="9" max="9" width="8" style="1" bestFit="1" customWidth="1"/>
    <col min="10" max="10" width="2.25" style="1" customWidth="1"/>
    <col min="11" max="11" width="13" style="1" bestFit="1" customWidth="1"/>
    <col min="12" max="12" width="11.33203125" style="1" bestFit="1" customWidth="1"/>
    <col min="13" max="13" width="2.25" style="1" customWidth="1"/>
    <col min="14" max="14" width="13" style="1" bestFit="1" customWidth="1"/>
    <col min="15" max="15" width="11.33203125" style="1" bestFit="1" customWidth="1"/>
    <col min="16" max="16384" width="6.5" style="1"/>
  </cols>
  <sheetData>
    <row r="1" spans="1:15" ht="17.5">
      <c r="B1" s="28"/>
      <c r="C1" s="28"/>
    </row>
    <row r="2" spans="1:15">
      <c r="A2" s="129" t="s">
        <v>47</v>
      </c>
      <c r="B2" s="129"/>
      <c r="C2" s="129"/>
      <c r="D2" s="129"/>
      <c r="E2" s="129"/>
      <c r="F2" s="129"/>
      <c r="G2" s="129"/>
      <c r="H2" s="129"/>
    </row>
    <row r="3" spans="1:15">
      <c r="A3" s="130" t="s">
        <v>46</v>
      </c>
      <c r="B3" s="130"/>
      <c r="C3" s="130"/>
      <c r="D3" s="130"/>
      <c r="E3" s="130"/>
      <c r="F3" s="130"/>
      <c r="G3" s="130"/>
      <c r="H3" s="130"/>
    </row>
    <row r="4" spans="1:15">
      <c r="A4" s="130" t="s">
        <v>45</v>
      </c>
      <c r="B4" s="130"/>
      <c r="C4" s="130"/>
      <c r="D4" s="130"/>
      <c r="E4" s="130"/>
      <c r="F4" s="130"/>
      <c r="G4" s="130"/>
      <c r="H4" s="130"/>
    </row>
    <row r="5" spans="1:15">
      <c r="A5" s="129" t="s">
        <v>44</v>
      </c>
      <c r="B5" s="130"/>
      <c r="C5" s="130"/>
      <c r="D5" s="130"/>
      <c r="E5" s="130"/>
      <c r="F5" s="130"/>
      <c r="G5" s="130"/>
      <c r="H5" s="130"/>
    </row>
    <row r="6" spans="1:15">
      <c r="A6" s="129" t="s">
        <v>43</v>
      </c>
      <c r="B6" s="129"/>
      <c r="C6" s="129"/>
      <c r="D6" s="129"/>
      <c r="E6" s="129"/>
      <c r="F6" s="129"/>
      <c r="G6" s="129"/>
      <c r="H6" s="129"/>
    </row>
    <row r="7" spans="1:15" ht="15.75" customHeight="1">
      <c r="H7" s="27"/>
      <c r="I7" s="127" t="s">
        <v>50</v>
      </c>
      <c r="J7" s="29"/>
      <c r="K7" s="127" t="s">
        <v>48</v>
      </c>
      <c r="L7" s="127" t="s">
        <v>51</v>
      </c>
      <c r="N7" s="127" t="s">
        <v>49</v>
      </c>
      <c r="O7" s="127" t="s">
        <v>52</v>
      </c>
    </row>
    <row r="8" spans="1:15">
      <c r="E8" s="15" t="s">
        <v>42</v>
      </c>
      <c r="F8" s="12"/>
      <c r="H8" s="23"/>
      <c r="I8" s="128"/>
      <c r="J8" s="29"/>
      <c r="K8" s="128"/>
      <c r="L8" s="128"/>
      <c r="N8" s="128"/>
      <c r="O8" s="128"/>
    </row>
    <row r="9" spans="1:15">
      <c r="A9" s="12" t="s">
        <v>41</v>
      </c>
      <c r="E9" s="12" t="s">
        <v>40</v>
      </c>
      <c r="F9" s="12"/>
      <c r="G9" s="12" t="s">
        <v>39</v>
      </c>
      <c r="H9" s="12"/>
      <c r="I9" s="128"/>
      <c r="J9" s="29"/>
      <c r="K9" s="128"/>
      <c r="L9" s="128"/>
      <c r="N9" s="128"/>
      <c r="O9" s="128"/>
    </row>
    <row r="10" spans="1:15">
      <c r="A10" s="26" t="s">
        <v>37</v>
      </c>
      <c r="C10" s="26" t="s">
        <v>38</v>
      </c>
      <c r="E10" s="26" t="s">
        <v>37</v>
      </c>
      <c r="F10" s="24"/>
      <c r="G10" s="25" t="s">
        <v>36</v>
      </c>
      <c r="H10" s="24"/>
      <c r="I10" s="128"/>
      <c r="J10" s="29"/>
      <c r="K10" s="128"/>
      <c r="L10" s="128"/>
      <c r="N10" s="128"/>
      <c r="O10" s="128"/>
    </row>
    <row r="11" spans="1:15">
      <c r="A11" s="2"/>
      <c r="C11" s="15" t="s">
        <v>35</v>
      </c>
      <c r="E11" s="15" t="s">
        <v>34</v>
      </c>
      <c r="F11" s="12"/>
      <c r="G11" s="15" t="s">
        <v>33</v>
      </c>
      <c r="H11" s="15"/>
      <c r="K11" s="32"/>
      <c r="N11" s="32"/>
    </row>
    <row r="12" spans="1:15">
      <c r="H12" s="15"/>
      <c r="K12" s="32"/>
      <c r="N12" s="32"/>
    </row>
    <row r="13" spans="1:15">
      <c r="C13" s="22" t="s">
        <v>32</v>
      </c>
      <c r="K13" s="32"/>
      <c r="N13" s="32"/>
    </row>
    <row r="14" spans="1:15">
      <c r="A14" s="12">
        <v>1</v>
      </c>
      <c r="C14" s="1" t="s">
        <v>32</v>
      </c>
      <c r="E14" s="15">
        <v>7</v>
      </c>
      <c r="F14" s="15"/>
      <c r="G14" s="16">
        <v>10623030.235689331</v>
      </c>
      <c r="H14" s="13"/>
      <c r="I14" s="30">
        <f>G14/$G$46</f>
        <v>0.46453174315801882</v>
      </c>
      <c r="J14" s="30"/>
      <c r="K14" s="33">
        <f>I14*$K$47</f>
        <v>-25332028.507931631</v>
      </c>
      <c r="L14" s="31">
        <f>K14/G14/1000</f>
        <v>-2.3846330045099251E-3</v>
      </c>
      <c r="N14" s="33">
        <f>I14*$N$47</f>
        <v>-7424099.8659771411</v>
      </c>
      <c r="O14" s="31">
        <f>N14/G14/1000</f>
        <v>-6.9886837383131947E-4</v>
      </c>
    </row>
    <row r="15" spans="1:15">
      <c r="A15" s="11">
        <f>MAX(A$11:A14)+1</f>
        <v>2</v>
      </c>
      <c r="C15" s="17" t="s">
        <v>31</v>
      </c>
      <c r="G15" s="14">
        <f>SUM(G14:G14)</f>
        <v>10623030.235689331</v>
      </c>
      <c r="H15" s="13"/>
      <c r="I15" s="30"/>
      <c r="J15" s="30"/>
      <c r="K15" s="34">
        <f>SUM(K14:K14)</f>
        <v>-25332028.507931631</v>
      </c>
      <c r="N15" s="34">
        <f>SUM(N14:N14)</f>
        <v>-7424099.8659771411</v>
      </c>
    </row>
    <row r="16" spans="1:15">
      <c r="G16" s="1" t="s">
        <v>1</v>
      </c>
      <c r="H16" s="4"/>
      <c r="I16" s="30"/>
      <c r="J16" s="30"/>
      <c r="K16" s="32"/>
      <c r="N16" s="32"/>
    </row>
    <row r="17" spans="1:15">
      <c r="C17" s="20" t="s">
        <v>30</v>
      </c>
      <c r="H17" s="4"/>
      <c r="I17" s="30"/>
      <c r="J17" s="30"/>
      <c r="K17" s="32"/>
      <c r="N17" s="32"/>
    </row>
    <row r="18" spans="1:15">
      <c r="A18" s="11">
        <f>MAX(A$11:A17)+1</f>
        <v>3</v>
      </c>
      <c r="C18" s="18" t="s">
        <v>29</v>
      </c>
      <c r="E18" s="15" t="s">
        <v>28</v>
      </c>
      <c r="F18" s="12"/>
      <c r="G18" s="16">
        <v>2700129.1967702867</v>
      </c>
      <c r="H18" s="13"/>
      <c r="I18" s="30">
        <f>G18/$G$46</f>
        <v>0.11807325167103518</v>
      </c>
      <c r="J18" s="30"/>
      <c r="K18" s="33">
        <f t="shared" ref="K18:K21" si="0">I18*$K$47</f>
        <v>-6438817.1990593001</v>
      </c>
      <c r="L18" s="31">
        <f>K18/G18/1000</f>
        <v>-2.3846330045099251E-3</v>
      </c>
      <c r="N18" s="33">
        <f t="shared" ref="N18:N21" si="1">I18*$N$47</f>
        <v>-1887034.900881317</v>
      </c>
      <c r="O18" s="31">
        <f>N18/G18/1000</f>
        <v>-6.9886837383131937E-4</v>
      </c>
    </row>
    <row r="19" spans="1:15">
      <c r="A19" s="11">
        <f>MAX(A$11:A18)+1</f>
        <v>4</v>
      </c>
      <c r="C19" s="18" t="s">
        <v>27</v>
      </c>
      <c r="D19" s="21"/>
      <c r="E19" s="15" t="s">
        <v>26</v>
      </c>
      <c r="F19" s="12"/>
      <c r="G19" s="16">
        <v>2990164.3735601031</v>
      </c>
      <c r="H19" s="13"/>
      <c r="I19" s="30">
        <f>G19/$G$46</f>
        <v>0.13075612494373606</v>
      </c>
      <c r="J19" s="30"/>
      <c r="K19" s="33">
        <f t="shared" si="0"/>
        <v>-7130444.6541011678</v>
      </c>
      <c r="L19" s="31">
        <f>K19/G19/1000</f>
        <v>-2.3846330045099251E-3</v>
      </c>
      <c r="N19" s="33">
        <f t="shared" si="1"/>
        <v>-2089731.3132382955</v>
      </c>
      <c r="O19" s="31">
        <f>N19/G19/1000</f>
        <v>-6.9886837383131947E-4</v>
      </c>
    </row>
    <row r="20" spans="1:15">
      <c r="A20" s="11">
        <f>MAX(A$11:A19)+1</f>
        <v>5</v>
      </c>
      <c r="C20" s="18" t="s">
        <v>25</v>
      </c>
      <c r="E20" s="15" t="s">
        <v>24</v>
      </c>
      <c r="F20" s="12"/>
      <c r="G20" s="16">
        <v>1941301.3639308119</v>
      </c>
      <c r="H20" s="13"/>
      <c r="I20" s="30">
        <f>G20/$G$46</f>
        <v>8.4890665523301295E-2</v>
      </c>
      <c r="J20" s="30"/>
      <c r="K20" s="33">
        <f t="shared" si="0"/>
        <v>-4629291.3041295484</v>
      </c>
      <c r="L20" s="31">
        <f>K20/G20/1000</f>
        <v>-2.3846330045099256E-3</v>
      </c>
      <c r="N20" s="33">
        <f t="shared" si="1"/>
        <v>-1356714.1273268489</v>
      </c>
      <c r="O20" s="31">
        <f>N20/G20/1000</f>
        <v>-6.9886837383131937E-4</v>
      </c>
    </row>
    <row r="21" spans="1:15">
      <c r="A21" s="11">
        <f>MAX(A$11:A20)+1</f>
        <v>6</v>
      </c>
      <c r="C21" s="18" t="s">
        <v>23</v>
      </c>
      <c r="E21" s="12">
        <v>29</v>
      </c>
      <c r="F21" s="12"/>
      <c r="G21" s="16">
        <v>16009.313796828577</v>
      </c>
      <c r="H21" s="13"/>
      <c r="I21" s="30">
        <f>G21/$G$46</f>
        <v>7.0006714466645987E-4</v>
      </c>
      <c r="J21" s="30"/>
      <c r="K21" s="33">
        <f t="shared" si="0"/>
        <v>-38176.338059473535</v>
      </c>
      <c r="L21" s="31">
        <f>K21/G21/1000</f>
        <v>-2.3846330045099256E-3</v>
      </c>
      <c r="N21" s="33">
        <f t="shared" si="1"/>
        <v>-11188.403099344894</v>
      </c>
      <c r="O21" s="31">
        <f>N21/G21/1000</f>
        <v>-6.9886837383131937E-4</v>
      </c>
    </row>
    <row r="22" spans="1:15">
      <c r="A22" s="11">
        <f>MAX(A$11:A21)+1</f>
        <v>7</v>
      </c>
      <c r="C22" s="17" t="s">
        <v>22</v>
      </c>
      <c r="E22" s="12"/>
      <c r="F22" s="12"/>
      <c r="G22" s="14">
        <f>SUM(G18:G21)</f>
        <v>7647604.2480580304</v>
      </c>
      <c r="H22" s="13"/>
      <c r="I22" s="30"/>
      <c r="J22" s="30"/>
      <c r="K22" s="34">
        <f>SUM(K18:K21)</f>
        <v>-18236729.495349489</v>
      </c>
      <c r="N22" s="34">
        <f>SUM(N18:N21)</f>
        <v>-5344668.7445458062</v>
      </c>
    </row>
    <row r="23" spans="1:15">
      <c r="A23" s="11"/>
      <c r="C23" s="18"/>
      <c r="E23" s="12"/>
      <c r="F23" s="12"/>
      <c r="G23" s="16"/>
      <c r="H23" s="13"/>
      <c r="I23" s="30"/>
      <c r="J23" s="30"/>
      <c r="K23" s="33"/>
      <c r="N23" s="33"/>
    </row>
    <row r="24" spans="1:15">
      <c r="A24" s="11"/>
      <c r="C24" s="20" t="s">
        <v>21</v>
      </c>
      <c r="E24" s="12"/>
      <c r="F24" s="12"/>
      <c r="G24" s="16"/>
      <c r="H24" s="13"/>
      <c r="I24" s="30"/>
      <c r="J24" s="30"/>
      <c r="K24" s="33"/>
      <c r="N24" s="33"/>
    </row>
    <row r="25" spans="1:15">
      <c r="A25" s="11">
        <f>MAX(A$11:A23)+1</f>
        <v>8</v>
      </c>
      <c r="C25" s="18" t="s">
        <v>20</v>
      </c>
      <c r="E25" s="15" t="s">
        <v>19</v>
      </c>
      <c r="F25" s="12"/>
      <c r="G25" s="16">
        <v>1407978.352242965</v>
      </c>
      <c r="H25" s="13"/>
      <c r="I25" s="30">
        <f>G25/$G$46</f>
        <v>6.1569121407451036E-2</v>
      </c>
      <c r="J25" s="30"/>
      <c r="K25" s="33">
        <f t="shared" ref="K25:K27" si="2">I25*$K$47</f>
        <v>-3357511.6483940757</v>
      </c>
      <c r="L25" s="31">
        <f>K25/G25/1000</f>
        <v>-2.3846330045099251E-3</v>
      </c>
      <c r="N25" s="33">
        <f t="shared" ref="N25:N27" si="3">I25*$N$47</f>
        <v>-983991.54142174171</v>
      </c>
      <c r="O25" s="31">
        <f>N25/G25/1000</f>
        <v>-6.9886837383131947E-4</v>
      </c>
    </row>
    <row r="26" spans="1:15">
      <c r="A26" s="11">
        <f>MAX(A$11:A25)+1</f>
        <v>9</v>
      </c>
      <c r="C26" s="18" t="s">
        <v>18</v>
      </c>
      <c r="E26" s="12">
        <v>35</v>
      </c>
      <c r="F26" s="12"/>
      <c r="G26" s="16">
        <v>4443.66</v>
      </c>
      <c r="H26" s="13"/>
      <c r="I26" s="30">
        <f>G26/$G$46</f>
        <v>1.9431565946847877E-4</v>
      </c>
      <c r="J26" s="30"/>
      <c r="K26" s="33">
        <f t="shared" si="2"/>
        <v>-10596.498296820575</v>
      </c>
      <c r="L26" s="31">
        <f>K26/G26/1000</f>
        <v>-2.3846330045099251E-3</v>
      </c>
      <c r="N26" s="33">
        <f t="shared" si="3"/>
        <v>-3105.5334380592808</v>
      </c>
      <c r="O26" s="31">
        <f>N26/G26/1000</f>
        <v>-6.9886837383131937E-4</v>
      </c>
    </row>
    <row r="27" spans="1:15">
      <c r="A27" s="11">
        <f>MAX(A$11:A26)+1</f>
        <v>10</v>
      </c>
      <c r="C27" s="1" t="s">
        <v>17</v>
      </c>
      <c r="E27" s="15">
        <v>43</v>
      </c>
      <c r="F27" s="12"/>
      <c r="G27" s="16">
        <v>122500.71332397975</v>
      </c>
      <c r="H27" s="13"/>
      <c r="I27" s="30">
        <f>G27/$G$46</f>
        <v>5.3568020269120931E-3</v>
      </c>
      <c r="J27" s="30"/>
      <c r="K27" s="33">
        <f t="shared" si="2"/>
        <v>-292119.2440683709</v>
      </c>
      <c r="L27" s="31">
        <f>K27/G27/1000</f>
        <v>-2.3846330045099251E-3</v>
      </c>
      <c r="N27" s="33">
        <f t="shared" si="3"/>
        <v>-85611.874313906388</v>
      </c>
      <c r="O27" s="31">
        <f>N27/G27/1000</f>
        <v>-6.9886837383131947E-4</v>
      </c>
    </row>
    <row r="28" spans="1:15">
      <c r="A28" s="11">
        <f>MAX(A$11:A27)+1</f>
        <v>11</v>
      </c>
      <c r="C28" s="17" t="s">
        <v>16</v>
      </c>
      <c r="E28" s="12"/>
      <c r="F28" s="12"/>
      <c r="G28" s="14">
        <f>SUM(G25:G27)</f>
        <v>1534922.7255669446</v>
      </c>
      <c r="H28" s="13"/>
      <c r="I28" s="30"/>
      <c r="J28" s="30"/>
      <c r="K28" s="34">
        <f>SUM(K25:K27)</f>
        <v>-3660227.3907592669</v>
      </c>
      <c r="N28" s="34">
        <f>SUM(N25:N27)</f>
        <v>-1072708.9491737073</v>
      </c>
    </row>
    <row r="29" spans="1:15">
      <c r="A29" s="11"/>
      <c r="E29" s="15"/>
      <c r="F29" s="12"/>
      <c r="G29" s="16"/>
      <c r="H29" s="13"/>
      <c r="I29" s="30"/>
      <c r="J29" s="30"/>
      <c r="K29" s="33"/>
      <c r="N29" s="33"/>
    </row>
    <row r="30" spans="1:15">
      <c r="A30" s="11"/>
      <c r="C30" s="20" t="s">
        <v>13</v>
      </c>
      <c r="E30" s="15"/>
      <c r="F30" s="12"/>
      <c r="G30" s="16"/>
      <c r="H30" s="13"/>
      <c r="I30" s="30"/>
      <c r="J30" s="30"/>
      <c r="K30" s="33"/>
      <c r="N30" s="33"/>
    </row>
    <row r="31" spans="1:15">
      <c r="A31" s="11">
        <f>MAX(A$11:A29)+1</f>
        <v>12</v>
      </c>
      <c r="C31" s="18" t="s">
        <v>15</v>
      </c>
      <c r="E31" s="15">
        <v>46</v>
      </c>
      <c r="F31" s="12"/>
      <c r="G31" s="16">
        <v>78351.491999999998</v>
      </c>
      <c r="H31" s="13"/>
      <c r="I31" s="30">
        <f>G31/$G$46</f>
        <v>3.4262121400645503E-3</v>
      </c>
      <c r="J31" s="30"/>
      <c r="K31" s="33">
        <f t="shared" ref="K31:K32" si="4">I31*$K$47</f>
        <v>-186839.55377579539</v>
      </c>
      <c r="L31" s="31">
        <f>K31/G31/1000</f>
        <v>-2.3846330045099251E-3</v>
      </c>
      <c r="N31" s="33">
        <f t="shared" ref="N31:N32" si="5">I31*$N$47</f>
        <v>-54757.37980129764</v>
      </c>
      <c r="O31" s="31">
        <f>N31/G31/1000</f>
        <v>-6.9886837383131947E-4</v>
      </c>
    </row>
    <row r="32" spans="1:15">
      <c r="A32" s="11">
        <f>MAX(A$11:A31)+1</f>
        <v>13</v>
      </c>
      <c r="C32" s="1" t="s">
        <v>14</v>
      </c>
      <c r="E32" s="15">
        <v>49</v>
      </c>
      <c r="F32" s="12"/>
      <c r="G32" s="16">
        <v>542259.32140199991</v>
      </c>
      <c r="H32" s="13"/>
      <c r="I32" s="30">
        <f>G32/$G$46</f>
        <v>2.3712317693333738E-2</v>
      </c>
      <c r="J32" s="30"/>
      <c r="K32" s="33">
        <f t="shared" si="4"/>
        <v>-1293089.4748183643</v>
      </c>
      <c r="L32" s="31">
        <f>K32/G32/1000</f>
        <v>-2.3846330045099251E-3</v>
      </c>
      <c r="N32" s="33">
        <f t="shared" si="5"/>
        <v>-378967.89014309045</v>
      </c>
      <c r="O32" s="31">
        <f>N32/G32/1000</f>
        <v>-6.9886837383131937E-4</v>
      </c>
    </row>
    <row r="33" spans="1:15">
      <c r="A33" s="11">
        <f>MAX(A$11:A32)+1</f>
        <v>14</v>
      </c>
      <c r="C33" s="17" t="s">
        <v>13</v>
      </c>
      <c r="E33" s="12"/>
      <c r="F33" s="12"/>
      <c r="G33" s="14">
        <f>SUM(G31:G32)</f>
        <v>620610.81340199988</v>
      </c>
      <c r="H33" s="13"/>
      <c r="I33" s="30"/>
      <c r="J33" s="30"/>
      <c r="K33" s="34">
        <f>SUM(K31:K32)</f>
        <v>-1479929.0285941595</v>
      </c>
      <c r="N33" s="34">
        <f>SUM(N31:N32)</f>
        <v>-433725.26994438807</v>
      </c>
    </row>
    <row r="34" spans="1:15">
      <c r="A34" s="11"/>
      <c r="E34" s="15"/>
      <c r="F34" s="12"/>
      <c r="G34" s="16"/>
      <c r="H34" s="13"/>
      <c r="I34" s="30"/>
      <c r="J34" s="30"/>
      <c r="K34" s="33"/>
      <c r="N34" s="33"/>
    </row>
    <row r="35" spans="1:15">
      <c r="A35" s="11"/>
      <c r="C35" s="19" t="s">
        <v>8</v>
      </c>
      <c r="E35" s="15"/>
      <c r="F35" s="12"/>
      <c r="G35" s="16"/>
      <c r="H35" s="13"/>
      <c r="I35" s="30"/>
      <c r="J35" s="30"/>
      <c r="K35" s="33"/>
      <c r="N35" s="33"/>
    </row>
    <row r="36" spans="1:15">
      <c r="A36" s="11">
        <f>MAX(A$11:A34)+1</f>
        <v>15</v>
      </c>
      <c r="C36" s="18" t="s">
        <v>12</v>
      </c>
      <c r="E36" s="15" t="s">
        <v>11</v>
      </c>
      <c r="F36" s="12"/>
      <c r="G36" s="16">
        <v>2028727.0061700002</v>
      </c>
      <c r="H36" s="13"/>
      <c r="I36" s="30">
        <f>G36/$G$46</f>
        <v>8.8713678833537271E-2</v>
      </c>
      <c r="J36" s="30"/>
      <c r="K36" s="33">
        <f t="shared" ref="K36:K37" si="6">I36*$K$47</f>
        <v>-4837769.3760535941</v>
      </c>
      <c r="L36" s="31">
        <f>K36/G36/1000</f>
        <v>-2.3846330045099256E-3</v>
      </c>
      <c r="N36" s="33">
        <f t="shared" ref="N36:N37" si="7">I36*$N$47</f>
        <v>-1417813.1437497092</v>
      </c>
      <c r="O36" s="31">
        <f>N36/G36/1000</f>
        <v>-6.9886837383131947E-4</v>
      </c>
    </row>
    <row r="37" spans="1:15">
      <c r="A37" s="11">
        <f>MAX(A$11:A36)+1</f>
        <v>16</v>
      </c>
      <c r="C37" s="18" t="s">
        <v>10</v>
      </c>
      <c r="E37" s="15" t="s">
        <v>9</v>
      </c>
      <c r="F37" s="12"/>
      <c r="G37" s="16">
        <v>336220.53600000002</v>
      </c>
      <c r="H37" s="13"/>
      <c r="I37" s="30">
        <f>G37/$G$46</f>
        <v>1.4702500906839276E-2</v>
      </c>
      <c r="J37" s="30"/>
      <c r="K37" s="33">
        <f t="shared" si="6"/>
        <v>-801762.58693961764</v>
      </c>
      <c r="L37" s="31">
        <f>K37/G37/1000</f>
        <v>-2.3846330045099256E-3</v>
      </c>
      <c r="N37" s="33">
        <f t="shared" si="7"/>
        <v>-234973.89924301463</v>
      </c>
      <c r="O37" s="31">
        <f>N37/G37/1000</f>
        <v>-6.9886837383131947E-4</v>
      </c>
    </row>
    <row r="38" spans="1:15">
      <c r="A38" s="11">
        <f>MAX(A$11:A37)+1</f>
        <v>17</v>
      </c>
      <c r="C38" s="17" t="s">
        <v>8</v>
      </c>
      <c r="E38" s="15"/>
      <c r="F38" s="12"/>
      <c r="G38" s="14">
        <f>SUM(G36:G37)</f>
        <v>2364947.5421700003</v>
      </c>
      <c r="H38" s="13"/>
      <c r="I38" s="30"/>
      <c r="J38" s="30"/>
      <c r="K38" s="34">
        <f>SUM(K36:K37)</f>
        <v>-5639531.962993212</v>
      </c>
      <c r="N38" s="34">
        <f>SUM(N36:N37)</f>
        <v>-1652787.0429927239</v>
      </c>
    </row>
    <row r="39" spans="1:15">
      <c r="A39" s="11"/>
      <c r="E39" s="15"/>
      <c r="F39" s="12"/>
      <c r="G39" s="16"/>
      <c r="H39" s="13"/>
      <c r="I39" s="30"/>
      <c r="J39" s="30"/>
      <c r="K39" s="33"/>
      <c r="N39" s="33"/>
    </row>
    <row r="40" spans="1:15">
      <c r="A40" s="11">
        <f>MAX(A$11:A38)+1</f>
        <v>18</v>
      </c>
      <c r="C40" s="1" t="s">
        <v>7</v>
      </c>
      <c r="E40" s="15" t="s">
        <v>6</v>
      </c>
      <c r="F40" s="12"/>
      <c r="G40" s="14">
        <v>69969.105296000009</v>
      </c>
      <c r="H40" s="13"/>
      <c r="I40" s="30">
        <f>G40/$G$46</f>
        <v>3.0596609187047777E-3</v>
      </c>
      <c r="J40" s="30"/>
      <c r="K40" s="33">
        <f>I40*$K$47</f>
        <v>-166850.63778487183</v>
      </c>
      <c r="L40" s="31">
        <f>K40/G40/1000</f>
        <v>-2.3846330045099251E-3</v>
      </c>
      <c r="N40" s="33">
        <f>I40*$N$47</f>
        <v>-48899.19483664789</v>
      </c>
      <c r="O40" s="31">
        <f>N40/G40/1000</f>
        <v>-6.9886837383131947E-4</v>
      </c>
    </row>
    <row r="41" spans="1:15">
      <c r="A41" s="11"/>
      <c r="E41" s="15"/>
      <c r="F41" s="12"/>
      <c r="G41" s="16"/>
      <c r="H41" s="13"/>
      <c r="I41" s="30"/>
      <c r="J41" s="30"/>
      <c r="K41" s="33"/>
      <c r="N41" s="33"/>
    </row>
    <row r="42" spans="1:15">
      <c r="A42" s="11">
        <f>MAX(A$11:A41)+1</f>
        <v>19</v>
      </c>
      <c r="C42" s="17" t="s">
        <v>5</v>
      </c>
      <c r="G42" s="14">
        <f>SUM(G40,G38,G33,G28,G22,G15)</f>
        <v>22861084.670182306</v>
      </c>
      <c r="H42" s="13"/>
      <c r="I42" s="30">
        <f>G42/$G$46</f>
        <v>0.99968646202706901</v>
      </c>
      <c r="J42" s="30"/>
      <c r="K42" s="34">
        <f>SUM(K40,K38,K33,K28,K22,K15)</f>
        <v>-54515297.02341263</v>
      </c>
      <c r="N42" s="34">
        <f>SUM(N40,N38,N33,N28,N22,N15)</f>
        <v>-15976889.067470416</v>
      </c>
    </row>
    <row r="43" spans="1:15">
      <c r="A43" s="12"/>
      <c r="H43" s="4"/>
      <c r="I43" s="30"/>
      <c r="J43" s="30"/>
      <c r="K43" s="32"/>
      <c r="N43" s="32"/>
    </row>
    <row r="44" spans="1:15">
      <c r="A44" s="11">
        <f>MAX(A$11:A43)+1</f>
        <v>20</v>
      </c>
      <c r="C44" s="1" t="s">
        <v>4</v>
      </c>
      <c r="E44" s="15" t="s">
        <v>3</v>
      </c>
      <c r="F44" s="12"/>
      <c r="G44" s="14">
        <v>7170.0662345252713</v>
      </c>
      <c r="H44" s="4"/>
      <c r="I44" s="30">
        <f>G44/$G$46</f>
        <v>3.135379729309737E-4</v>
      </c>
      <c r="J44" s="30"/>
      <c r="K44" s="33">
        <f>I44*$K$47</f>
        <v>-17097.976587371166</v>
      </c>
      <c r="L44" s="31">
        <f>K44/G44/1000</f>
        <v>-2.3846330045099251E-3</v>
      </c>
      <c r="N44" s="33">
        <f>I44*$N$47</f>
        <v>-5010.9325295855288</v>
      </c>
      <c r="O44" s="31">
        <f>N44/G44/1000</f>
        <v>-6.9886837383131947E-4</v>
      </c>
    </row>
    <row r="45" spans="1:15">
      <c r="A45" s="12"/>
      <c r="H45" s="4"/>
      <c r="I45" s="30"/>
      <c r="J45" s="30"/>
      <c r="K45" s="32"/>
      <c r="N45" s="32"/>
    </row>
    <row r="46" spans="1:15" ht="16" thickBot="1">
      <c r="A46" s="11">
        <f>MAX(A$11:A45)+1</f>
        <v>21</v>
      </c>
      <c r="C46" s="10" t="s">
        <v>2</v>
      </c>
      <c r="G46" s="6">
        <f>G44+G42</f>
        <v>22868254.736416832</v>
      </c>
      <c r="H46" s="9"/>
      <c r="I46" s="30">
        <f>G46/$G$46</f>
        <v>1</v>
      </c>
      <c r="J46" s="30"/>
      <c r="K46" s="35">
        <f>K44+K42</f>
        <v>-54532395</v>
      </c>
      <c r="N46" s="35">
        <f>N44+N42</f>
        <v>-15981900.000000002</v>
      </c>
    </row>
    <row r="47" spans="1:15" ht="16" thickTop="1">
      <c r="A47" s="123" t="s">
        <v>1</v>
      </c>
      <c r="B47" s="124"/>
      <c r="C47" s="124"/>
      <c r="G47" s="8"/>
      <c r="H47" s="7"/>
      <c r="K47" s="32">
        <f>-56490400+1932103+25902</f>
        <v>-54532395</v>
      </c>
      <c r="N47" s="32">
        <v>-15981900</v>
      </c>
    </row>
    <row r="48" spans="1:15" ht="16" thickBot="1">
      <c r="C48" s="1" t="s">
        <v>0</v>
      </c>
      <c r="G48" s="6">
        <v>22868254.738416828</v>
      </c>
    </row>
    <row r="49" spans="3:8" ht="16.5" thickTop="1" thickBot="1">
      <c r="C49" s="1" t="s">
        <v>0</v>
      </c>
      <c r="G49" s="6">
        <f>G48-G46</f>
        <v>1.9999966025352478E-3</v>
      </c>
      <c r="H49" s="3"/>
    </row>
    <row r="50" spans="3:8" ht="16" thickTop="1">
      <c r="G50" s="5"/>
      <c r="H50" s="3"/>
    </row>
  </sheetData>
  <mergeCells count="11">
    <mergeCell ref="A47:C47"/>
    <mergeCell ref="I7:I10"/>
    <mergeCell ref="K7:K10"/>
    <mergeCell ref="L7:L10"/>
    <mergeCell ref="N7:N10"/>
    <mergeCell ref="O7:O10"/>
    <mergeCell ref="A2:H2"/>
    <mergeCell ref="A3:H3"/>
    <mergeCell ref="A4:H4"/>
    <mergeCell ref="A5:H5"/>
    <mergeCell ref="A6:H6"/>
  </mergeCells>
  <printOptions horizontalCentered="1"/>
  <pageMargins left="0.7" right="0.7" top="0.75" bottom="0.77" header="0.3" footer="0.3"/>
  <pageSetup scale="70" orientation="landscape" r:id="rId1"/>
  <headerFooter alignWithMargins="0">
    <oddFooter>&amp;L&amp;F
&amp;A&amp;RPage &amp;P of &amp;N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transitionEntry="1">
    <tabColor theme="5" tint="0.79998168889431442"/>
    <pageSetUpPr fitToPage="1"/>
  </sheetPr>
  <dimension ref="A1:P50"/>
  <sheetViews>
    <sheetView zoomScale="90" zoomScaleNormal="90" zoomScaleSheetLayoutView="70" workbookViewId="0">
      <pane xSplit="6" ySplit="11" topLeftCell="G13" activePane="bottomRight" state="frozen"/>
      <selection sqref="A1:XFD1048576"/>
      <selection pane="topRight" sqref="A1:XFD1048576"/>
      <selection pane="bottomLeft" sqref="A1:XFD1048576"/>
      <selection pane="bottomRight" activeCell="H36" sqref="H36"/>
    </sheetView>
  </sheetViews>
  <sheetFormatPr defaultColWidth="6.5" defaultRowHeight="15.5"/>
  <cols>
    <col min="1" max="1" width="4.25" style="1" bestFit="1" customWidth="1"/>
    <col min="2" max="2" width="2" style="1" customWidth="1"/>
    <col min="3" max="3" width="33.83203125" style="1" bestFit="1" customWidth="1"/>
    <col min="4" max="4" width="2" style="1" customWidth="1"/>
    <col min="5" max="5" width="10.08203125" style="1" bestFit="1" customWidth="1"/>
    <col min="6" max="6" width="2" style="1" customWidth="1"/>
    <col min="7" max="7" width="10.5" style="1" bestFit="1" customWidth="1"/>
    <col min="8" max="8" width="14.83203125" style="1" bestFit="1" customWidth="1"/>
    <col min="9" max="9" width="2.25" style="1" customWidth="1"/>
    <col min="10" max="10" width="8" style="1" bestFit="1" customWidth="1"/>
    <col min="11" max="11" width="2.25" style="1" customWidth="1"/>
    <col min="12" max="12" width="13" style="1" bestFit="1" customWidth="1"/>
    <col min="13" max="13" width="11.33203125" style="1" bestFit="1" customWidth="1"/>
    <col min="14" max="14" width="2.25" style="1" customWidth="1"/>
    <col min="15" max="15" width="13" style="1" bestFit="1" customWidth="1"/>
    <col min="16" max="16" width="11.33203125" style="1" bestFit="1" customWidth="1"/>
    <col min="17" max="16384" width="6.5" style="1"/>
  </cols>
  <sheetData>
    <row r="1" spans="1:16" ht="17.5">
      <c r="B1" s="28"/>
      <c r="C1" s="28"/>
    </row>
    <row r="2" spans="1:16">
      <c r="A2" s="129" t="s">
        <v>47</v>
      </c>
      <c r="B2" s="129"/>
      <c r="C2" s="129"/>
      <c r="D2" s="129"/>
      <c r="E2" s="129"/>
      <c r="F2" s="129"/>
      <c r="G2" s="129"/>
      <c r="H2" s="129"/>
      <c r="I2" s="129"/>
    </row>
    <row r="3" spans="1:16">
      <c r="A3" s="130" t="s">
        <v>46</v>
      </c>
      <c r="B3" s="130"/>
      <c r="C3" s="130"/>
      <c r="D3" s="130"/>
      <c r="E3" s="130"/>
      <c r="F3" s="130"/>
      <c r="G3" s="130"/>
      <c r="H3" s="130"/>
      <c r="I3" s="130"/>
    </row>
    <row r="4" spans="1:16">
      <c r="A4" s="130" t="s">
        <v>45</v>
      </c>
      <c r="B4" s="130"/>
      <c r="C4" s="130"/>
      <c r="D4" s="130"/>
      <c r="E4" s="130"/>
      <c r="F4" s="130"/>
      <c r="G4" s="130"/>
      <c r="H4" s="130"/>
      <c r="I4" s="130"/>
    </row>
    <row r="5" spans="1:16">
      <c r="A5" s="129" t="s">
        <v>44</v>
      </c>
      <c r="B5" s="130"/>
      <c r="C5" s="130"/>
      <c r="D5" s="130"/>
      <c r="E5" s="130"/>
      <c r="F5" s="130"/>
      <c r="G5" s="130"/>
      <c r="H5" s="130"/>
      <c r="I5" s="130"/>
    </row>
    <row r="6" spans="1:16">
      <c r="A6" s="129" t="s">
        <v>43</v>
      </c>
      <c r="B6" s="129"/>
      <c r="C6" s="129"/>
      <c r="D6" s="129"/>
      <c r="E6" s="129"/>
      <c r="F6" s="129"/>
      <c r="G6" s="129"/>
      <c r="H6" s="129"/>
      <c r="I6" s="129"/>
    </row>
    <row r="7" spans="1:16" ht="15.75" customHeight="1">
      <c r="I7" s="27"/>
      <c r="J7" s="127" t="s">
        <v>262</v>
      </c>
      <c r="K7" s="29"/>
      <c r="L7" s="127" t="s">
        <v>48</v>
      </c>
      <c r="M7" s="127" t="s">
        <v>51</v>
      </c>
      <c r="O7" s="127" t="s">
        <v>49</v>
      </c>
      <c r="P7" s="127" t="s">
        <v>52</v>
      </c>
    </row>
    <row r="8" spans="1:16">
      <c r="E8" s="15" t="s">
        <v>42</v>
      </c>
      <c r="F8" s="12"/>
      <c r="G8" s="12"/>
      <c r="I8" s="23"/>
      <c r="J8" s="128"/>
      <c r="K8" s="29"/>
      <c r="L8" s="128"/>
      <c r="M8" s="128"/>
      <c r="O8" s="128"/>
      <c r="P8" s="128"/>
    </row>
    <row r="9" spans="1:16">
      <c r="A9" s="12" t="s">
        <v>41</v>
      </c>
      <c r="E9" s="12" t="s">
        <v>40</v>
      </c>
      <c r="F9" s="12"/>
      <c r="G9" s="12" t="s">
        <v>39</v>
      </c>
      <c r="H9" s="12" t="s">
        <v>260</v>
      </c>
      <c r="I9" s="12"/>
      <c r="J9" s="128"/>
      <c r="K9" s="29"/>
      <c r="L9" s="128"/>
      <c r="M9" s="128"/>
      <c r="O9" s="128"/>
      <c r="P9" s="128"/>
    </row>
    <row r="10" spans="1:16">
      <c r="A10" s="26" t="s">
        <v>37</v>
      </c>
      <c r="C10" s="26" t="s">
        <v>38</v>
      </c>
      <c r="E10" s="26" t="s">
        <v>37</v>
      </c>
      <c r="F10" s="24"/>
      <c r="G10" s="25" t="s">
        <v>36</v>
      </c>
      <c r="H10" s="25" t="s">
        <v>261</v>
      </c>
      <c r="I10" s="24"/>
      <c r="J10" s="128"/>
      <c r="K10" s="29"/>
      <c r="L10" s="128"/>
      <c r="M10" s="128"/>
      <c r="O10" s="128"/>
      <c r="P10" s="128"/>
    </row>
    <row r="11" spans="1:16">
      <c r="A11" s="2"/>
      <c r="C11" s="15" t="s">
        <v>35</v>
      </c>
      <c r="E11" s="15" t="s">
        <v>34</v>
      </c>
      <c r="F11" s="12"/>
      <c r="G11" s="15" t="s">
        <v>33</v>
      </c>
      <c r="H11" s="15" t="s">
        <v>33</v>
      </c>
      <c r="I11" s="15"/>
      <c r="L11" s="32"/>
      <c r="O11" s="32"/>
    </row>
    <row r="12" spans="1:16">
      <c r="I12" s="15"/>
      <c r="L12" s="32"/>
      <c r="O12" s="32"/>
    </row>
    <row r="13" spans="1:16">
      <c r="C13" s="22" t="s">
        <v>32</v>
      </c>
      <c r="J13" s="1">
        <f>+G13*1000*'Sch 141x &amp; 141z (Ratebase)'!M19/1000000</f>
        <v>0</v>
      </c>
      <c r="L13" s="32"/>
      <c r="O13" s="32"/>
    </row>
    <row r="14" spans="1:16">
      <c r="A14" s="12">
        <v>1</v>
      </c>
      <c r="C14" s="1" t="s">
        <v>32</v>
      </c>
      <c r="E14" s="15">
        <v>7</v>
      </c>
      <c r="F14" s="15"/>
      <c r="G14" s="16">
        <v>10623030.235689331</v>
      </c>
      <c r="H14" s="55">
        <f>'COS Ratebase'!F151</f>
        <v>3172900730.3915954</v>
      </c>
      <c r="I14" s="13"/>
      <c r="J14" s="30">
        <f>H14/$H$46</f>
        <v>0.59047118927505038</v>
      </c>
      <c r="K14" s="30"/>
      <c r="L14" s="33">
        <f>J14*$L$47</f>
        <v>-32199808.129666813</v>
      </c>
      <c r="M14" s="31">
        <f>L14/G14/1000</f>
        <v>-3.0311321172265646E-3</v>
      </c>
      <c r="O14" s="33">
        <f>J14*$O$47</f>
        <v>-9436851.4998749271</v>
      </c>
      <c r="P14" s="31">
        <f>O14/G14/1000</f>
        <v>-8.883389475980878E-4</v>
      </c>
    </row>
    <row r="15" spans="1:16">
      <c r="A15" s="11">
        <f>MAX(A$11:A14)+1</f>
        <v>2</v>
      </c>
      <c r="C15" s="17" t="s">
        <v>31</v>
      </c>
      <c r="G15" s="14">
        <f>SUM(G14:G14)</f>
        <v>10623030.235689331</v>
      </c>
      <c r="H15" s="14">
        <f>SUM(H14:H14)</f>
        <v>3172900730.3915954</v>
      </c>
      <c r="I15" s="13"/>
      <c r="J15" s="30"/>
      <c r="K15" s="30"/>
      <c r="L15" s="34">
        <f>SUM(L14:L14)</f>
        <v>-32199808.129666813</v>
      </c>
      <c r="O15" s="34">
        <f>SUM(O14:O14)</f>
        <v>-9436851.4998749271</v>
      </c>
    </row>
    <row r="16" spans="1:16">
      <c r="G16" s="1" t="s">
        <v>1</v>
      </c>
      <c r="H16" s="1" t="s">
        <v>1</v>
      </c>
      <c r="I16" s="4"/>
      <c r="J16" s="30"/>
      <c r="K16" s="30"/>
      <c r="L16" s="32"/>
      <c r="O16" s="32"/>
    </row>
    <row r="17" spans="1:16">
      <c r="C17" s="20" t="s">
        <v>30</v>
      </c>
      <c r="I17" s="4"/>
      <c r="J17" s="30"/>
      <c r="K17" s="30"/>
      <c r="L17" s="32"/>
      <c r="O17" s="32"/>
    </row>
    <row r="18" spans="1:16">
      <c r="A18" s="11">
        <f>MAX(A$11:A17)+1</f>
        <v>3</v>
      </c>
      <c r="C18" s="18" t="s">
        <v>29</v>
      </c>
      <c r="E18" s="15" t="s">
        <v>28</v>
      </c>
      <c r="F18" s="12"/>
      <c r="G18" s="16">
        <v>2700129.1967702867</v>
      </c>
      <c r="H18" s="16">
        <f>'COS Ratebase'!G151</f>
        <v>652372416.91826284</v>
      </c>
      <c r="I18" s="13"/>
      <c r="J18" s="30">
        <f>H18/$H$46</f>
        <v>0.12140534785039553</v>
      </c>
      <c r="K18" s="30"/>
      <c r="L18" s="33">
        <f t="shared" ref="L18:L21" si="0">J18*$L$47</f>
        <v>-6620524.3840901703</v>
      </c>
      <c r="M18" s="31">
        <f t="shared" ref="M18:M20" si="1">L18/G18/1000</f>
        <v>-2.4519287417836141E-3</v>
      </c>
      <c r="O18" s="33">
        <f t="shared" ref="O18:O21" si="2">J18*$O$47</f>
        <v>-1940288.1288102362</v>
      </c>
      <c r="P18" s="31">
        <f t="shared" ref="P18:P20" si="3">O18/G18/1000</f>
        <v>-7.1859084784945792E-4</v>
      </c>
    </row>
    <row r="19" spans="1:16">
      <c r="A19" s="11">
        <f>MAX(A$11:A18)+1</f>
        <v>4</v>
      </c>
      <c r="C19" s="18" t="s">
        <v>27</v>
      </c>
      <c r="D19" s="21"/>
      <c r="E19" s="15" t="s">
        <v>26</v>
      </c>
      <c r="F19" s="12"/>
      <c r="G19" s="16">
        <v>2990164.3735601031</v>
      </c>
      <c r="H19" s="16">
        <f>'COS Ratebase'!H151</f>
        <v>670171621.46672237</v>
      </c>
      <c r="I19" s="13"/>
      <c r="J19" s="30">
        <f>H19/$H$46</f>
        <v>0.12471774819661804</v>
      </c>
      <c r="K19" s="30"/>
      <c r="L19" s="33">
        <f t="shared" si="0"/>
        <v>-6801157.508168513</v>
      </c>
      <c r="M19" s="31">
        <f>L19/(G19+G21)/1000</f>
        <v>-2.2623967260348762E-3</v>
      </c>
      <c r="O19" s="33">
        <f t="shared" si="2"/>
        <v>-1993226.57990353</v>
      </c>
      <c r="P19" s="31">
        <f>O19/(G19+G21)/1000</f>
        <v>-6.6304438372488108E-4</v>
      </c>
    </row>
    <row r="20" spans="1:16">
      <c r="A20" s="11">
        <f>MAX(A$11:A19)+1</f>
        <v>5</v>
      </c>
      <c r="C20" s="18" t="s">
        <v>25</v>
      </c>
      <c r="E20" s="15" t="s">
        <v>24</v>
      </c>
      <c r="F20" s="12"/>
      <c r="G20" s="16">
        <v>1941301.3639308119</v>
      </c>
      <c r="H20" s="16">
        <f>'COS Ratebase'!I151</f>
        <v>371531904.58444166</v>
      </c>
      <c r="I20" s="13"/>
      <c r="J20" s="30">
        <f>H20/$H$46</f>
        <v>6.9141427417593479E-2</v>
      </c>
      <c r="K20" s="30"/>
      <c r="L20" s="33">
        <f t="shared" si="0"/>
        <v>-3770447.6308000376</v>
      </c>
      <c r="M20" s="31">
        <f t="shared" si="1"/>
        <v>-1.94222684888322E-3</v>
      </c>
      <c r="O20" s="33">
        <f t="shared" si="2"/>
        <v>-1105011.3788452372</v>
      </c>
      <c r="P20" s="31">
        <f t="shared" si="3"/>
        <v>-5.6921166356560591E-4</v>
      </c>
    </row>
    <row r="21" spans="1:16">
      <c r="A21" s="11">
        <f>MAX(A$11:A20)+1</f>
        <v>6</v>
      </c>
      <c r="C21" s="18" t="s">
        <v>23</v>
      </c>
      <c r="E21" s="12">
        <v>29</v>
      </c>
      <c r="F21" s="12"/>
      <c r="G21" s="16">
        <v>16009.313796828577</v>
      </c>
      <c r="H21" s="16"/>
      <c r="I21" s="13"/>
      <c r="J21" s="30">
        <f>H21/$H$46</f>
        <v>0</v>
      </c>
      <c r="K21" s="30"/>
      <c r="L21" s="33">
        <f t="shared" si="0"/>
        <v>0</v>
      </c>
      <c r="M21" s="31">
        <f>M19</f>
        <v>-2.2623967260348762E-3</v>
      </c>
      <c r="O21" s="33">
        <f t="shared" si="2"/>
        <v>0</v>
      </c>
      <c r="P21" s="31">
        <f>P19</f>
        <v>-6.6304438372488108E-4</v>
      </c>
    </row>
    <row r="22" spans="1:16">
      <c r="A22" s="11">
        <f>MAX(A$11:A21)+1</f>
        <v>7</v>
      </c>
      <c r="C22" s="17" t="s">
        <v>22</v>
      </c>
      <c r="E22" s="12"/>
      <c r="F22" s="12"/>
      <c r="G22" s="14">
        <f>SUM(G18:G21)</f>
        <v>7647604.2480580304</v>
      </c>
      <c r="H22" s="14">
        <f>SUM(H18:H21)</f>
        <v>1694075942.9694269</v>
      </c>
      <c r="I22" s="13"/>
      <c r="J22" s="30"/>
      <c r="K22" s="30"/>
      <c r="L22" s="34">
        <f>SUM(L18:L21)</f>
        <v>-17192129.52305872</v>
      </c>
      <c r="O22" s="34">
        <f>SUM(O18:O21)</f>
        <v>-5038526.0875590034</v>
      </c>
    </row>
    <row r="23" spans="1:16">
      <c r="A23" s="11"/>
      <c r="C23" s="18"/>
      <c r="E23" s="12"/>
      <c r="F23" s="12"/>
      <c r="G23" s="16"/>
      <c r="H23" s="16"/>
      <c r="I23" s="13"/>
      <c r="J23" s="30"/>
      <c r="K23" s="30"/>
      <c r="L23" s="33"/>
      <c r="O23" s="33"/>
    </row>
    <row r="24" spans="1:16">
      <c r="A24" s="11"/>
      <c r="C24" s="20" t="s">
        <v>21</v>
      </c>
      <c r="E24" s="12"/>
      <c r="F24" s="12"/>
      <c r="G24" s="16"/>
      <c r="H24" s="16"/>
      <c r="I24" s="13"/>
      <c r="J24" s="30"/>
      <c r="K24" s="30"/>
      <c r="L24" s="33"/>
      <c r="O24" s="33"/>
    </row>
    <row r="25" spans="1:16">
      <c r="A25" s="11">
        <f>MAX(A$11:A23)+1</f>
        <v>8</v>
      </c>
      <c r="C25" s="18" t="s">
        <v>20</v>
      </c>
      <c r="E25" s="15" t="s">
        <v>19</v>
      </c>
      <c r="F25" s="12"/>
      <c r="G25" s="16">
        <v>1407978.352242965</v>
      </c>
      <c r="H25" s="16">
        <f>'COS Ratebase'!Q151</f>
        <v>281177355.6499536</v>
      </c>
      <c r="I25" s="13"/>
      <c r="J25" s="30">
        <f>H25/$H$46</f>
        <v>5.2326606375532922E-2</v>
      </c>
      <c r="K25" s="30"/>
      <c r="L25" s="33">
        <f t="shared" ref="L25:L27" si="4">J25*$L$47</f>
        <v>-2853495.1678800797</v>
      </c>
      <c r="M25" s="31">
        <f t="shared" ref="M25:M27" si="5">L25/G25/1000</f>
        <v>-2.0266612503909232E-3</v>
      </c>
      <c r="O25" s="33">
        <f t="shared" ref="O25:O27" si="6">J25*$O$47</f>
        <v>-836278.59043312958</v>
      </c>
      <c r="P25" s="31">
        <f t="shared" ref="P25:P27" si="7">O25/G25/1000</f>
        <v>-5.9395699450982668E-4</v>
      </c>
    </row>
    <row r="26" spans="1:16">
      <c r="A26" s="11">
        <f>MAX(A$11:A25)+1</f>
        <v>9</v>
      </c>
      <c r="C26" s="18" t="s">
        <v>18</v>
      </c>
      <c r="E26" s="12">
        <v>35</v>
      </c>
      <c r="F26" s="12"/>
      <c r="G26" s="16">
        <v>4443.66</v>
      </c>
      <c r="H26" s="16">
        <f>'COS Ratebase'!R151</f>
        <v>1455933.4809377107</v>
      </c>
      <c r="I26" s="13"/>
      <c r="J26" s="30">
        <f>H26/$H$46</f>
        <v>2.7094663434003893E-4</v>
      </c>
      <c r="K26" s="30"/>
      <c r="L26" s="33">
        <f t="shared" si="4"/>
        <v>-14775.368887751567</v>
      </c>
      <c r="M26" s="31">
        <f t="shared" si="5"/>
        <v>-3.3250448701636864E-3</v>
      </c>
      <c r="O26" s="33">
        <f t="shared" si="6"/>
        <v>-4330.2420153590683</v>
      </c>
      <c r="P26" s="31">
        <f t="shared" si="7"/>
        <v>-9.7447644854895931E-4</v>
      </c>
    </row>
    <row r="27" spans="1:16">
      <c r="A27" s="11">
        <f>MAX(A$11:A26)+1</f>
        <v>10</v>
      </c>
      <c r="C27" s="1" t="s">
        <v>17</v>
      </c>
      <c r="E27" s="15">
        <v>43</v>
      </c>
      <c r="F27" s="12"/>
      <c r="G27" s="16">
        <v>122500.71332397975</v>
      </c>
      <c r="H27" s="16">
        <f>'COS Ratebase'!S151</f>
        <v>34907953.637696564</v>
      </c>
      <c r="I27" s="13"/>
      <c r="J27" s="30">
        <f>H27/$H$46</f>
        <v>6.4963081580762493E-3</v>
      </c>
      <c r="K27" s="30"/>
      <c r="L27" s="33">
        <f t="shared" si="4"/>
        <v>-354259.24251793645</v>
      </c>
      <c r="M27" s="31">
        <f t="shared" si="5"/>
        <v>-2.8918953441603307E-3</v>
      </c>
      <c r="O27" s="33">
        <f t="shared" si="6"/>
        <v>-103823.34735155881</v>
      </c>
      <c r="P27" s="31">
        <f t="shared" si="7"/>
        <v>-8.4753259417335311E-4</v>
      </c>
    </row>
    <row r="28" spans="1:16">
      <c r="A28" s="11">
        <f>MAX(A$11:A27)+1</f>
        <v>11</v>
      </c>
      <c r="C28" s="17" t="s">
        <v>16</v>
      </c>
      <c r="E28" s="12"/>
      <c r="F28" s="12"/>
      <c r="G28" s="14">
        <f>SUM(G25:G27)</f>
        <v>1534922.7255669446</v>
      </c>
      <c r="H28" s="14">
        <f>SUM(H25:H27)</f>
        <v>317541242.76858789</v>
      </c>
      <c r="I28" s="13"/>
      <c r="J28" s="30"/>
      <c r="K28" s="30"/>
      <c r="L28" s="34">
        <f>SUM(L25:L27)</f>
        <v>-3222529.7792857676</v>
      </c>
      <c r="O28" s="34">
        <f>SUM(O25:O27)</f>
        <v>-944432.17980004754</v>
      </c>
    </row>
    <row r="29" spans="1:16">
      <c r="A29" s="11"/>
      <c r="E29" s="15"/>
      <c r="F29" s="12"/>
      <c r="G29" s="16"/>
      <c r="H29" s="16"/>
      <c r="I29" s="13"/>
      <c r="J29" s="30"/>
      <c r="K29" s="30"/>
      <c r="L29" s="33"/>
      <c r="O29" s="33"/>
    </row>
    <row r="30" spans="1:16">
      <c r="A30" s="11"/>
      <c r="C30" s="20" t="s">
        <v>13</v>
      </c>
      <c r="E30" s="15"/>
      <c r="F30" s="12"/>
      <c r="G30" s="16"/>
      <c r="H30" s="16"/>
      <c r="I30" s="13"/>
      <c r="J30" s="30"/>
      <c r="K30" s="30"/>
      <c r="L30" s="33"/>
      <c r="O30" s="33"/>
    </row>
    <row r="31" spans="1:16">
      <c r="A31" s="11">
        <f>MAX(A$11:A29)+1</f>
        <v>12</v>
      </c>
      <c r="C31" s="18" t="s">
        <v>15</v>
      </c>
      <c r="E31" s="15">
        <v>46</v>
      </c>
      <c r="F31" s="12"/>
      <c r="G31" s="16">
        <v>78351.491999999998</v>
      </c>
      <c r="H31" s="16"/>
      <c r="I31" s="13"/>
      <c r="J31" s="30">
        <f>H31/$H$46</f>
        <v>0</v>
      </c>
      <c r="K31" s="30"/>
      <c r="L31" s="33">
        <f>M31*G31*1000</f>
        <v>-119216.14800861877</v>
      </c>
      <c r="M31" s="31">
        <f>M33</f>
        <v>-1.5215555564483541E-3</v>
      </c>
      <c r="O31" s="33">
        <f>P31*G31*1000</f>
        <v>-34938.875430997374</v>
      </c>
      <c r="P31" s="31">
        <f>P33</f>
        <v>-4.4592482592414927E-4</v>
      </c>
    </row>
    <row r="32" spans="1:16">
      <c r="A32" s="11">
        <f>MAX(A$11:A31)+1</f>
        <v>13</v>
      </c>
      <c r="C32" s="1" t="s">
        <v>14</v>
      </c>
      <c r="E32" s="15">
        <v>49</v>
      </c>
      <c r="F32" s="12"/>
      <c r="G32" s="16">
        <v>542259.32140199991</v>
      </c>
      <c r="H32" s="16"/>
      <c r="I32" s="13"/>
      <c r="J32" s="30">
        <f>H32/$H$46</f>
        <v>0</v>
      </c>
      <c r="K32" s="30"/>
      <c r="L32" s="33">
        <f>M32*G32*1000</f>
        <v>-825077.68351512682</v>
      </c>
      <c r="M32" s="31">
        <f>M33</f>
        <v>-1.5215555564483541E-3</v>
      </c>
      <c r="O32" s="33">
        <f>P32*G32*1000</f>
        <v>-241806.89350193413</v>
      </c>
      <c r="P32" s="31">
        <f>P33</f>
        <v>-4.4592482592414927E-4</v>
      </c>
    </row>
    <row r="33" spans="1:16">
      <c r="A33" s="11">
        <f>MAX(A$11:A32)+1</f>
        <v>14</v>
      </c>
      <c r="C33" s="17" t="s">
        <v>13</v>
      </c>
      <c r="E33" s="12"/>
      <c r="F33" s="12"/>
      <c r="G33" s="14">
        <f>SUM(G31:G32)</f>
        <v>620610.81340199988</v>
      </c>
      <c r="H33" s="14">
        <f>'COS Ratebase'!L151</f>
        <v>93048709.34884584</v>
      </c>
      <c r="I33" s="13"/>
      <c r="J33" s="30">
        <f>H33/$H$46</f>
        <v>1.7316199509002778E-2</v>
      </c>
      <c r="K33" s="30"/>
      <c r="L33" s="33">
        <f t="shared" ref="L33" si="8">J33*$L$47</f>
        <v>-944293.83152374555</v>
      </c>
      <c r="M33" s="31">
        <f t="shared" ref="M33" si="9">L33/G33/1000</f>
        <v>-1.5215555564483541E-3</v>
      </c>
      <c r="O33" s="33">
        <f t="shared" ref="O33" si="10">J33*$O$47</f>
        <v>-276745.76893293147</v>
      </c>
      <c r="P33" s="31">
        <f t="shared" ref="P33" si="11">O33/G33/1000</f>
        <v>-4.4592482592414927E-4</v>
      </c>
    </row>
    <row r="34" spans="1:16">
      <c r="A34" s="11"/>
      <c r="E34" s="15"/>
      <c r="F34" s="12"/>
      <c r="G34" s="16"/>
      <c r="H34" s="16"/>
      <c r="I34" s="13"/>
      <c r="J34" s="30"/>
      <c r="K34" s="30"/>
      <c r="L34" s="33"/>
      <c r="O34" s="33"/>
    </row>
    <row r="35" spans="1:16">
      <c r="A35" s="11"/>
      <c r="C35" s="19" t="s">
        <v>8</v>
      </c>
      <c r="E35" s="15"/>
      <c r="F35" s="12"/>
      <c r="G35" s="16"/>
      <c r="H35" s="16"/>
      <c r="I35" s="13"/>
      <c r="J35" s="30"/>
      <c r="K35" s="30"/>
      <c r="L35" s="33"/>
      <c r="O35" s="33"/>
    </row>
    <row r="36" spans="1:16">
      <c r="A36" s="11">
        <f>MAX(A$11:A34)+1</f>
        <v>15</v>
      </c>
      <c r="C36" s="18" t="s">
        <v>12</v>
      </c>
      <c r="E36" s="15" t="s">
        <v>11</v>
      </c>
      <c r="F36" s="12"/>
      <c r="G36" s="16">
        <v>2028727.0061700002</v>
      </c>
      <c r="H36" s="16">
        <f>'COS Ratebase'!M154</f>
        <v>3633927.3850857764</v>
      </c>
      <c r="I36" s="13"/>
      <c r="J36" s="30">
        <f>H36/$H$46</f>
        <v>6.7626743070084937E-4</v>
      </c>
      <c r="K36" s="30"/>
      <c r="L36" s="33">
        <f t="shared" ref="L36:L37" si="12">J36*$L$47</f>
        <v>-36878.482656613844</v>
      </c>
      <c r="M36" s="31">
        <f t="shared" ref="M36:M37" si="13">L36/G36/1000</f>
        <v>-1.8178139564591351E-5</v>
      </c>
      <c r="O36" s="33">
        <f t="shared" ref="O36:O37" si="14">J36*$O$47</f>
        <v>-10808.038450717904</v>
      </c>
      <c r="P36" s="31">
        <f t="shared" ref="P36:P37" si="15">O36/G36/1000</f>
        <v>-5.3274976957704231E-6</v>
      </c>
    </row>
    <row r="37" spans="1:16">
      <c r="A37" s="11">
        <f>MAX(A$11:A36)+1</f>
        <v>16</v>
      </c>
      <c r="C37" s="18" t="s">
        <v>10</v>
      </c>
      <c r="E37" s="15" t="s">
        <v>9</v>
      </c>
      <c r="F37" s="12"/>
      <c r="G37" s="16">
        <v>336220.53600000002</v>
      </c>
      <c r="H37" s="16">
        <f>'COS Ratebase'!K151</f>
        <v>31962063.944446441</v>
      </c>
      <c r="I37" s="13"/>
      <c r="J37" s="30">
        <f>H37/$H$46</f>
        <v>5.9480833195286438E-3</v>
      </c>
      <c r="K37" s="30"/>
      <c r="L37" s="33">
        <f t="shared" si="12"/>
        <v>-324363.22907344723</v>
      </c>
      <c r="M37" s="31">
        <f t="shared" si="13"/>
        <v>-9.6473354344259101E-4</v>
      </c>
      <c r="O37" s="33">
        <f t="shared" si="14"/>
        <v>-95061.67280437483</v>
      </c>
      <c r="P37" s="31">
        <f t="shared" si="15"/>
        <v>-2.8273606941241338E-4</v>
      </c>
    </row>
    <row r="38" spans="1:16">
      <c r="A38" s="11">
        <f>MAX(A$11:A37)+1</f>
        <v>17</v>
      </c>
      <c r="C38" s="17" t="s">
        <v>8</v>
      </c>
      <c r="E38" s="15"/>
      <c r="F38" s="12"/>
      <c r="G38" s="14">
        <f>SUM(G36:G37)</f>
        <v>2364947.5421700003</v>
      </c>
      <c r="H38" s="14">
        <f>SUM(H36:H37)</f>
        <v>35595991.329532221</v>
      </c>
      <c r="I38" s="13"/>
      <c r="J38" s="30"/>
      <c r="K38" s="30"/>
      <c r="L38" s="34">
        <f>SUM(L36:L37)</f>
        <v>-361241.7117300611</v>
      </c>
      <c r="O38" s="34">
        <f>SUM(O36:O37)</f>
        <v>-105869.71125509273</v>
      </c>
    </row>
    <row r="39" spans="1:16">
      <c r="A39" s="11"/>
      <c r="E39" s="15"/>
      <c r="F39" s="12"/>
      <c r="G39" s="16"/>
      <c r="H39" s="16"/>
      <c r="I39" s="13"/>
      <c r="J39" s="30"/>
      <c r="K39" s="30"/>
      <c r="L39" s="33"/>
      <c r="O39" s="33"/>
    </row>
    <row r="40" spans="1:16">
      <c r="A40" s="11">
        <f>MAX(A$11:A38)+1</f>
        <v>18</v>
      </c>
      <c r="C40" s="1" t="s">
        <v>7</v>
      </c>
      <c r="E40" s="15" t="s">
        <v>6</v>
      </c>
      <c r="F40" s="12"/>
      <c r="G40" s="14">
        <v>69969.105296000009</v>
      </c>
      <c r="H40" s="14">
        <f>'COS Ratebase'!N151</f>
        <v>58534017.798649997</v>
      </c>
      <c r="I40" s="13"/>
      <c r="J40" s="30">
        <f>H40/$H$46</f>
        <v>1.0893076726781224E-2</v>
      </c>
      <c r="K40" s="30"/>
      <c r="L40" s="33">
        <f>J40*$L$47</f>
        <v>-594025.56283014081</v>
      </c>
      <c r="M40" s="31">
        <f>L40/G40/1000</f>
        <v>-8.4898264786601469E-3</v>
      </c>
      <c r="O40" s="33">
        <f>J40*$O$47</f>
        <v>-174092.06293974485</v>
      </c>
      <c r="P40" s="31">
        <f t="shared" ref="P40" si="16">O40/G40/1000</f>
        <v>-2.4881276129408696E-3</v>
      </c>
    </row>
    <row r="41" spans="1:16">
      <c r="A41" s="11"/>
      <c r="E41" s="15"/>
      <c r="F41" s="12"/>
      <c r="G41" s="16"/>
      <c r="H41" s="16"/>
      <c r="I41" s="13"/>
      <c r="J41" s="30"/>
      <c r="K41" s="30"/>
      <c r="L41" s="33"/>
      <c r="O41" s="33"/>
    </row>
    <row r="42" spans="1:16">
      <c r="A42" s="11">
        <f>MAX(A$11:A41)+1</f>
        <v>19</v>
      </c>
      <c r="C42" s="17" t="s">
        <v>5</v>
      </c>
      <c r="G42" s="14">
        <f>SUM(G40,G38,G33,G28,G22,G15)</f>
        <v>22861084.670182306</v>
      </c>
      <c r="H42" s="14">
        <f>SUM(H40,H38,H33,H28,H22,H15)</f>
        <v>5371696634.606638</v>
      </c>
      <c r="I42" s="13"/>
      <c r="J42" s="30">
        <f>H42/$H$46</f>
        <v>0.99966320089362015</v>
      </c>
      <c r="K42" s="30"/>
      <c r="L42" s="34">
        <f>SUM(L40,L38,L33,L28,L22,L15)</f>
        <v>-54514028.538095251</v>
      </c>
      <c r="O42" s="34">
        <f>SUM(O40,O38,O33,O28,O22,O15)</f>
        <v>-15976517.310361747</v>
      </c>
    </row>
    <row r="43" spans="1:16">
      <c r="A43" s="12"/>
      <c r="I43" s="4"/>
      <c r="J43" s="30"/>
      <c r="K43" s="30"/>
      <c r="L43" s="32"/>
      <c r="O43" s="32"/>
    </row>
    <row r="44" spans="1:16">
      <c r="A44" s="11">
        <f>MAX(A$11:A43)+1</f>
        <v>20</v>
      </c>
      <c r="C44" s="1" t="s">
        <v>4</v>
      </c>
      <c r="E44" s="15" t="s">
        <v>3</v>
      </c>
      <c r="F44" s="12"/>
      <c r="G44" s="14">
        <v>7170.0662345252713</v>
      </c>
      <c r="H44" s="14">
        <f>'COS Ratebase'!O151</f>
        <v>1809792.162662697</v>
      </c>
      <c r="I44" s="4"/>
      <c r="J44" s="30">
        <f>H44/$H$46</f>
        <v>3.3679910637992737E-4</v>
      </c>
      <c r="K44" s="30"/>
      <c r="L44" s="33">
        <f>J44*$L$47</f>
        <v>-18366.46190475722</v>
      </c>
      <c r="M44" s="31">
        <f>L44/G44/1000</f>
        <v>-2.5615470351332478E-3</v>
      </c>
      <c r="O44" s="33">
        <f>J44*$O$47</f>
        <v>-5382.6896382533614</v>
      </c>
      <c r="P44" s="31">
        <f t="shared" ref="P44" si="17">O44/G44/1000</f>
        <v>-7.5071686399975749E-4</v>
      </c>
    </row>
    <row r="45" spans="1:16">
      <c r="A45" s="12"/>
      <c r="I45" s="4"/>
      <c r="J45" s="30"/>
      <c r="K45" s="30"/>
      <c r="L45" s="32"/>
      <c r="O45" s="32"/>
    </row>
    <row r="46" spans="1:16" ht="16" thickBot="1">
      <c r="A46" s="11">
        <f>MAX(A$11:A45)+1</f>
        <v>21</v>
      </c>
      <c r="C46" s="10" t="s">
        <v>2</v>
      </c>
      <c r="G46" s="6">
        <f>G44+G42</f>
        <v>22868254.736416832</v>
      </c>
      <c r="H46" s="6">
        <f>H44+H42</f>
        <v>5373506426.7693005</v>
      </c>
      <c r="I46" s="9"/>
      <c r="J46" s="30">
        <f>H46/$H$46</f>
        <v>1</v>
      </c>
      <c r="K46" s="30"/>
      <c r="L46" s="35">
        <f>L44+L42</f>
        <v>-54532395.000000007</v>
      </c>
      <c r="O46" s="35">
        <f>O44+O42</f>
        <v>-15981900</v>
      </c>
    </row>
    <row r="47" spans="1:16" ht="16" thickTop="1">
      <c r="A47" s="123" t="s">
        <v>1</v>
      </c>
      <c r="B47" s="124"/>
      <c r="C47" s="124"/>
      <c r="G47" s="8"/>
      <c r="H47" s="8"/>
      <c r="I47" s="7"/>
      <c r="L47" s="32">
        <f>-56490400+1932103+25902</f>
        <v>-54532395</v>
      </c>
      <c r="O47" s="32">
        <v>-15981900</v>
      </c>
    </row>
    <row r="48" spans="1:16" ht="16" thickBot="1">
      <c r="C48" s="1" t="s">
        <v>0</v>
      </c>
      <c r="G48" s="6">
        <v>22868254.738416828</v>
      </c>
      <c r="H48" s="6">
        <f>'COS Ratebase'!E151</f>
        <v>5436017781.0260878</v>
      </c>
    </row>
    <row r="49" spans="3:9" ht="16.5" thickTop="1" thickBot="1">
      <c r="C49" s="1" t="s">
        <v>0</v>
      </c>
      <c r="G49" s="6">
        <f>G48-G46</f>
        <v>1.9999966025352478E-3</v>
      </c>
      <c r="H49" s="6">
        <f>H48-H46</f>
        <v>62511354.2567873</v>
      </c>
      <c r="I49" s="3"/>
    </row>
    <row r="50" spans="3:9" ht="16" thickTop="1">
      <c r="H50" s="5"/>
      <c r="I50" s="3"/>
    </row>
  </sheetData>
  <mergeCells count="11">
    <mergeCell ref="A2:I2"/>
    <mergeCell ref="A3:I3"/>
    <mergeCell ref="A4:I4"/>
    <mergeCell ref="A5:I5"/>
    <mergeCell ref="A6:I6"/>
    <mergeCell ref="L7:L10"/>
    <mergeCell ref="M7:M10"/>
    <mergeCell ref="O7:O10"/>
    <mergeCell ref="P7:P10"/>
    <mergeCell ref="A47:C47"/>
    <mergeCell ref="J7:J10"/>
  </mergeCells>
  <printOptions horizontalCentered="1"/>
  <pageMargins left="0.7" right="0.7" top="0.75" bottom="0.77" header="0.3" footer="0.3"/>
  <pageSetup scale="70" orientation="landscape" r:id="rId1"/>
  <headerFooter alignWithMargins="0">
    <oddFooter>&amp;L&amp;F
&amp;A&amp;RPage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transitionEntry="1">
    <tabColor theme="5" tint="0.79998168889431442"/>
    <pageSetUpPr fitToPage="1"/>
  </sheetPr>
  <dimension ref="A1:P54"/>
  <sheetViews>
    <sheetView zoomScale="60" zoomScaleNormal="60" zoomScaleSheetLayoutView="70" workbookViewId="0">
      <pane xSplit="6" ySplit="14" topLeftCell="G15" activePane="bottomRight" state="frozen"/>
      <selection sqref="A1:XFD1048576"/>
      <selection pane="topRight" sqref="A1:XFD1048576"/>
      <selection pane="bottomLeft" sqref="A1:XFD1048576"/>
      <selection pane="bottomRight" activeCell="N1" sqref="N1:V1048576"/>
    </sheetView>
  </sheetViews>
  <sheetFormatPr defaultColWidth="6.5" defaultRowHeight="15.5"/>
  <cols>
    <col min="1" max="1" width="5.25" style="1" bestFit="1" customWidth="1"/>
    <col min="2" max="2" width="2" style="1" customWidth="1"/>
    <col min="3" max="3" width="55.25" style="1" bestFit="1" customWidth="1"/>
    <col min="4" max="4" width="2" style="1" customWidth="1"/>
    <col min="5" max="5" width="16.5" style="1" bestFit="1" customWidth="1"/>
    <col min="6" max="6" width="2" style="1" customWidth="1"/>
    <col min="7" max="7" width="11.75" style="1" bestFit="1" customWidth="1"/>
    <col min="8" max="8" width="2" style="1" customWidth="1"/>
    <col min="9" max="9" width="13.25" style="1" bestFit="1" customWidth="1"/>
    <col min="10" max="10" width="12.75" style="1" customWidth="1"/>
    <col min="11" max="11" width="2" style="1" customWidth="1"/>
    <col min="12" max="12" width="13.5" style="1" bestFit="1" customWidth="1"/>
    <col min="13" max="13" width="2" style="1" customWidth="1"/>
    <col min="14" max="16384" width="6.5" style="1"/>
  </cols>
  <sheetData>
    <row r="1" spans="1:13" ht="17.5">
      <c r="B1" s="28"/>
      <c r="C1" s="28"/>
    </row>
    <row r="2" spans="1:13">
      <c r="A2" s="129" t="s">
        <v>47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>
      <c r="A3" s="130" t="s">
        <v>46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3">
      <c r="A4" s="130" t="s">
        <v>45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13">
      <c r="A5" s="129" t="s">
        <v>44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>
      <c r="A6" s="129" t="s">
        <v>43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</row>
    <row r="7" spans="1:13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</row>
    <row r="8" spans="1:13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>
      <c r="K9" s="3"/>
      <c r="L9" s="78"/>
      <c r="M9" s="79"/>
    </row>
    <row r="10" spans="1:13">
      <c r="L10" s="12" t="s">
        <v>283</v>
      </c>
      <c r="M10" s="27"/>
    </row>
    <row r="11" spans="1:13" ht="15.75" customHeight="1">
      <c r="E11" s="15" t="s">
        <v>42</v>
      </c>
      <c r="F11" s="12"/>
      <c r="L11" s="24" t="s">
        <v>280</v>
      </c>
      <c r="M11" s="23"/>
    </row>
    <row r="12" spans="1:13">
      <c r="A12" s="12" t="s">
        <v>41</v>
      </c>
      <c r="E12" s="12" t="s">
        <v>40</v>
      </c>
      <c r="F12" s="12"/>
      <c r="G12" s="15" t="s">
        <v>284</v>
      </c>
      <c r="I12" s="12" t="s">
        <v>39</v>
      </c>
      <c r="J12" s="12" t="s">
        <v>285</v>
      </c>
      <c r="L12" s="12" t="s">
        <v>286</v>
      </c>
      <c r="M12" s="12"/>
    </row>
    <row r="13" spans="1:13">
      <c r="A13" s="26" t="s">
        <v>37</v>
      </c>
      <c r="C13" s="26" t="s">
        <v>38</v>
      </c>
      <c r="E13" s="26" t="s">
        <v>37</v>
      </c>
      <c r="F13" s="24"/>
      <c r="G13" s="25" t="s">
        <v>287</v>
      </c>
      <c r="I13" s="25" t="s">
        <v>36</v>
      </c>
      <c r="J13" s="25" t="s">
        <v>288</v>
      </c>
      <c r="L13" s="80" t="s">
        <v>289</v>
      </c>
      <c r="M13" s="24"/>
    </row>
    <row r="14" spans="1:13">
      <c r="A14" s="2"/>
      <c r="C14" s="15" t="s">
        <v>35</v>
      </c>
      <c r="E14" s="15" t="s">
        <v>34</v>
      </c>
      <c r="F14" s="12"/>
      <c r="G14" s="15" t="s">
        <v>290</v>
      </c>
      <c r="I14" s="15" t="s">
        <v>33</v>
      </c>
      <c r="J14" s="15" t="s">
        <v>33</v>
      </c>
      <c r="L14" s="15" t="s">
        <v>291</v>
      </c>
      <c r="M14" s="15"/>
    </row>
    <row r="15" spans="1:13">
      <c r="M15" s="15"/>
    </row>
    <row r="16" spans="1:13">
      <c r="C16" s="22" t="s">
        <v>32</v>
      </c>
    </row>
    <row r="17" spans="1:16">
      <c r="A17" s="12">
        <v>1</v>
      </c>
      <c r="C17" s="1" t="s">
        <v>32</v>
      </c>
      <c r="E17" s="15">
        <v>7</v>
      </c>
      <c r="F17" s="15"/>
      <c r="G17" s="16">
        <f>ROUND('[1]Exhibit No.__(JAP-Res RD)'!C16/12,0)</f>
        <v>1030110</v>
      </c>
      <c r="I17" s="16">
        <f>'[1]Exhibit No.__(JAP-Res RD)'!C23/1000</f>
        <v>10623030.235689331</v>
      </c>
      <c r="J17" s="16"/>
      <c r="L17" s="13">
        <f>'[1]Exhibit No.__(JAP-Res RD)'!F23/1000</f>
        <v>1105896.514</v>
      </c>
      <c r="M17" s="13"/>
      <c r="P17" s="4"/>
    </row>
    <row r="18" spans="1:16">
      <c r="A18" s="11">
        <f>MAX(A$14:A17)+1</f>
        <v>2</v>
      </c>
      <c r="C18" s="17" t="s">
        <v>31</v>
      </c>
      <c r="G18" s="14">
        <f>SUM(G17:G17)</f>
        <v>1030110</v>
      </c>
      <c r="I18" s="14">
        <f>SUM(I17:I17)</f>
        <v>10623030.235689331</v>
      </c>
      <c r="J18" s="16"/>
      <c r="L18" s="81">
        <f>SUM(L17:L17)</f>
        <v>1105896.514</v>
      </c>
      <c r="M18" s="13"/>
      <c r="P18" s="4"/>
    </row>
    <row r="19" spans="1:16">
      <c r="I19" s="1" t="s">
        <v>1</v>
      </c>
      <c r="J19" s="1" t="s">
        <v>1</v>
      </c>
      <c r="L19" s="4"/>
      <c r="M19" s="4"/>
    </row>
    <row r="20" spans="1:16">
      <c r="C20" s="20" t="s">
        <v>30</v>
      </c>
      <c r="G20" s="5"/>
      <c r="L20" s="4"/>
      <c r="M20" s="4"/>
    </row>
    <row r="21" spans="1:16">
      <c r="A21" s="11">
        <f>MAX(A$14:A20)+1</f>
        <v>3</v>
      </c>
      <c r="C21" s="63" t="s">
        <v>29</v>
      </c>
      <c r="E21" s="15" t="s">
        <v>28</v>
      </c>
      <c r="F21" s="12"/>
      <c r="G21" s="16">
        <f>'[1]Exhibit No.__(JAP-SV RD)'!C17/12</f>
        <v>130674.58333333333</v>
      </c>
      <c r="I21" s="16">
        <f>'[1]Exhibit No.__(JAP-SV RD)'!C25/1000</f>
        <v>2700129.1967702867</v>
      </c>
      <c r="J21" s="16"/>
      <c r="L21" s="13">
        <f>'[1]Exhibit No.__(JAP-SV RD)'!F25/1000</f>
        <v>263390.397</v>
      </c>
      <c r="M21" s="13"/>
      <c r="P21" s="4"/>
    </row>
    <row r="22" spans="1:16">
      <c r="A22" s="11">
        <f>MAX(A$14:A21)+1</f>
        <v>4</v>
      </c>
      <c r="C22" s="63" t="s">
        <v>27</v>
      </c>
      <c r="D22" s="21"/>
      <c r="E22" s="15" t="s">
        <v>26</v>
      </c>
      <c r="F22" s="12"/>
      <c r="G22" s="16">
        <f>'[1]Exhibit No.__(JAP-SV RD)'!C31/12</f>
        <v>7793.666666666667</v>
      </c>
      <c r="I22" s="16">
        <f>'[1]Exhibit No.__(JAP-SV RD)'!C39/1000</f>
        <v>2990164.3735601031</v>
      </c>
      <c r="J22" s="16">
        <f>'[1]Exhibit No.__(JAP-SV RD)'!C43/1000</f>
        <v>4639.3969999999999</v>
      </c>
      <c r="L22" s="13">
        <f>'[1]Exhibit No.__(JAP-SV RD)'!F47/1000</f>
        <v>269437.799</v>
      </c>
      <c r="M22" s="13"/>
      <c r="P22" s="4"/>
    </row>
    <row r="23" spans="1:16">
      <c r="A23" s="11">
        <f>MAX(A$14:A22)+1</f>
        <v>5</v>
      </c>
      <c r="C23" s="63" t="s">
        <v>25</v>
      </c>
      <c r="E23" s="15" t="s">
        <v>24</v>
      </c>
      <c r="F23" s="12"/>
      <c r="G23" s="16">
        <f>SUM('[1]Exhibit No.__(JAP-SV RD)'!C65,'[1]Exhibit No.__(JAP-SV RD)'!C85)</f>
        <v>10394</v>
      </c>
      <c r="I23" s="16">
        <f>SUM('[1]Exhibit No.__(JAP-SV RD)'!C71,'[1]Exhibit No.__(JAP-SV RD)'!C94)/1000</f>
        <v>1941301.3639308119</v>
      </c>
      <c r="J23" s="16">
        <f>'[1]Exhibit No.__(JAP-SV RD)'!C75/1000+'[1]Exhibit No.__(JAP-SV RD)'!C99/1000</f>
        <v>4774.6639999999998</v>
      </c>
      <c r="L23" s="13">
        <f>SUM('[1]Exhibit No.__(JAP-SV RD)'!F79,'[1]Exhibit No.__(JAP-SV RD)'!F105)/1000</f>
        <v>160280.84099999999</v>
      </c>
      <c r="M23" s="13"/>
      <c r="P23" s="4"/>
    </row>
    <row r="24" spans="1:16">
      <c r="A24" s="11">
        <f>MAX(A$14:A23)+1</f>
        <v>6</v>
      </c>
      <c r="C24" s="63" t="s">
        <v>23</v>
      </c>
      <c r="E24" s="12">
        <v>29</v>
      </c>
      <c r="F24" s="12"/>
      <c r="G24" s="16">
        <f>'[1]Exhibit No.__(JAP-SV RD)'!C118/12</f>
        <v>658.83333333333337</v>
      </c>
      <c r="I24" s="16">
        <f>'[1]Exhibit No.__(JAP-SV RD)'!C128/1000</f>
        <v>16009.313796828577</v>
      </c>
      <c r="J24" s="16">
        <f>'[1]Exhibit No.__(JAP-SV RD)'!C132/1000</f>
        <v>5.7590000000000003</v>
      </c>
      <c r="L24" s="13">
        <f>SUM('[1]Exhibit No.__(JAP-SV RD)'!F136/1000)</f>
        <v>1265.443</v>
      </c>
      <c r="M24" s="13"/>
      <c r="P24" s="4"/>
    </row>
    <row r="25" spans="1:16">
      <c r="A25" s="11">
        <f>MAX(A$14:A24)+1</f>
        <v>7</v>
      </c>
      <c r="C25" s="17" t="s">
        <v>22</v>
      </c>
      <c r="E25" s="12"/>
      <c r="F25" s="12"/>
      <c r="G25" s="14">
        <f>SUM(G21:G24)</f>
        <v>149521.08333333334</v>
      </c>
      <c r="I25" s="14">
        <f>SUM(I21:I24)</f>
        <v>7647604.2480580304</v>
      </c>
      <c r="J25" s="16"/>
      <c r="L25" s="81">
        <f>SUM(L21:L24)</f>
        <v>694374.48</v>
      </c>
      <c r="M25" s="13"/>
      <c r="P25" s="4"/>
    </row>
    <row r="26" spans="1:16">
      <c r="A26" s="11"/>
      <c r="C26" s="63"/>
      <c r="E26" s="12"/>
      <c r="F26" s="12"/>
      <c r="G26" s="16"/>
      <c r="I26" s="16"/>
      <c r="J26" s="16"/>
      <c r="L26" s="13"/>
      <c r="M26" s="13"/>
    </row>
    <row r="27" spans="1:16">
      <c r="A27" s="11"/>
      <c r="C27" s="20" t="s">
        <v>21</v>
      </c>
      <c r="E27" s="12"/>
      <c r="F27" s="12"/>
      <c r="G27" s="16"/>
      <c r="I27" s="16"/>
      <c r="J27" s="16"/>
      <c r="L27" s="13"/>
      <c r="M27" s="13"/>
    </row>
    <row r="28" spans="1:16">
      <c r="A28" s="11">
        <f>MAX(A$14:A26)+1</f>
        <v>8</v>
      </c>
      <c r="C28" s="63" t="s">
        <v>20</v>
      </c>
      <c r="E28" s="15" t="s">
        <v>19</v>
      </c>
      <c r="F28" s="12"/>
      <c r="G28" s="16">
        <f>'[1]Exhibit No.__(JAP-PV RD)'!C15/12</f>
        <v>495.16666666666669</v>
      </c>
      <c r="I28" s="16">
        <f>'[1]Exhibit No.__(JAP-PV RD)'!C21/1000</f>
        <v>1407978.352242965</v>
      </c>
      <c r="J28" s="16">
        <f>'[1]Exhibit No.__(JAP-PV RD)'!C25/1000</f>
        <v>3463.8150000000001</v>
      </c>
      <c r="L28" s="13">
        <f>'[1]Exhibit No.__(JAP-PV RD)'!F29/1000</f>
        <v>113255.217</v>
      </c>
      <c r="M28" s="13"/>
      <c r="P28" s="4"/>
    </row>
    <row r="29" spans="1:16">
      <c r="A29" s="11">
        <f>MAX(A$14:A28)+1</f>
        <v>9</v>
      </c>
      <c r="C29" s="63" t="s">
        <v>18</v>
      </c>
      <c r="E29" s="12">
        <v>35</v>
      </c>
      <c r="F29" s="12"/>
      <c r="G29" s="16">
        <f>'[1]Exhibit No.__(JAP-PV RD)'!C37/12</f>
        <v>3.25</v>
      </c>
      <c r="I29" s="16">
        <f>'[1]Exhibit No.__(JAP-PV RD)'!C43/1000</f>
        <v>4443.66</v>
      </c>
      <c r="J29" s="16">
        <f>'[1]Exhibit No.__(JAP-PV RD)'!C47/1000</f>
        <v>9.0990000000000002</v>
      </c>
      <c r="L29" s="13">
        <f>'[1]Exhibit No.__(JAP-PV RD)'!F51/1000</f>
        <v>268.01499999999999</v>
      </c>
      <c r="M29" s="13"/>
      <c r="P29" s="4"/>
    </row>
    <row r="30" spans="1:16">
      <c r="A30" s="11">
        <f>MAX(A$14:A29)+1</f>
        <v>10</v>
      </c>
      <c r="C30" s="1" t="s">
        <v>17</v>
      </c>
      <c r="E30" s="15">
        <v>43</v>
      </c>
      <c r="F30" s="12"/>
      <c r="G30" s="16">
        <f>'[1]Exhibit No.__(JAP-PV RD)'!C60/12</f>
        <v>156.16666666666666</v>
      </c>
      <c r="I30" s="16">
        <f>'[1]Exhibit No.__(JAP-PV RD)'!C66/1000</f>
        <v>122500.71332397975</v>
      </c>
      <c r="J30" s="16">
        <f>'[1]Exhibit No.__(JAP-PV RD)'!C69/1000</f>
        <v>602.303</v>
      </c>
      <c r="L30" s="13">
        <f>'[1]Exhibit No.__(JAP-PV RD)'!F75/1000</f>
        <v>10687.148999999999</v>
      </c>
      <c r="M30" s="13"/>
      <c r="P30" s="4"/>
    </row>
    <row r="31" spans="1:16">
      <c r="A31" s="11">
        <f>MAX(A$14:A30)+1</f>
        <v>11</v>
      </c>
      <c r="C31" s="17" t="s">
        <v>16</v>
      </c>
      <c r="E31" s="12"/>
      <c r="F31" s="12"/>
      <c r="G31" s="14">
        <f>SUM(G28:G30)</f>
        <v>654.58333333333337</v>
      </c>
      <c r="I31" s="14">
        <f>SUM(I28:I30)</f>
        <v>1534922.7255669446</v>
      </c>
      <c r="J31" s="16"/>
      <c r="L31" s="81">
        <f>SUM(L28:L30)</f>
        <v>124210.38100000001</v>
      </c>
      <c r="M31" s="13"/>
      <c r="P31" s="4"/>
    </row>
    <row r="32" spans="1:16">
      <c r="A32" s="11"/>
      <c r="E32" s="15"/>
      <c r="F32" s="12"/>
      <c r="G32" s="16"/>
      <c r="I32" s="16"/>
      <c r="J32" s="16"/>
      <c r="L32" s="13"/>
      <c r="M32" s="13"/>
      <c r="P32" s="4"/>
    </row>
    <row r="33" spans="1:16">
      <c r="A33" s="11"/>
      <c r="C33" s="20" t="s">
        <v>13</v>
      </c>
      <c r="E33" s="15"/>
      <c r="F33" s="12"/>
      <c r="G33" s="16"/>
      <c r="I33" s="16"/>
      <c r="J33" s="16"/>
      <c r="L33" s="13"/>
      <c r="M33" s="13"/>
    </row>
    <row r="34" spans="1:16">
      <c r="A34" s="11">
        <f>MAX(A$14:A32)+1</f>
        <v>12</v>
      </c>
      <c r="C34" s="63" t="s">
        <v>15</v>
      </c>
      <c r="E34" s="15">
        <v>46</v>
      </c>
      <c r="F34" s="12"/>
      <c r="G34" s="16">
        <f>'[1]Exhibit No.__(JAP-HV RD)'!C14/12</f>
        <v>6</v>
      </c>
      <c r="I34" s="16">
        <f>'[1]Exhibit No.__(JAP-HV RD)'!C18/1000</f>
        <v>78351.491999999998</v>
      </c>
      <c r="J34" s="16">
        <f>'[1]Exhibit No.__(JAP-HV RD)'!C20/1000</f>
        <v>397.464</v>
      </c>
      <c r="L34" s="13">
        <f>'[1]Exhibit No.__(JAP-HV RD)'!F22/1000</f>
        <v>5190.4359999999997</v>
      </c>
      <c r="M34" s="13"/>
      <c r="P34" s="4"/>
    </row>
    <row r="35" spans="1:16">
      <c r="A35" s="11">
        <f>MAX(A$14:A34)+1</f>
        <v>13</v>
      </c>
      <c r="C35" s="1" t="s">
        <v>14</v>
      </c>
      <c r="E35" s="15">
        <v>49</v>
      </c>
      <c r="F35" s="12"/>
      <c r="G35" s="16">
        <f>'[1]Exhibit No.__(JAP-HV RD)'!C29/12</f>
        <v>19</v>
      </c>
      <c r="I35" s="16">
        <f>'[1]Exhibit No.__(JAP-HV RD)'!C33/1000</f>
        <v>542259.32140199991</v>
      </c>
      <c r="J35" s="16">
        <f>'[1]Exhibit No.__(JAP-HV RD)'!C35/1000</f>
        <v>1344.134</v>
      </c>
      <c r="L35" s="13">
        <f>'[1]Exhibit No.__(JAP-HV RD)'!F37/1000</f>
        <v>34937.811999999998</v>
      </c>
      <c r="M35" s="13"/>
      <c r="P35" s="4"/>
    </row>
    <row r="36" spans="1:16">
      <c r="A36" s="11">
        <f>MAX(A$14:A35)+1</f>
        <v>14</v>
      </c>
      <c r="C36" s="17" t="s">
        <v>13</v>
      </c>
      <c r="E36" s="12"/>
      <c r="F36" s="12"/>
      <c r="G36" s="14">
        <f>SUM(G34:G35)</f>
        <v>25</v>
      </c>
      <c r="I36" s="14">
        <f>SUM(I34:I35)</f>
        <v>620610.81340199988</v>
      </c>
      <c r="J36" s="16"/>
      <c r="L36" s="81">
        <f>SUM(L34:L35)</f>
        <v>40128.248</v>
      </c>
      <c r="M36" s="13"/>
      <c r="P36" s="4"/>
    </row>
    <row r="37" spans="1:16">
      <c r="A37" s="11"/>
      <c r="E37" s="15"/>
      <c r="F37" s="12"/>
      <c r="G37" s="16"/>
      <c r="I37" s="16"/>
      <c r="J37" s="16"/>
      <c r="L37" s="13"/>
      <c r="M37" s="13"/>
      <c r="P37" s="4"/>
    </row>
    <row r="38" spans="1:16">
      <c r="A38" s="11"/>
      <c r="C38" s="19" t="s">
        <v>8</v>
      </c>
      <c r="E38" s="15"/>
      <c r="F38" s="12"/>
      <c r="G38" s="16"/>
      <c r="I38" s="16"/>
      <c r="J38" s="16"/>
      <c r="L38" s="13"/>
      <c r="M38" s="13"/>
      <c r="P38" s="4"/>
    </row>
    <row r="39" spans="1:16">
      <c r="A39" s="11">
        <f>MAX(A$14:A37)+1</f>
        <v>15</v>
      </c>
      <c r="C39" s="63" t="s">
        <v>12</v>
      </c>
      <c r="E39" s="15" t="s">
        <v>11</v>
      </c>
      <c r="F39" s="12"/>
      <c r="G39" s="16">
        <f>SUM('[1]Exhibit No.__(JAP-TRANSP RD)'!C14)/12</f>
        <v>20</v>
      </c>
      <c r="I39" s="16">
        <f>SUM('[1]Exhibit No.__(JAP-TRANSP RD)'!C19)/1000</f>
        <v>2028727.0061700002</v>
      </c>
      <c r="J39" s="16">
        <f>'[1]Exhibit No.__(JAP-TRANSP RD)'!C21/1000</f>
        <v>3557.5250000000001</v>
      </c>
      <c r="L39" s="13">
        <f>SUM('[1]Exhibit No.__(JAP-TRANSP RD)'!F25)/1000</f>
        <v>10114.356</v>
      </c>
      <c r="M39" s="13"/>
      <c r="P39" s="4"/>
    </row>
    <row r="40" spans="1:16">
      <c r="A40" s="11">
        <f>MAX(A$14:A39)+1</f>
        <v>16</v>
      </c>
      <c r="C40" s="63" t="s">
        <v>10</v>
      </c>
      <c r="E40" s="15" t="s">
        <v>9</v>
      </c>
      <c r="F40" s="12"/>
      <c r="G40" s="16">
        <f>SUM('[1]Exhibit No.__(JAP-TRANSP RD)'!C30)/12</f>
        <v>98.333333333333329</v>
      </c>
      <c r="I40" s="16">
        <f>SUM('[1]Exhibit No.__(JAP-TRANSP RD)'!C39)/1000</f>
        <v>336220.53600000002</v>
      </c>
      <c r="J40" s="16">
        <f>'[1]Exhibit No.__(JAP-TRANSP RD)'!C33/1000</f>
        <v>799.15800000000002</v>
      </c>
      <c r="L40" s="13">
        <f>SUM('[1]Exhibit No.__(JAP-TRANSP RD)'!F41)/1000</f>
        <v>5493.9070000000002</v>
      </c>
      <c r="M40" s="13"/>
      <c r="P40" s="4"/>
    </row>
    <row r="41" spans="1:16">
      <c r="A41" s="11">
        <f>MAX(A$14:A40)+1</f>
        <v>17</v>
      </c>
      <c r="C41" s="17" t="s">
        <v>8</v>
      </c>
      <c r="E41" s="15"/>
      <c r="F41" s="12"/>
      <c r="G41" s="14">
        <f>SUM(G39:G40)</f>
        <v>118.33333333333333</v>
      </c>
      <c r="I41" s="14">
        <f>SUM(I39:I40)</f>
        <v>2364947.5421700003</v>
      </c>
      <c r="J41" s="16"/>
      <c r="L41" s="81">
        <f>SUM(L39:L40)</f>
        <v>15608.262999999999</v>
      </c>
      <c r="M41" s="13"/>
      <c r="P41" s="4"/>
    </row>
    <row r="42" spans="1:16">
      <c r="A42" s="11"/>
      <c r="E42" s="15"/>
      <c r="F42" s="12"/>
      <c r="G42" s="16"/>
      <c r="I42" s="16"/>
      <c r="J42" s="16"/>
      <c r="L42" s="13"/>
      <c r="M42" s="13"/>
      <c r="P42" s="4"/>
    </row>
    <row r="43" spans="1:16">
      <c r="A43" s="11">
        <f>MAX(A$14:A41)+1</f>
        <v>18</v>
      </c>
      <c r="C43" s="1" t="s">
        <v>7</v>
      </c>
      <c r="E43" s="15" t="s">
        <v>6</v>
      </c>
      <c r="F43" s="12"/>
      <c r="G43" s="14">
        <f>'[1]Exhibit No.__(JAP-LIGHT RD) '!C22/12</f>
        <v>7829.166666666667</v>
      </c>
      <c r="I43" s="14">
        <f>'[1]Exhibit No.__(JAP-LIGHT RD) '!J22/1000</f>
        <v>69969.105296000009</v>
      </c>
      <c r="J43" s="16"/>
      <c r="L43" s="81">
        <f>'[1]Exhibit No.__(JAP-LIGHT RD) '!F22/1000</f>
        <v>16457.504000000001</v>
      </c>
      <c r="M43" s="13"/>
      <c r="P43" s="4"/>
    </row>
    <row r="44" spans="1:16">
      <c r="A44" s="11"/>
      <c r="E44" s="15"/>
      <c r="F44" s="12"/>
      <c r="G44" s="16"/>
      <c r="I44" s="16"/>
      <c r="J44" s="16"/>
      <c r="L44" s="13"/>
      <c r="M44" s="13"/>
      <c r="P44" s="4"/>
    </row>
    <row r="45" spans="1:16">
      <c r="A45" s="11">
        <f>MAX(A$14:A44)+1</f>
        <v>19</v>
      </c>
      <c r="C45" s="17" t="s">
        <v>5</v>
      </c>
      <c r="G45" s="14">
        <f>SUM(G43,G41,G36,G31,G25,G18)</f>
        <v>1188258.1666666667</v>
      </c>
      <c r="I45" s="14">
        <f>SUM(I43,I41,I36,I31,I25,I18)</f>
        <v>22861084.670182306</v>
      </c>
      <c r="J45" s="16"/>
      <c r="L45" s="81">
        <f>SUM(L43,L41,L36,L31,L25,L18)</f>
        <v>1996675.39</v>
      </c>
      <c r="M45" s="13"/>
      <c r="P45" s="4"/>
    </row>
    <row r="46" spans="1:16">
      <c r="A46" s="12"/>
      <c r="L46" s="4"/>
      <c r="M46" s="4"/>
      <c r="P46" s="4"/>
    </row>
    <row r="47" spans="1:16">
      <c r="A47" s="11">
        <f>MAX(A$14:A46)+1</f>
        <v>20</v>
      </c>
      <c r="C47" s="1" t="s">
        <v>4</v>
      </c>
      <c r="E47" s="15" t="s">
        <v>3</v>
      </c>
      <c r="F47" s="12"/>
      <c r="G47" s="14">
        <f>'[1]Exhibit No.__(JAP-TRANSP RD)'!C45/12</f>
        <v>8</v>
      </c>
      <c r="I47" s="14">
        <f>'[1]Exhibit No.__(JAP-TRANSP RD)'!C50/1000</f>
        <v>7170.0662345252713</v>
      </c>
      <c r="J47" s="5">
        <f>'[1]Exhibit No.__(JAP-TRANSP RD)'!C52/1000</f>
        <v>14.252000000000001</v>
      </c>
      <c r="L47" s="81">
        <f>'[1]Exhibit No.__(JAP-TRANSP RD)'!F58/1000</f>
        <v>327.36</v>
      </c>
      <c r="M47" s="4"/>
      <c r="P47" s="4"/>
    </row>
    <row r="48" spans="1:16">
      <c r="A48" s="12"/>
      <c r="L48" s="4"/>
      <c r="M48" s="4"/>
      <c r="P48" s="4"/>
    </row>
    <row r="49" spans="1:16" ht="16" thickBot="1">
      <c r="A49" s="11">
        <f>MAX(A$14:A48)+1</f>
        <v>21</v>
      </c>
      <c r="C49" s="10" t="s">
        <v>2</v>
      </c>
      <c r="G49" s="6">
        <f>G47+G45</f>
        <v>1188266.1666666667</v>
      </c>
      <c r="I49" s="6">
        <f>I47+I45</f>
        <v>22868254.736416832</v>
      </c>
      <c r="L49" s="83">
        <f>L47+L45</f>
        <v>1997002.75</v>
      </c>
      <c r="M49" s="9"/>
      <c r="P49" s="4"/>
    </row>
    <row r="50" spans="1:16" ht="16" thickTop="1">
      <c r="A50" s="123" t="s">
        <v>1</v>
      </c>
      <c r="B50" s="124"/>
      <c r="C50" s="124"/>
      <c r="G50" s="8"/>
      <c r="I50" s="8"/>
      <c r="L50" s="84"/>
      <c r="M50" s="7"/>
      <c r="P50" s="4"/>
    </row>
    <row r="51" spans="1:16" ht="18.75" customHeight="1" thickBot="1">
      <c r="C51" s="1" t="s">
        <v>0</v>
      </c>
      <c r="I51" s="6">
        <f>'[2]Proforma kWh &amp; Revenue'!$D$39/1000</f>
        <v>22868254.738416828</v>
      </c>
      <c r="L51" s="83">
        <f>'[2]Proforma kWh &amp; Revenue'!$J$39/1000</f>
        <v>1997002.382391351</v>
      </c>
      <c r="P51" s="4"/>
    </row>
    <row r="52" spans="1:16" ht="16.5" thickTop="1" thickBot="1">
      <c r="C52" s="1" t="s">
        <v>0</v>
      </c>
      <c r="I52" s="6">
        <f>I51-I49</f>
        <v>1.9999966025352478E-3</v>
      </c>
      <c r="L52" s="83">
        <f>L51-L49</f>
        <v>-0.36760864895768464</v>
      </c>
      <c r="M52" s="3"/>
      <c r="P52" s="4"/>
    </row>
    <row r="53" spans="1:16" ht="16" thickTop="1">
      <c r="I53" s="5"/>
      <c r="J53" s="5"/>
      <c r="L53" s="82"/>
      <c r="M53" s="3"/>
    </row>
    <row r="54" spans="1:16">
      <c r="L54" s="4"/>
    </row>
  </sheetData>
  <mergeCells count="7">
    <mergeCell ref="A50:C50"/>
    <mergeCell ref="A2:M2"/>
    <mergeCell ref="A3:M3"/>
    <mergeCell ref="A4:M4"/>
    <mergeCell ref="A5:M5"/>
    <mergeCell ref="A6:M6"/>
    <mergeCell ref="A7:M7"/>
  </mergeCells>
  <printOptions horizontalCentered="1"/>
  <pageMargins left="0.7" right="0.7" top="0.75" bottom="0.77" header="0.3" footer="0.3"/>
  <pageSetup scale="66" orientation="landscape" r:id="rId1"/>
  <headerFooter alignWithMargins="0">
    <oddFooter>&amp;L&amp;F
&amp;A&amp;RPage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6"/>
  <sheetViews>
    <sheetView workbookViewId="0">
      <selection activeCell="G14" sqref="G14:H23"/>
    </sheetView>
  </sheetViews>
  <sheetFormatPr defaultRowHeight="15.5"/>
  <cols>
    <col min="3" max="3" width="13.08203125" bestFit="1" customWidth="1"/>
    <col min="4" max="4" width="10.58203125" bestFit="1" customWidth="1"/>
    <col min="6" max="6" width="11.5" bestFit="1" customWidth="1"/>
    <col min="7" max="7" width="15.08203125" bestFit="1" customWidth="1"/>
    <col min="8" max="8" width="11.5" bestFit="1" customWidth="1"/>
  </cols>
  <sheetData>
    <row r="1" spans="1:8" ht="18">
      <c r="A1" s="135" t="s">
        <v>46</v>
      </c>
      <c r="B1" s="135"/>
      <c r="C1" s="135"/>
      <c r="D1" s="135"/>
      <c r="E1" s="135"/>
      <c r="F1" s="135"/>
    </row>
    <row r="2" spans="1:8" ht="18">
      <c r="A2" s="135" t="s">
        <v>294</v>
      </c>
      <c r="B2" s="135"/>
      <c r="C2" s="135"/>
      <c r="D2" s="135"/>
      <c r="E2" s="135"/>
      <c r="F2" s="135"/>
    </row>
    <row r="3" spans="1:8">
      <c r="A3" s="136" t="s">
        <v>43</v>
      </c>
      <c r="B3" s="136"/>
      <c r="C3" s="136"/>
      <c r="D3" s="136"/>
      <c r="E3" s="136"/>
      <c r="F3" s="136"/>
    </row>
    <row r="4" spans="1:8">
      <c r="A4" s="131" t="s">
        <v>295</v>
      </c>
      <c r="B4" s="131"/>
      <c r="C4" s="131"/>
      <c r="D4" s="131"/>
      <c r="E4" s="131"/>
      <c r="F4" s="131"/>
    </row>
    <row r="5" spans="1:8">
      <c r="A5" s="88" t="s">
        <v>296</v>
      </c>
      <c r="B5" s="89"/>
      <c r="C5" s="89"/>
      <c r="D5" s="90"/>
      <c r="E5" s="90"/>
      <c r="F5" s="89"/>
    </row>
    <row r="6" spans="1:8">
      <c r="A6" s="88"/>
      <c r="B6" s="89"/>
      <c r="C6" s="89"/>
      <c r="D6" s="90"/>
      <c r="E6" s="90"/>
      <c r="F6" s="89"/>
    </row>
    <row r="7" spans="1:8">
      <c r="A7" s="89"/>
      <c r="B7" s="89"/>
      <c r="C7" s="89"/>
      <c r="D7" s="90"/>
      <c r="E7" s="90"/>
      <c r="F7" s="89"/>
    </row>
    <row r="8" spans="1:8">
      <c r="A8" s="91"/>
      <c r="B8" s="91"/>
      <c r="C8" s="92"/>
      <c r="D8" s="93"/>
      <c r="E8" s="93"/>
      <c r="F8" s="1"/>
    </row>
    <row r="9" spans="1:8">
      <c r="A9" s="91"/>
      <c r="B9" s="91"/>
      <c r="C9" s="92" t="s">
        <v>297</v>
      </c>
      <c r="D9" s="132" t="s">
        <v>283</v>
      </c>
      <c r="E9" s="133"/>
      <c r="F9" s="134"/>
    </row>
    <row r="10" spans="1:8">
      <c r="A10" s="91"/>
      <c r="B10" s="91"/>
      <c r="C10" s="95" t="s">
        <v>298</v>
      </c>
      <c r="D10" s="96" t="s">
        <v>299</v>
      </c>
      <c r="E10" s="97"/>
      <c r="F10" s="94" t="s">
        <v>300</v>
      </c>
      <c r="G10" s="94" t="s">
        <v>329</v>
      </c>
    </row>
    <row r="11" spans="1:8">
      <c r="A11" s="1"/>
      <c r="B11" s="1"/>
      <c r="C11" s="16"/>
      <c r="D11" s="98" t="s">
        <v>1</v>
      </c>
      <c r="E11" s="16"/>
      <c r="F11" s="99"/>
    </row>
    <row r="12" spans="1:8">
      <c r="A12" s="100" t="s">
        <v>301</v>
      </c>
      <c r="B12" s="98"/>
      <c r="C12" s="98" t="s">
        <v>1</v>
      </c>
      <c r="D12" s="99"/>
      <c r="E12" s="98"/>
      <c r="F12" s="98"/>
    </row>
    <row r="13" spans="1:8">
      <c r="A13" s="100" t="s">
        <v>302</v>
      </c>
      <c r="B13" s="98"/>
      <c r="C13" s="98"/>
      <c r="D13" s="99"/>
      <c r="E13" s="98"/>
      <c r="F13" s="98"/>
    </row>
    <row r="14" spans="1:8">
      <c r="A14" s="100" t="s">
        <v>303</v>
      </c>
      <c r="B14" s="98"/>
      <c r="C14" s="16">
        <v>240</v>
      </c>
      <c r="D14" s="101">
        <v>2120</v>
      </c>
      <c r="E14" s="98"/>
      <c r="F14" s="99">
        <v>508800</v>
      </c>
      <c r="G14" s="99">
        <f>+F14/SUM($F$14,$F$23)*$F$18</f>
        <v>1415.0225280714792</v>
      </c>
      <c r="H14" s="99">
        <f>+G14+F14</f>
        <v>510215.02252807148</v>
      </c>
    </row>
    <row r="15" spans="1:8">
      <c r="A15" s="98" t="s">
        <v>304</v>
      </c>
      <c r="B15" s="98"/>
      <c r="C15" s="16"/>
      <c r="D15" s="102"/>
      <c r="E15" s="98"/>
      <c r="F15" s="99"/>
      <c r="G15" s="99"/>
      <c r="H15" s="99"/>
    </row>
    <row r="16" spans="1:8">
      <c r="A16" s="103" t="s">
        <v>305</v>
      </c>
      <c r="B16" s="98"/>
      <c r="C16" s="16">
        <v>2027109354</v>
      </c>
      <c r="D16" s="102">
        <v>0</v>
      </c>
      <c r="E16" s="98"/>
      <c r="F16" s="99">
        <v>0</v>
      </c>
      <c r="G16" s="99"/>
      <c r="H16" s="99"/>
    </row>
    <row r="17" spans="1:8">
      <c r="A17" s="103" t="s">
        <v>306</v>
      </c>
      <c r="B17" s="5"/>
      <c r="C17" s="16">
        <v>0</v>
      </c>
      <c r="D17" s="102">
        <v>0</v>
      </c>
      <c r="E17" s="102"/>
      <c r="F17" s="99">
        <v>0</v>
      </c>
      <c r="G17" s="99"/>
      <c r="H17" s="99"/>
    </row>
    <row r="18" spans="1:8">
      <c r="A18" s="104" t="s">
        <v>307</v>
      </c>
      <c r="B18" s="105"/>
      <c r="C18" s="106">
        <v>1617652.1700000241</v>
      </c>
      <c r="D18" s="102">
        <v>1.7340999999999999E-2</v>
      </c>
      <c r="E18" s="98"/>
      <c r="F18" s="107">
        <v>28051</v>
      </c>
      <c r="G18" s="99"/>
      <c r="H18" s="99"/>
    </row>
    <row r="19" spans="1:8">
      <c r="A19" s="108" t="s">
        <v>308</v>
      </c>
      <c r="B19" s="105"/>
      <c r="C19" s="56">
        <v>2028727006.1700001</v>
      </c>
      <c r="D19" s="102"/>
      <c r="E19" s="98"/>
      <c r="F19" s="99">
        <v>28051</v>
      </c>
      <c r="G19" s="99"/>
      <c r="H19" s="99"/>
    </row>
    <row r="20" spans="1:8">
      <c r="A20" s="108"/>
      <c r="B20" s="105"/>
      <c r="C20" s="56"/>
      <c r="D20" s="102"/>
      <c r="E20" s="98"/>
      <c r="F20" s="99"/>
      <c r="G20" s="99"/>
      <c r="H20" s="99"/>
    </row>
    <row r="21" spans="1:8">
      <c r="A21" s="98" t="s">
        <v>309</v>
      </c>
      <c r="B21" s="98"/>
      <c r="C21" s="56">
        <v>3557525</v>
      </c>
      <c r="D21" s="109"/>
      <c r="E21" s="110"/>
      <c r="F21" s="99"/>
      <c r="G21" s="99"/>
      <c r="H21" s="99"/>
    </row>
    <row r="22" spans="1:8">
      <c r="A22" s="98"/>
      <c r="B22" s="98"/>
      <c r="C22" s="56"/>
      <c r="D22" s="109"/>
      <c r="E22" s="110"/>
      <c r="F22" s="111"/>
      <c r="G22" s="99"/>
      <c r="H22" s="99"/>
    </row>
    <row r="23" spans="1:8">
      <c r="A23" s="100" t="s">
        <v>310</v>
      </c>
      <c r="B23" s="98"/>
      <c r="C23" s="16"/>
      <c r="D23" s="112"/>
      <c r="E23" s="98"/>
      <c r="F23" s="99">
        <v>9577505</v>
      </c>
      <c r="G23" s="99">
        <f>+F23/SUM($F$14,$F$23)*$F$18</f>
        <v>26635.97747192852</v>
      </c>
      <c r="H23" s="99">
        <f>+G23+F23</f>
        <v>9604140.977471929</v>
      </c>
    </row>
    <row r="24" spans="1:8">
      <c r="A24" s="104"/>
      <c r="B24" s="105"/>
      <c r="C24" s="56"/>
      <c r="D24" s="102"/>
      <c r="E24" s="98"/>
      <c r="F24" s="99"/>
    </row>
    <row r="25" spans="1:8" ht="16" thickBot="1">
      <c r="A25" s="98" t="s">
        <v>311</v>
      </c>
      <c r="B25" s="98"/>
      <c r="C25" s="56"/>
      <c r="D25" s="109"/>
      <c r="E25" s="110"/>
      <c r="F25" s="113">
        <v>10114356</v>
      </c>
      <c r="G25" s="113">
        <f>SUM(G14,G23)</f>
        <v>28051</v>
      </c>
      <c r="H25" s="113">
        <f>SUM(H14,H23)</f>
        <v>10114356</v>
      </c>
    </row>
    <row r="26" spans="1:8" ht="16" thickTop="1"/>
  </sheetData>
  <mergeCells count="5">
    <mergeCell ref="A4:F4"/>
    <mergeCell ref="D9:F9"/>
    <mergeCell ref="A1:F1"/>
    <mergeCell ref="A2:F2"/>
    <mergeCell ref="A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55"/>
  <sheetViews>
    <sheetView workbookViewId="0">
      <pane xSplit="4" ySplit="7" topLeftCell="F143" activePane="bottomRight" state="frozen"/>
      <selection pane="topRight" activeCell="E1" sqref="E1"/>
      <selection pane="bottomLeft" activeCell="A8" sqref="A8"/>
      <selection pane="bottomRight" activeCell="C154" sqref="C154"/>
    </sheetView>
  </sheetViews>
  <sheetFormatPr defaultRowHeight="15.5"/>
  <cols>
    <col min="1" max="1" width="7.5" bestFit="1" customWidth="1"/>
    <col min="2" max="2" width="11.33203125" bestFit="1" customWidth="1"/>
    <col min="3" max="3" width="50.25" bestFit="1" customWidth="1"/>
    <col min="4" max="4" width="10.58203125" bestFit="1" customWidth="1"/>
    <col min="5" max="6" width="15.33203125" bestFit="1" customWidth="1"/>
    <col min="7" max="10" width="13.83203125" bestFit="1" customWidth="1"/>
    <col min="11" max="14" width="12.75" bestFit="1" customWidth="1"/>
    <col min="15" max="15" width="11.75" bestFit="1" customWidth="1"/>
    <col min="17" max="17" width="13.83203125" bestFit="1" customWidth="1"/>
    <col min="18" max="18" width="11.75" bestFit="1" customWidth="1"/>
    <col min="19" max="19" width="12.75" bestFit="1" customWidth="1"/>
  </cols>
  <sheetData>
    <row r="1" spans="1:19">
      <c r="A1" s="137" t="s">
        <v>53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36"/>
      <c r="Q1" s="36"/>
      <c r="R1" s="36"/>
      <c r="S1" s="36"/>
    </row>
    <row r="2" spans="1:19">
      <c r="A2" s="138" t="s">
        <v>54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36"/>
      <c r="Q2" s="36"/>
      <c r="R2" s="36"/>
      <c r="S2" s="36"/>
    </row>
    <row r="3" spans="1:19">
      <c r="A3" s="137" t="s">
        <v>55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36"/>
      <c r="Q3" s="36"/>
      <c r="R3" s="36"/>
      <c r="S3" s="36"/>
    </row>
    <row r="4" spans="1:19">
      <c r="A4" s="37"/>
      <c r="B4" s="37"/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19" ht="52.5">
      <c r="A5" s="39" t="s">
        <v>56</v>
      </c>
      <c r="B5" s="39" t="s">
        <v>57</v>
      </c>
      <c r="C5" s="40" t="s">
        <v>58</v>
      </c>
      <c r="D5" s="39" t="s">
        <v>59</v>
      </c>
      <c r="E5" s="39" t="s">
        <v>60</v>
      </c>
      <c r="F5" s="39" t="s">
        <v>61</v>
      </c>
      <c r="G5" s="39" t="s">
        <v>62</v>
      </c>
      <c r="H5" s="39" t="s">
        <v>63</v>
      </c>
      <c r="I5" s="39" t="s">
        <v>64</v>
      </c>
      <c r="J5" s="39" t="s">
        <v>65</v>
      </c>
      <c r="K5" s="39" t="s">
        <v>66</v>
      </c>
      <c r="L5" s="39" t="s">
        <v>67</v>
      </c>
      <c r="M5" s="39" t="s">
        <v>68</v>
      </c>
      <c r="N5" s="39" t="s">
        <v>69</v>
      </c>
      <c r="O5" s="39" t="s">
        <v>70</v>
      </c>
      <c r="P5" s="41"/>
      <c r="Q5" s="42" t="s">
        <v>71</v>
      </c>
      <c r="R5" s="42" t="s">
        <v>72</v>
      </c>
      <c r="S5" s="42" t="s">
        <v>73</v>
      </c>
    </row>
    <row r="6" spans="1:19">
      <c r="A6" s="41"/>
      <c r="B6" s="41" t="s">
        <v>74</v>
      </c>
      <c r="C6" s="41" t="s">
        <v>75</v>
      </c>
      <c r="D6" s="41" t="s">
        <v>76</v>
      </c>
      <c r="E6" s="41" t="s">
        <v>77</v>
      </c>
      <c r="F6" s="41" t="s">
        <v>78</v>
      </c>
      <c r="G6" s="41" t="s">
        <v>79</v>
      </c>
      <c r="H6" s="41" t="s">
        <v>80</v>
      </c>
      <c r="I6" s="41" t="s">
        <v>81</v>
      </c>
      <c r="J6" s="41" t="s">
        <v>82</v>
      </c>
      <c r="K6" s="41" t="s">
        <v>83</v>
      </c>
      <c r="L6" s="41" t="s">
        <v>84</v>
      </c>
      <c r="M6" s="41" t="s">
        <v>85</v>
      </c>
      <c r="N6" s="41" t="s">
        <v>86</v>
      </c>
      <c r="O6" s="41" t="s">
        <v>86</v>
      </c>
      <c r="P6" s="41"/>
      <c r="Q6" s="41"/>
      <c r="R6" s="41"/>
      <c r="S6" s="41"/>
    </row>
    <row r="7" spans="1:19">
      <c r="A7" s="37">
        <v>1</v>
      </c>
      <c r="B7" s="37"/>
      <c r="C7" s="43" t="s">
        <v>87</v>
      </c>
      <c r="D7" s="38"/>
      <c r="E7" s="38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19">
      <c r="A8" s="37">
        <v>2</v>
      </c>
      <c r="B8" s="37"/>
      <c r="C8" s="37"/>
      <c r="D8" s="38"/>
      <c r="E8" s="38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</row>
    <row r="9" spans="1:19">
      <c r="A9" s="37">
        <v>3</v>
      </c>
      <c r="B9" s="37"/>
      <c r="C9" s="43" t="s">
        <v>88</v>
      </c>
      <c r="D9" s="38"/>
      <c r="E9" s="38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</row>
    <row r="10" spans="1:19">
      <c r="A10" s="37">
        <v>4</v>
      </c>
      <c r="B10" s="37"/>
      <c r="C10" s="43" t="s">
        <v>89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19">
      <c r="A11" s="37">
        <v>5</v>
      </c>
      <c r="B11" s="44">
        <v>300</v>
      </c>
      <c r="C11" s="37" t="s">
        <v>90</v>
      </c>
      <c r="D11" s="38" t="s">
        <v>91</v>
      </c>
      <c r="E11" s="45">
        <v>77496384.779840693</v>
      </c>
      <c r="F11" s="45">
        <v>41453121.695942357</v>
      </c>
      <c r="G11" s="45">
        <v>10269779.753896231</v>
      </c>
      <c r="H11" s="45">
        <v>11313259.204122439</v>
      </c>
      <c r="I11" s="45">
        <v>6970459.7389923707</v>
      </c>
      <c r="J11" s="45">
        <v>5212083.5181050021</v>
      </c>
      <c r="K11" s="45">
        <v>0</v>
      </c>
      <c r="L11" s="45">
        <v>2010456.6684885037</v>
      </c>
      <c r="M11" s="45">
        <v>0</v>
      </c>
      <c r="N11" s="45">
        <v>240491.78185012622</v>
      </c>
      <c r="O11" s="45">
        <v>26732.418443676026</v>
      </c>
      <c r="P11" s="38"/>
      <c r="Q11" s="45">
        <v>4865119.2801033482</v>
      </c>
      <c r="R11" s="45">
        <v>12165.574113200002</v>
      </c>
      <c r="S11" s="45">
        <v>334798.66388845362</v>
      </c>
    </row>
    <row r="12" spans="1:19">
      <c r="A12" s="37">
        <v>6</v>
      </c>
      <c r="B12" s="44">
        <v>300.01</v>
      </c>
      <c r="C12" s="37" t="s">
        <v>92</v>
      </c>
      <c r="D12" s="38" t="s">
        <v>93</v>
      </c>
      <c r="E12" s="45">
        <v>48660476.437339872</v>
      </c>
      <c r="F12" s="45">
        <v>32381635.741197433</v>
      </c>
      <c r="G12" s="45">
        <v>5774446.2001667479</v>
      </c>
      <c r="H12" s="45">
        <v>4585186.495034188</v>
      </c>
      <c r="I12" s="45">
        <v>1952764.6505853762</v>
      </c>
      <c r="J12" s="45">
        <v>2170454.9034556961</v>
      </c>
      <c r="K12" s="45">
        <v>485997.49814132351</v>
      </c>
      <c r="L12" s="45">
        <v>262061.90957186083</v>
      </c>
      <c r="M12" s="45">
        <v>89102.933911324188</v>
      </c>
      <c r="N12" s="45">
        <v>943783.83878735895</v>
      </c>
      <c r="O12" s="45">
        <v>15042.266488560361</v>
      </c>
      <c r="P12" s="38"/>
      <c r="Q12" s="45">
        <v>1725207.8657930952</v>
      </c>
      <c r="R12" s="45">
        <v>19658.44993969224</v>
      </c>
      <c r="S12" s="45">
        <v>425588.58772290847</v>
      </c>
    </row>
    <row r="13" spans="1:19">
      <c r="A13" s="37">
        <v>7</v>
      </c>
      <c r="B13" s="44">
        <v>300.02</v>
      </c>
      <c r="C13" s="37" t="s">
        <v>94</v>
      </c>
      <c r="D13" s="38" t="s">
        <v>95</v>
      </c>
      <c r="E13" s="45">
        <v>375895445.93250626</v>
      </c>
      <c r="F13" s="45">
        <v>230505570.94570825</v>
      </c>
      <c r="G13" s="45">
        <v>45533956.027802818</v>
      </c>
      <c r="H13" s="45">
        <v>41179997.436865069</v>
      </c>
      <c r="I13" s="45">
        <v>22962768.045724485</v>
      </c>
      <c r="J13" s="45">
        <v>19364562.853206012</v>
      </c>
      <c r="K13" s="45">
        <v>1992391.369590089</v>
      </c>
      <c r="L13" s="45">
        <v>5712282.5953569496</v>
      </c>
      <c r="M13" s="45">
        <v>3413365.0896971305</v>
      </c>
      <c r="N13" s="45">
        <v>5121759.0727230534</v>
      </c>
      <c r="O13" s="45">
        <v>108792.4958325577</v>
      </c>
      <c r="P13" s="38"/>
      <c r="Q13" s="45">
        <v>17216261.316983093</v>
      </c>
      <c r="R13" s="45">
        <v>86742.608398122029</v>
      </c>
      <c r="S13" s="45">
        <v>2061558.9278247985</v>
      </c>
    </row>
    <row r="14" spans="1:19">
      <c r="A14" s="46">
        <v>8</v>
      </c>
      <c r="B14" s="47"/>
      <c r="C14" s="46" t="s">
        <v>96</v>
      </c>
      <c r="D14" s="48"/>
      <c r="E14" s="49">
        <v>502052307.14968681</v>
      </c>
      <c r="F14" s="49">
        <v>304340328.38284802</v>
      </c>
      <c r="G14" s="49">
        <v>61578181.981865793</v>
      </c>
      <c r="H14" s="49">
        <v>57078443.136021696</v>
      </c>
      <c r="I14" s="49">
        <v>31885992.435302231</v>
      </c>
      <c r="J14" s="49">
        <v>26747101.27476671</v>
      </c>
      <c r="K14" s="49">
        <v>2478388.8677314124</v>
      </c>
      <c r="L14" s="49">
        <v>7984801.173417314</v>
      </c>
      <c r="M14" s="49">
        <v>3502468.0236084545</v>
      </c>
      <c r="N14" s="49">
        <v>6306034.6933605392</v>
      </c>
      <c r="O14" s="49">
        <v>150567.18076479409</v>
      </c>
      <c r="P14" s="50"/>
      <c r="Q14" s="49">
        <v>23806588.462879535</v>
      </c>
      <c r="R14" s="49">
        <v>118566.63245101427</v>
      </c>
      <c r="S14" s="49">
        <v>2821946.1794361607</v>
      </c>
    </row>
    <row r="15" spans="1:19">
      <c r="A15" s="37">
        <v>9</v>
      </c>
      <c r="B15" s="44"/>
      <c r="C15" s="37"/>
      <c r="D15" s="38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38"/>
      <c r="Q15" s="45"/>
      <c r="R15" s="45"/>
      <c r="S15" s="45"/>
    </row>
    <row r="16" spans="1:19">
      <c r="A16" s="37">
        <v>10</v>
      </c>
      <c r="B16" s="44"/>
      <c r="C16" s="43" t="s">
        <v>97</v>
      </c>
      <c r="D16" s="38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38"/>
      <c r="Q16" s="45"/>
      <c r="R16" s="45"/>
      <c r="S16" s="45"/>
    </row>
    <row r="17" spans="1:19">
      <c r="A17" s="37">
        <v>11</v>
      </c>
      <c r="B17" s="44">
        <v>310</v>
      </c>
      <c r="C17" s="37" t="s">
        <v>98</v>
      </c>
      <c r="D17" s="38" t="s">
        <v>91</v>
      </c>
      <c r="E17" s="45">
        <v>1396510000</v>
      </c>
      <c r="F17" s="45">
        <v>746998703.79836655</v>
      </c>
      <c r="G17" s="45">
        <v>185064763.53519398</v>
      </c>
      <c r="H17" s="45">
        <v>203868601.81971842</v>
      </c>
      <c r="I17" s="45">
        <v>125609946.29303592</v>
      </c>
      <c r="J17" s="45">
        <v>93923436.229276165</v>
      </c>
      <c r="K17" s="45">
        <v>0</v>
      </c>
      <c r="L17" s="45">
        <v>36229081.525377601</v>
      </c>
      <c r="M17" s="45">
        <v>0</v>
      </c>
      <c r="N17" s="45">
        <v>4333739.94445848</v>
      </c>
      <c r="O17" s="45">
        <v>481726.85457308311</v>
      </c>
      <c r="P17" s="38"/>
      <c r="Q17" s="45">
        <v>87671028.076454401</v>
      </c>
      <c r="R17" s="45">
        <v>219227.59304308105</v>
      </c>
      <c r="S17" s="45">
        <v>6033180.559778695</v>
      </c>
    </row>
    <row r="18" spans="1:19">
      <c r="A18" s="37">
        <v>12</v>
      </c>
      <c r="B18" s="44">
        <v>330</v>
      </c>
      <c r="C18" s="37" t="s">
        <v>99</v>
      </c>
      <c r="D18" s="38" t="s">
        <v>91</v>
      </c>
      <c r="E18" s="45">
        <v>729618000</v>
      </c>
      <c r="F18" s="45">
        <v>390275544.22664833</v>
      </c>
      <c r="G18" s="45">
        <v>96688589.871194035</v>
      </c>
      <c r="H18" s="45">
        <v>106512808.01605381</v>
      </c>
      <c r="I18" s="45">
        <v>65625937.368463017</v>
      </c>
      <c r="J18" s="45">
        <v>49071062.645259999</v>
      </c>
      <c r="K18" s="45">
        <v>0</v>
      </c>
      <c r="L18" s="45">
        <v>18928178.10426202</v>
      </c>
      <c r="M18" s="45">
        <v>0</v>
      </c>
      <c r="N18" s="45">
        <v>2264197.6575863454</v>
      </c>
      <c r="O18" s="45">
        <v>251682.11053261615</v>
      </c>
      <c r="P18" s="38"/>
      <c r="Q18" s="45">
        <v>45804441.187736943</v>
      </c>
      <c r="R18" s="45">
        <v>114537.23781491483</v>
      </c>
      <c r="S18" s="45">
        <v>3152084.2197081381</v>
      </c>
    </row>
    <row r="19" spans="1:19">
      <c r="A19" s="37">
        <v>13</v>
      </c>
      <c r="B19" s="44">
        <v>340</v>
      </c>
      <c r="C19" s="37" t="s">
        <v>100</v>
      </c>
      <c r="D19" s="38" t="s">
        <v>91</v>
      </c>
      <c r="E19" s="45">
        <v>1971707000</v>
      </c>
      <c r="F19" s="45">
        <v>1054673846.4244194</v>
      </c>
      <c r="G19" s="45">
        <v>261289564.4969866</v>
      </c>
      <c r="H19" s="45">
        <v>287838360.83390129</v>
      </c>
      <c r="I19" s="45">
        <v>177346392.34635127</v>
      </c>
      <c r="J19" s="45">
        <v>132608786.67343409</v>
      </c>
      <c r="K19" s="45">
        <v>0</v>
      </c>
      <c r="L19" s="45">
        <v>51151179.473944113</v>
      </c>
      <c r="M19" s="45">
        <v>0</v>
      </c>
      <c r="N19" s="45">
        <v>6118728.390536692</v>
      </c>
      <c r="O19" s="45">
        <v>680141.36042687122</v>
      </c>
      <c r="P19" s="38"/>
      <c r="Q19" s="45">
        <v>123781125.63142526</v>
      </c>
      <c r="R19" s="45">
        <v>309523.44043092726</v>
      </c>
      <c r="S19" s="45">
        <v>8518137.6015779134</v>
      </c>
    </row>
    <row r="20" spans="1:19">
      <c r="A20" s="46">
        <v>14</v>
      </c>
      <c r="B20" s="47"/>
      <c r="C20" s="46" t="s">
        <v>96</v>
      </c>
      <c r="D20" s="48"/>
      <c r="E20" s="49">
        <v>4097835000</v>
      </c>
      <c r="F20" s="49">
        <v>2191948094.4494343</v>
      </c>
      <c r="G20" s="49">
        <v>543042917.90337467</v>
      </c>
      <c r="H20" s="49">
        <v>598219770.66967344</v>
      </c>
      <c r="I20" s="49">
        <v>368582276.00785017</v>
      </c>
      <c r="J20" s="49">
        <v>275603285.54797024</v>
      </c>
      <c r="K20" s="49">
        <v>0</v>
      </c>
      <c r="L20" s="49">
        <v>106308439.10358374</v>
      </c>
      <c r="M20" s="49">
        <v>0</v>
      </c>
      <c r="N20" s="49">
        <v>12716665.992581517</v>
      </c>
      <c r="O20" s="49">
        <v>1413550.3255325705</v>
      </c>
      <c r="P20" s="38"/>
      <c r="Q20" s="49">
        <v>257256594.89561659</v>
      </c>
      <c r="R20" s="49">
        <v>643288.27128892322</v>
      </c>
      <c r="S20" s="49">
        <v>17703402.381064747</v>
      </c>
    </row>
    <row r="21" spans="1:19">
      <c r="A21" s="37">
        <v>15</v>
      </c>
      <c r="B21" s="44"/>
      <c r="C21" s="37"/>
      <c r="D21" s="38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38"/>
      <c r="Q21" s="45"/>
      <c r="R21" s="45"/>
      <c r="S21" s="45"/>
    </row>
    <row r="22" spans="1:19">
      <c r="A22" s="37">
        <v>16</v>
      </c>
      <c r="B22" s="44"/>
      <c r="C22" s="43" t="s">
        <v>101</v>
      </c>
      <c r="D22" s="38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38"/>
      <c r="Q22" s="45"/>
      <c r="R22" s="45"/>
      <c r="S22" s="45"/>
    </row>
    <row r="23" spans="1:19">
      <c r="A23" s="37">
        <v>17</v>
      </c>
      <c r="B23" s="44">
        <v>350</v>
      </c>
      <c r="C23" s="37" t="s">
        <v>102</v>
      </c>
      <c r="D23" s="38" t="s">
        <v>103</v>
      </c>
      <c r="E23" s="45">
        <v>1231897269.520097</v>
      </c>
      <c r="F23" s="45">
        <v>598433390.43297648</v>
      </c>
      <c r="G23" s="45">
        <v>148179119.47162053</v>
      </c>
      <c r="H23" s="45">
        <v>163201822.90936324</v>
      </c>
      <c r="I23" s="45">
        <v>100450437.0456239</v>
      </c>
      <c r="J23" s="45">
        <v>75085961.801475018</v>
      </c>
      <c r="K23" s="45">
        <v>17119273.221886322</v>
      </c>
      <c r="L23" s="45">
        <v>28943404.231419876</v>
      </c>
      <c r="M23" s="45">
        <v>96636290.085669532</v>
      </c>
      <c r="N23" s="45">
        <v>3461679.3368483009</v>
      </c>
      <c r="O23" s="45">
        <v>385890.98321403615</v>
      </c>
      <c r="P23" s="38"/>
      <c r="Q23" s="45">
        <v>70115702.157213449</v>
      </c>
      <c r="R23" s="45">
        <v>174285.6943367176</v>
      </c>
      <c r="S23" s="45">
        <v>4795973.9499248518</v>
      </c>
    </row>
    <row r="24" spans="1:19">
      <c r="A24" s="37">
        <v>18</v>
      </c>
      <c r="B24" s="44">
        <v>350.01</v>
      </c>
      <c r="C24" s="37" t="s">
        <v>104</v>
      </c>
      <c r="D24" s="38" t="s">
        <v>91</v>
      </c>
      <c r="E24" s="45">
        <v>176754568</v>
      </c>
      <c r="F24" s="45">
        <v>94546715.158817515</v>
      </c>
      <c r="G24" s="45">
        <v>23423421.47974978</v>
      </c>
      <c r="H24" s="45">
        <v>25803400.364772428</v>
      </c>
      <c r="I24" s="45">
        <v>15898297.751916397</v>
      </c>
      <c r="J24" s="45">
        <v>11887774.80704131</v>
      </c>
      <c r="K24" s="45">
        <v>0</v>
      </c>
      <c r="L24" s="45">
        <v>4585470.6762249451</v>
      </c>
      <c r="M24" s="45">
        <v>0</v>
      </c>
      <c r="N24" s="45">
        <v>548516.18084159982</v>
      </c>
      <c r="O24" s="45">
        <v>60971.580636059989</v>
      </c>
      <c r="P24" s="38"/>
      <c r="Q24" s="45">
        <v>11096415.130410502</v>
      </c>
      <c r="R24" s="45">
        <v>27747.369157406392</v>
      </c>
      <c r="S24" s="45">
        <v>763612.30747340259</v>
      </c>
    </row>
    <row r="25" spans="1:19">
      <c r="A25" s="37">
        <v>19</v>
      </c>
      <c r="B25" s="44">
        <v>350.02</v>
      </c>
      <c r="C25" s="37" t="s">
        <v>105</v>
      </c>
      <c r="D25" s="38" t="s">
        <v>106</v>
      </c>
      <c r="E25" s="45">
        <v>405246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405246</v>
      </c>
      <c r="N25" s="45">
        <v>0</v>
      </c>
      <c r="O25" s="45">
        <v>0</v>
      </c>
      <c r="P25" s="38"/>
      <c r="Q25" s="45">
        <v>0</v>
      </c>
      <c r="R25" s="45">
        <v>0</v>
      </c>
      <c r="S25" s="45">
        <v>0</v>
      </c>
    </row>
    <row r="26" spans="1:19">
      <c r="A26" s="37">
        <v>20</v>
      </c>
      <c r="B26" s="44">
        <v>350.03</v>
      </c>
      <c r="C26" s="37" t="s">
        <v>107</v>
      </c>
      <c r="D26" s="38" t="s">
        <v>91</v>
      </c>
      <c r="E26" s="45">
        <v>185680043</v>
      </c>
      <c r="F26" s="45">
        <v>99320986.918980151</v>
      </c>
      <c r="G26" s="45">
        <v>24606220.686568413</v>
      </c>
      <c r="H26" s="45">
        <v>27106380.013200901</v>
      </c>
      <c r="I26" s="45">
        <v>16701105.061129961</v>
      </c>
      <c r="J26" s="45">
        <v>12488065.017622329</v>
      </c>
      <c r="K26" s="45">
        <v>0</v>
      </c>
      <c r="L26" s="45">
        <v>4817020.5838000579</v>
      </c>
      <c r="M26" s="45">
        <v>0</v>
      </c>
      <c r="N26" s="45">
        <v>576214.29079481575</v>
      </c>
      <c r="O26" s="45">
        <v>64050.427903405507</v>
      </c>
      <c r="P26" s="38"/>
      <c r="Q26" s="45">
        <v>11656744.500999106</v>
      </c>
      <c r="R26" s="45">
        <v>29148.512293521562</v>
      </c>
      <c r="S26" s="45">
        <v>802172.004329702</v>
      </c>
    </row>
    <row r="27" spans="1:19">
      <c r="A27" s="46">
        <v>21</v>
      </c>
      <c r="B27" s="47"/>
      <c r="C27" s="46" t="s">
        <v>96</v>
      </c>
      <c r="D27" s="48"/>
      <c r="E27" s="49">
        <v>1594737126.520097</v>
      </c>
      <c r="F27" s="49">
        <v>792301092.51077414</v>
      </c>
      <c r="G27" s="49">
        <v>196208761.63793871</v>
      </c>
      <c r="H27" s="49">
        <v>216111603.28733659</v>
      </c>
      <c r="I27" s="49">
        <v>133049839.85867025</v>
      </c>
      <c r="J27" s="49">
        <v>99461801.626138657</v>
      </c>
      <c r="K27" s="49">
        <v>17119273.221886322</v>
      </c>
      <c r="L27" s="49">
        <v>38345895.491444878</v>
      </c>
      <c r="M27" s="49">
        <v>97041536.085669532</v>
      </c>
      <c r="N27" s="49">
        <v>4586409.8084847163</v>
      </c>
      <c r="O27" s="49">
        <v>510912.99175350164</v>
      </c>
      <c r="P27" s="38"/>
      <c r="Q27" s="49">
        <v>92868861.788623065</v>
      </c>
      <c r="R27" s="49">
        <v>231181.57578764553</v>
      </c>
      <c r="S27" s="49">
        <v>6361758.2617279561</v>
      </c>
    </row>
    <row r="28" spans="1:19">
      <c r="A28" s="37">
        <v>22</v>
      </c>
      <c r="B28" s="44"/>
      <c r="C28" s="37"/>
      <c r="D28" s="38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38"/>
      <c r="Q28" s="45"/>
      <c r="R28" s="45"/>
      <c r="S28" s="45"/>
    </row>
    <row r="29" spans="1:19">
      <c r="A29" s="37">
        <v>23</v>
      </c>
      <c r="B29" s="44"/>
      <c r="C29" s="43" t="s">
        <v>108</v>
      </c>
      <c r="D29" s="38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38"/>
      <c r="Q29" s="45"/>
      <c r="R29" s="45"/>
      <c r="S29" s="45"/>
    </row>
    <row r="30" spans="1:19">
      <c r="A30" s="37">
        <v>24</v>
      </c>
      <c r="B30" s="44">
        <v>360.01</v>
      </c>
      <c r="C30" s="37" t="s">
        <v>109</v>
      </c>
      <c r="D30" s="38" t="s">
        <v>110</v>
      </c>
      <c r="E30" s="45">
        <v>3584294.5099956198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3561622.1547956197</v>
      </c>
      <c r="L30" s="45">
        <v>22672.355200000002</v>
      </c>
      <c r="M30" s="45">
        <v>0</v>
      </c>
      <c r="N30" s="45">
        <v>0</v>
      </c>
      <c r="O30" s="45">
        <v>0</v>
      </c>
      <c r="P30" s="38"/>
      <c r="Q30" s="45">
        <v>0</v>
      </c>
      <c r="R30" s="45">
        <v>0</v>
      </c>
      <c r="S30" s="45">
        <v>0</v>
      </c>
    </row>
    <row r="31" spans="1:19">
      <c r="A31" s="37">
        <v>25</v>
      </c>
      <c r="B31" s="44">
        <v>360.02</v>
      </c>
      <c r="C31" s="37" t="s">
        <v>111</v>
      </c>
      <c r="D31" s="38" t="s">
        <v>112</v>
      </c>
      <c r="E31" s="45">
        <v>47903705.490004383</v>
      </c>
      <c r="F31" s="45">
        <v>21741743.528318834</v>
      </c>
      <c r="G31" s="45">
        <v>7009017.0714245131</v>
      </c>
      <c r="H31" s="45">
        <v>9118962.3590785321</v>
      </c>
      <c r="I31" s="45">
        <v>5359289.5306215016</v>
      </c>
      <c r="J31" s="45">
        <v>4640901.3287207689</v>
      </c>
      <c r="K31" s="45">
        <v>0</v>
      </c>
      <c r="L31" s="45">
        <v>0</v>
      </c>
      <c r="M31" s="45">
        <v>0</v>
      </c>
      <c r="N31" s="45">
        <v>30858.711539461285</v>
      </c>
      <c r="O31" s="45">
        <v>2932.9603007722035</v>
      </c>
      <c r="P31" s="38"/>
      <c r="Q31" s="45">
        <v>4414267.9237825638</v>
      </c>
      <c r="R31" s="45">
        <v>966.26645516288909</v>
      </c>
      <c r="S31" s="45">
        <v>225667.13848304198</v>
      </c>
    </row>
    <row r="32" spans="1:19">
      <c r="A32" s="37">
        <v>26</v>
      </c>
      <c r="B32" s="44">
        <v>361.01</v>
      </c>
      <c r="C32" s="37" t="s">
        <v>113</v>
      </c>
      <c r="D32" s="38" t="s">
        <v>114</v>
      </c>
      <c r="E32" s="45">
        <v>598299.79449141794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242390.36241461791</v>
      </c>
      <c r="L32" s="45">
        <v>162866.1520768</v>
      </c>
      <c r="M32" s="45">
        <v>193043.28</v>
      </c>
      <c r="N32" s="45">
        <v>0</v>
      </c>
      <c r="O32" s="45">
        <v>0</v>
      </c>
      <c r="P32" s="38"/>
      <c r="Q32" s="45">
        <v>0</v>
      </c>
      <c r="R32" s="45">
        <v>0</v>
      </c>
      <c r="S32" s="45">
        <v>0</v>
      </c>
    </row>
    <row r="33" spans="1:19">
      <c r="A33" s="37">
        <v>27</v>
      </c>
      <c r="B33" s="44">
        <v>361.02</v>
      </c>
      <c r="C33" s="37" t="s">
        <v>115</v>
      </c>
      <c r="D33" s="38" t="s">
        <v>116</v>
      </c>
      <c r="E33" s="45">
        <v>7504700.2055085823</v>
      </c>
      <c r="F33" s="45">
        <v>3820437.6002308587</v>
      </c>
      <c r="G33" s="45">
        <v>1051706.37135761</v>
      </c>
      <c r="H33" s="45">
        <v>1306197.3366424269</v>
      </c>
      <c r="I33" s="45">
        <v>759664.43838272104</v>
      </c>
      <c r="J33" s="45">
        <v>560035.2167259726</v>
      </c>
      <c r="K33" s="45">
        <v>0</v>
      </c>
      <c r="L33" s="45">
        <v>0</v>
      </c>
      <c r="M33" s="45">
        <v>0</v>
      </c>
      <c r="N33" s="45">
        <v>5805.14555529883</v>
      </c>
      <c r="O33" s="45">
        <v>854.09661369412947</v>
      </c>
      <c r="P33" s="38"/>
      <c r="Q33" s="45">
        <v>498719.75639976206</v>
      </c>
      <c r="R33" s="45">
        <v>1.0845671285004819</v>
      </c>
      <c r="S33" s="45">
        <v>61314.375759082002</v>
      </c>
    </row>
    <row r="34" spans="1:19">
      <c r="A34" s="37">
        <v>28</v>
      </c>
      <c r="B34" s="44">
        <v>362.01</v>
      </c>
      <c r="C34" s="37" t="s">
        <v>117</v>
      </c>
      <c r="D34" s="38" t="s">
        <v>118</v>
      </c>
      <c r="E34" s="45">
        <v>31963716.521255195</v>
      </c>
      <c r="F34" s="45">
        <v>0</v>
      </c>
      <c r="G34" s="45">
        <v>0</v>
      </c>
      <c r="H34" s="45">
        <v>0</v>
      </c>
      <c r="I34" s="45">
        <v>0</v>
      </c>
      <c r="J34" s="45">
        <v>775891.62600000005</v>
      </c>
      <c r="K34" s="45">
        <v>10309974.6572004</v>
      </c>
      <c r="L34" s="45">
        <v>14591388.153054798</v>
      </c>
      <c r="M34" s="45">
        <v>6286462.084999999</v>
      </c>
      <c r="N34" s="45">
        <v>0</v>
      </c>
      <c r="O34" s="45">
        <v>0</v>
      </c>
      <c r="P34" s="38"/>
      <c r="Q34" s="45">
        <v>775891.62600000005</v>
      </c>
      <c r="R34" s="45">
        <v>0</v>
      </c>
      <c r="S34" s="45">
        <v>0</v>
      </c>
    </row>
    <row r="35" spans="1:19">
      <c r="A35" s="37">
        <v>29</v>
      </c>
      <c r="B35" s="44">
        <v>362.02</v>
      </c>
      <c r="C35" s="37" t="s">
        <v>119</v>
      </c>
      <c r="D35" s="38" t="s">
        <v>120</v>
      </c>
      <c r="E35" s="45">
        <v>439222283.4787448</v>
      </c>
      <c r="F35" s="45">
        <v>245172012.49877518</v>
      </c>
      <c r="G35" s="45">
        <v>59276205.92702511</v>
      </c>
      <c r="H35" s="45">
        <v>65132080.749197923</v>
      </c>
      <c r="I35" s="45">
        <v>34656237.881569348</v>
      </c>
      <c r="J35" s="45">
        <v>34510634.081663273</v>
      </c>
      <c r="K35" s="45">
        <v>0</v>
      </c>
      <c r="L35" s="45">
        <v>0</v>
      </c>
      <c r="M35" s="45">
        <v>0</v>
      </c>
      <c r="N35" s="45">
        <v>354330.73590944649</v>
      </c>
      <c r="O35" s="45">
        <v>120781.60460452207</v>
      </c>
      <c r="P35" s="38"/>
      <c r="Q35" s="45">
        <v>30853949.816595841</v>
      </c>
      <c r="R35" s="45">
        <v>113449.85596689511</v>
      </c>
      <c r="S35" s="45">
        <v>3543234.4091005395</v>
      </c>
    </row>
    <row r="36" spans="1:19">
      <c r="A36" s="37">
        <v>30</v>
      </c>
      <c r="B36" s="44">
        <v>363.01</v>
      </c>
      <c r="C36" s="37" t="s">
        <v>121</v>
      </c>
      <c r="D36" s="38" t="s">
        <v>120</v>
      </c>
      <c r="E36" s="45">
        <v>1101000</v>
      </c>
      <c r="F36" s="45">
        <v>614573.52214283624</v>
      </c>
      <c r="G36" s="45">
        <v>148587.86810349277</v>
      </c>
      <c r="H36" s="45">
        <v>163266.80954550701</v>
      </c>
      <c r="I36" s="45">
        <v>86872.910011302622</v>
      </c>
      <c r="J36" s="45">
        <v>86507.924468158293</v>
      </c>
      <c r="K36" s="45">
        <v>0</v>
      </c>
      <c r="L36" s="45">
        <v>0</v>
      </c>
      <c r="M36" s="45">
        <v>0</v>
      </c>
      <c r="N36" s="45">
        <v>888.20206740530625</v>
      </c>
      <c r="O36" s="45">
        <v>302.76366129774038</v>
      </c>
      <c r="P36" s="38"/>
      <c r="Q36" s="45">
        <v>77341.701516188972</v>
      </c>
      <c r="R36" s="45">
        <v>284.38514191549706</v>
      </c>
      <c r="S36" s="45">
        <v>8881.837810053823</v>
      </c>
    </row>
    <row r="37" spans="1:19">
      <c r="A37" s="37">
        <v>31</v>
      </c>
      <c r="B37" s="44">
        <v>364.01</v>
      </c>
      <c r="C37" s="37" t="s">
        <v>122</v>
      </c>
      <c r="D37" s="38" t="s">
        <v>123</v>
      </c>
      <c r="E37" s="45">
        <v>389350710.1321463</v>
      </c>
      <c r="F37" s="45">
        <v>268345590.88956663</v>
      </c>
      <c r="G37" s="45">
        <v>49031364.889962919</v>
      </c>
      <c r="H37" s="45">
        <v>38118429.102775455</v>
      </c>
      <c r="I37" s="45">
        <v>15079053.147549694</v>
      </c>
      <c r="J37" s="45">
        <v>18271785.911090221</v>
      </c>
      <c r="K37" s="45">
        <v>0</v>
      </c>
      <c r="L37" s="45">
        <v>0</v>
      </c>
      <c r="M37" s="45">
        <v>0</v>
      </c>
      <c r="N37" s="45">
        <v>235817.96379408851</v>
      </c>
      <c r="O37" s="45">
        <v>268668.22740719537</v>
      </c>
      <c r="P37" s="38"/>
      <c r="Q37" s="45">
        <v>14114663.265764913</v>
      </c>
      <c r="R37" s="45">
        <v>353531.40840772138</v>
      </c>
      <c r="S37" s="45">
        <v>3803591.236917587</v>
      </c>
    </row>
    <row r="38" spans="1:19">
      <c r="A38" s="37">
        <v>32</v>
      </c>
      <c r="B38" s="44">
        <v>365.01</v>
      </c>
      <c r="C38" s="37" t="s">
        <v>124</v>
      </c>
      <c r="D38" s="38" t="s">
        <v>125</v>
      </c>
      <c r="E38" s="45">
        <v>67009.356344389787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67009.356344389787</v>
      </c>
      <c r="L38" s="45">
        <v>0</v>
      </c>
      <c r="M38" s="45">
        <v>0</v>
      </c>
      <c r="N38" s="45">
        <v>0</v>
      </c>
      <c r="O38" s="45">
        <v>0</v>
      </c>
      <c r="P38" s="38"/>
      <c r="Q38" s="45">
        <v>0</v>
      </c>
      <c r="R38" s="45">
        <v>0</v>
      </c>
      <c r="S38" s="45">
        <v>0</v>
      </c>
    </row>
    <row r="39" spans="1:19">
      <c r="A39" s="37">
        <v>33</v>
      </c>
      <c r="B39" s="44">
        <v>365.02</v>
      </c>
      <c r="C39" s="37" t="s">
        <v>126</v>
      </c>
      <c r="D39" s="38" t="s">
        <v>123</v>
      </c>
      <c r="E39" s="45">
        <v>471995339.84919721</v>
      </c>
      <c r="F39" s="45">
        <v>325305348.29631299</v>
      </c>
      <c r="G39" s="45">
        <v>59438894.375339426</v>
      </c>
      <c r="H39" s="45">
        <v>46209549.464480519</v>
      </c>
      <c r="I39" s="45">
        <v>18279773.555739041</v>
      </c>
      <c r="J39" s="45">
        <v>22150204.369294036</v>
      </c>
      <c r="K39" s="45">
        <v>0</v>
      </c>
      <c r="L39" s="45">
        <v>0</v>
      </c>
      <c r="M39" s="45">
        <v>0</v>
      </c>
      <c r="N39" s="45">
        <v>285873.31952151674</v>
      </c>
      <c r="O39" s="45">
        <v>325696.46850958868</v>
      </c>
      <c r="P39" s="38"/>
      <c r="Q39" s="45">
        <v>17110679.681874927</v>
      </c>
      <c r="R39" s="45">
        <v>428572.93672877463</v>
      </c>
      <c r="S39" s="45">
        <v>4610951.7506903345</v>
      </c>
    </row>
    <row r="40" spans="1:19">
      <c r="A40" s="37">
        <v>33</v>
      </c>
      <c r="B40" s="44">
        <v>366.01</v>
      </c>
      <c r="C40" s="37" t="s">
        <v>127</v>
      </c>
      <c r="D40" s="38" t="s">
        <v>128</v>
      </c>
      <c r="E40" s="45">
        <v>27766610.698247954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21070405.608247954</v>
      </c>
      <c r="L40" s="45">
        <v>6656205.0899999999</v>
      </c>
      <c r="M40" s="45">
        <v>40000</v>
      </c>
      <c r="N40" s="45">
        <v>0</v>
      </c>
      <c r="O40" s="45">
        <v>0</v>
      </c>
      <c r="P40" s="38"/>
      <c r="Q40" s="45">
        <v>0</v>
      </c>
      <c r="R40" s="45">
        <v>0</v>
      </c>
      <c r="S40" s="45">
        <v>0</v>
      </c>
    </row>
    <row r="41" spans="1:19">
      <c r="A41" s="37">
        <v>34</v>
      </c>
      <c r="B41" s="44">
        <v>366.02</v>
      </c>
      <c r="C41" s="37" t="s">
        <v>129</v>
      </c>
      <c r="D41" s="38" t="s">
        <v>130</v>
      </c>
      <c r="E41" s="45">
        <v>719001680.12964964</v>
      </c>
      <c r="F41" s="45">
        <v>483884200.38477099</v>
      </c>
      <c r="G41" s="45">
        <v>86222244.751074269</v>
      </c>
      <c r="H41" s="45">
        <v>80460784.797479495</v>
      </c>
      <c r="I41" s="45">
        <v>34933842.332489505</v>
      </c>
      <c r="J41" s="45">
        <v>32972236.350764357</v>
      </c>
      <c r="K41" s="45">
        <v>0</v>
      </c>
      <c r="L41" s="45">
        <v>0</v>
      </c>
      <c r="M41" s="45">
        <v>0</v>
      </c>
      <c r="N41" s="45">
        <v>331569.16812148149</v>
      </c>
      <c r="O41" s="45">
        <v>196802.34494952444</v>
      </c>
      <c r="P41" s="38"/>
      <c r="Q41" s="45">
        <v>24917601.247322947</v>
      </c>
      <c r="R41" s="45">
        <v>295916.56939874153</v>
      </c>
      <c r="S41" s="45">
        <v>7758718.5340426657</v>
      </c>
    </row>
    <row r="42" spans="1:19">
      <c r="A42" s="37">
        <v>35</v>
      </c>
      <c r="B42" s="44">
        <v>367.01</v>
      </c>
      <c r="C42" s="37" t="s">
        <v>131</v>
      </c>
      <c r="D42" s="38" t="s">
        <v>130</v>
      </c>
      <c r="E42" s="45">
        <v>999197860.72156346</v>
      </c>
      <c r="F42" s="45">
        <v>672454698.26196241</v>
      </c>
      <c r="G42" s="45">
        <v>119823200.53320241</v>
      </c>
      <c r="H42" s="45">
        <v>111816489.81282303</v>
      </c>
      <c r="I42" s="45">
        <v>48547620.249112241</v>
      </c>
      <c r="J42" s="45">
        <v>45821573.071913764</v>
      </c>
      <c r="K42" s="45">
        <v>0</v>
      </c>
      <c r="L42" s="45">
        <v>0</v>
      </c>
      <c r="M42" s="45">
        <v>0</v>
      </c>
      <c r="N42" s="45">
        <v>460782.23823965533</v>
      </c>
      <c r="O42" s="45">
        <v>273496.55430998892</v>
      </c>
      <c r="P42" s="38"/>
      <c r="Q42" s="45">
        <v>34628032.936096251</v>
      </c>
      <c r="R42" s="45">
        <v>411235.76100958488</v>
      </c>
      <c r="S42" s="45">
        <v>10782304.374807933</v>
      </c>
    </row>
    <row r="43" spans="1:19">
      <c r="A43" s="37">
        <v>36</v>
      </c>
      <c r="B43" s="44" t="s">
        <v>132</v>
      </c>
      <c r="C43" s="37" t="s">
        <v>133</v>
      </c>
      <c r="D43" s="38" t="s">
        <v>134</v>
      </c>
      <c r="E43" s="45">
        <v>173605063.30048591</v>
      </c>
      <c r="F43" s="45">
        <v>129622783.85526644</v>
      </c>
      <c r="G43" s="45">
        <v>21229564.703891553</v>
      </c>
      <c r="H43" s="45">
        <v>3103642.0998950875</v>
      </c>
      <c r="I43" s="45">
        <v>34997.8638195979</v>
      </c>
      <c r="J43" s="45">
        <v>0</v>
      </c>
      <c r="K43" s="45">
        <v>0</v>
      </c>
      <c r="L43" s="45">
        <v>0</v>
      </c>
      <c r="M43" s="45">
        <v>0</v>
      </c>
      <c r="N43" s="45">
        <v>19614074.777613256</v>
      </c>
      <c r="O43" s="45">
        <v>0</v>
      </c>
      <c r="P43" s="38"/>
      <c r="Q43" s="45">
        <v>0</v>
      </c>
      <c r="R43" s="45">
        <v>0</v>
      </c>
      <c r="S43" s="45">
        <v>0</v>
      </c>
    </row>
    <row r="44" spans="1:19">
      <c r="A44" s="37">
        <v>37</v>
      </c>
      <c r="B44" s="44" t="s">
        <v>135</v>
      </c>
      <c r="C44" s="37" t="s">
        <v>136</v>
      </c>
      <c r="D44" s="38" t="s">
        <v>137</v>
      </c>
      <c r="E44" s="45">
        <v>318350548.27234882</v>
      </c>
      <c r="F44" s="45">
        <v>254323105.00839216</v>
      </c>
      <c r="G44" s="45">
        <v>39317021.423054866</v>
      </c>
      <c r="H44" s="45">
        <v>18739241.351015534</v>
      </c>
      <c r="I44" s="45">
        <v>5178058.4964268021</v>
      </c>
      <c r="J44" s="45">
        <v>0</v>
      </c>
      <c r="K44" s="45">
        <v>0</v>
      </c>
      <c r="L44" s="45">
        <v>0</v>
      </c>
      <c r="M44" s="45">
        <v>0</v>
      </c>
      <c r="N44" s="45">
        <v>793121.9934594743</v>
      </c>
      <c r="O44" s="45">
        <v>0</v>
      </c>
      <c r="P44" s="38"/>
      <c r="Q44" s="45">
        <v>0</v>
      </c>
      <c r="R44" s="45">
        <v>0</v>
      </c>
      <c r="S44" s="45">
        <v>0</v>
      </c>
    </row>
    <row r="45" spans="1:19">
      <c r="A45" s="37">
        <v>38</v>
      </c>
      <c r="B45" s="44">
        <v>368.03</v>
      </c>
      <c r="C45" s="37" t="s">
        <v>138</v>
      </c>
      <c r="D45" s="38" t="s">
        <v>139</v>
      </c>
      <c r="E45" s="45">
        <v>7577844.9767851122</v>
      </c>
      <c r="F45" s="45">
        <v>0</v>
      </c>
      <c r="G45" s="45">
        <v>0</v>
      </c>
      <c r="H45" s="45">
        <v>0</v>
      </c>
      <c r="I45" s="45">
        <v>0</v>
      </c>
      <c r="J45" s="45">
        <v>2877038.9529638672</v>
      </c>
      <c r="K45" s="45">
        <v>4636784.6845553285</v>
      </c>
      <c r="L45" s="45">
        <v>0</v>
      </c>
      <c r="M45" s="45">
        <v>0</v>
      </c>
      <c r="N45" s="45">
        <v>0</v>
      </c>
      <c r="O45" s="45">
        <v>64021.339265918003</v>
      </c>
      <c r="P45" s="38"/>
      <c r="Q45" s="45">
        <v>2721089.3235371769</v>
      </c>
      <c r="R45" s="45">
        <v>0</v>
      </c>
      <c r="S45" s="45">
        <v>155949.62942669005</v>
      </c>
    </row>
    <row r="46" spans="1:19">
      <c r="A46" s="37">
        <v>39</v>
      </c>
      <c r="B46" s="44" t="s">
        <v>140</v>
      </c>
      <c r="C46" s="37" t="s">
        <v>141</v>
      </c>
      <c r="D46" s="38" t="s">
        <v>142</v>
      </c>
      <c r="E46" s="45">
        <v>40889975.452172115</v>
      </c>
      <c r="F46" s="45">
        <v>35287388.224718876</v>
      </c>
      <c r="G46" s="45">
        <v>5391540.3962266576</v>
      </c>
      <c r="H46" s="45">
        <v>206571.28579529174</v>
      </c>
      <c r="I46" s="45">
        <v>4475.5454312894217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38"/>
      <c r="Q46" s="45">
        <v>0</v>
      </c>
      <c r="R46" s="45">
        <v>0</v>
      </c>
      <c r="S46" s="45">
        <v>0</v>
      </c>
    </row>
    <row r="47" spans="1:19">
      <c r="A47" s="37">
        <v>40</v>
      </c>
      <c r="B47" s="44" t="s">
        <v>143</v>
      </c>
      <c r="C47" s="37" t="s">
        <v>144</v>
      </c>
      <c r="D47" s="38" t="s">
        <v>145</v>
      </c>
      <c r="E47" s="45">
        <v>148141818.81021541</v>
      </c>
      <c r="F47" s="45">
        <v>148141818.81021541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38"/>
      <c r="Q47" s="45">
        <v>0</v>
      </c>
      <c r="R47" s="45">
        <v>0</v>
      </c>
      <c r="S47" s="45">
        <v>0</v>
      </c>
    </row>
    <row r="48" spans="1:19">
      <c r="A48" s="37">
        <v>41</v>
      </c>
      <c r="B48" s="44">
        <v>370.01</v>
      </c>
      <c r="C48" s="37" t="s">
        <v>146</v>
      </c>
      <c r="D48" s="38" t="s">
        <v>147</v>
      </c>
      <c r="E48" s="45">
        <v>206004867.61000001</v>
      </c>
      <c r="F48" s="45">
        <v>133743709.16973646</v>
      </c>
      <c r="G48" s="45">
        <v>37539912.318899311</v>
      </c>
      <c r="H48" s="45">
        <v>11094399.206289688</v>
      </c>
      <c r="I48" s="45">
        <v>1246915.3080466578</v>
      </c>
      <c r="J48" s="45">
        <v>19810545.101352308</v>
      </c>
      <c r="K48" s="45">
        <v>976230.67360039195</v>
      </c>
      <c r="L48" s="45">
        <v>606236.92276222247</v>
      </c>
      <c r="M48" s="45">
        <v>976036.22035163466</v>
      </c>
      <c r="N48" s="45">
        <v>0</v>
      </c>
      <c r="O48" s="45">
        <v>10882.688961321393</v>
      </c>
      <c r="P48" s="38"/>
      <c r="Q48" s="45">
        <v>14935303.536787456</v>
      </c>
      <c r="R48" s="45">
        <v>48424.959903730029</v>
      </c>
      <c r="S48" s="45">
        <v>4826816.6046611229</v>
      </c>
    </row>
    <row r="49" spans="1:19">
      <c r="A49" s="37">
        <v>42</v>
      </c>
      <c r="B49" s="44">
        <v>373</v>
      </c>
      <c r="C49" s="37" t="s">
        <v>148</v>
      </c>
      <c r="D49" s="38" t="s">
        <v>149</v>
      </c>
      <c r="E49" s="45">
        <v>57279322.090746596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57279322.090746596</v>
      </c>
      <c r="O49" s="45">
        <v>0</v>
      </c>
      <c r="P49" s="38"/>
      <c r="Q49" s="45">
        <v>0</v>
      </c>
      <c r="R49" s="45">
        <v>0</v>
      </c>
      <c r="S49" s="45">
        <v>0</v>
      </c>
    </row>
    <row r="50" spans="1:19">
      <c r="A50" s="37">
        <v>43</v>
      </c>
      <c r="B50" s="44">
        <v>374</v>
      </c>
      <c r="C50" s="37" t="s">
        <v>150</v>
      </c>
      <c r="D50" s="38" t="s">
        <v>151</v>
      </c>
      <c r="E50" s="45">
        <v>2343000</v>
      </c>
      <c r="F50" s="45">
        <v>1572546.9363724538</v>
      </c>
      <c r="G50" s="45">
        <v>282624.90269259043</v>
      </c>
      <c r="H50" s="45">
        <v>248558.43963506605</v>
      </c>
      <c r="I50" s="45">
        <v>104993.08909552665</v>
      </c>
      <c r="J50" s="45">
        <v>107127.73099438685</v>
      </c>
      <c r="K50" s="45">
        <v>18994.154381245229</v>
      </c>
      <c r="L50" s="45">
        <v>5981.2889742891321</v>
      </c>
      <c r="M50" s="45">
        <v>35.944138700144123</v>
      </c>
      <c r="N50" s="45">
        <v>1180.8033173912813</v>
      </c>
      <c r="O50" s="45">
        <v>956.71039835027318</v>
      </c>
      <c r="P50" s="38"/>
      <c r="Q50" s="45">
        <v>81567.114798659895</v>
      </c>
      <c r="R50" s="45">
        <v>1338.2512126474658</v>
      </c>
      <c r="S50" s="45">
        <v>24222.364983079489</v>
      </c>
    </row>
    <row r="51" spans="1:19">
      <c r="A51" s="46">
        <v>44</v>
      </c>
      <c r="B51" s="47"/>
      <c r="C51" s="46" t="s">
        <v>96</v>
      </c>
      <c r="D51" s="48"/>
      <c r="E51" s="49">
        <v>4093449651.3999033</v>
      </c>
      <c r="F51" s="49">
        <v>2724029956.986783</v>
      </c>
      <c r="G51" s="49">
        <v>485761885.53225476</v>
      </c>
      <c r="H51" s="49">
        <v>385718172.81465352</v>
      </c>
      <c r="I51" s="49">
        <v>164271794.34829524</v>
      </c>
      <c r="J51" s="49">
        <v>182584481.6659511</v>
      </c>
      <c r="K51" s="49">
        <v>40883411.651539944</v>
      </c>
      <c r="L51" s="49">
        <v>22045349.962068107</v>
      </c>
      <c r="M51" s="49">
        <v>7495577.529490334</v>
      </c>
      <c r="N51" s="49">
        <v>79393625.149885073</v>
      </c>
      <c r="O51" s="49">
        <v>1265395.7589821732</v>
      </c>
      <c r="P51" s="38"/>
      <c r="Q51" s="49">
        <v>145129107.9304767</v>
      </c>
      <c r="R51" s="49">
        <v>1653721.4787923018</v>
      </c>
      <c r="S51" s="49">
        <v>35801652.256682135</v>
      </c>
    </row>
    <row r="52" spans="1:19">
      <c r="A52" s="37">
        <v>45</v>
      </c>
      <c r="B52" s="44"/>
      <c r="C52" s="37"/>
      <c r="D52" s="38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38"/>
      <c r="Q52" s="45"/>
      <c r="R52" s="45"/>
      <c r="S52" s="45"/>
    </row>
    <row r="53" spans="1:19">
      <c r="A53" s="37">
        <v>46</v>
      </c>
      <c r="B53" s="44"/>
      <c r="C53" s="43" t="s">
        <v>152</v>
      </c>
      <c r="D53" s="38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38"/>
      <c r="Q53" s="45"/>
      <c r="R53" s="45"/>
      <c r="S53" s="45"/>
    </row>
    <row r="54" spans="1:19">
      <c r="A54" s="37">
        <v>47</v>
      </c>
      <c r="B54" s="44">
        <v>389</v>
      </c>
      <c r="C54" s="37" t="s">
        <v>153</v>
      </c>
      <c r="D54" s="38" t="s">
        <v>154</v>
      </c>
      <c r="E54" s="45">
        <v>36018223.299999997</v>
      </c>
      <c r="F54" s="45">
        <v>22138384.630041528</v>
      </c>
      <c r="G54" s="45">
        <v>4355532.3303780779</v>
      </c>
      <c r="H54" s="45">
        <v>3922359.1610781448</v>
      </c>
      <c r="I54" s="45">
        <v>2188117.3321952224</v>
      </c>
      <c r="J54" s="45">
        <v>1845680.4909931654</v>
      </c>
      <c r="K54" s="45">
        <v>189969.59660357476</v>
      </c>
      <c r="L54" s="45">
        <v>544250.54486517597</v>
      </c>
      <c r="M54" s="45">
        <v>326213.77011664188</v>
      </c>
      <c r="N54" s="45">
        <v>497358.25580145605</v>
      </c>
      <c r="O54" s="45">
        <v>10357.18792701874</v>
      </c>
      <c r="P54" s="38"/>
      <c r="Q54" s="45">
        <v>1641131.5075266603</v>
      </c>
      <c r="R54" s="45">
        <v>8256.5803707377199</v>
      </c>
      <c r="S54" s="45">
        <v>196292.40309576731</v>
      </c>
    </row>
    <row r="55" spans="1:19">
      <c r="A55" s="37">
        <v>48</v>
      </c>
      <c r="B55" s="44">
        <v>390</v>
      </c>
      <c r="C55" s="37" t="s">
        <v>155</v>
      </c>
      <c r="D55" s="38" t="s">
        <v>154</v>
      </c>
      <c r="E55" s="45">
        <v>225176849.65399992</v>
      </c>
      <c r="F55" s="45">
        <v>138403598.25358972</v>
      </c>
      <c r="G55" s="45">
        <v>27229689.830944009</v>
      </c>
      <c r="H55" s="45">
        <v>24521600.4061778</v>
      </c>
      <c r="I55" s="45">
        <v>13679557.801426454</v>
      </c>
      <c r="J55" s="45">
        <v>11538729.019698448</v>
      </c>
      <c r="K55" s="45">
        <v>1187642.0149028883</v>
      </c>
      <c r="L55" s="45">
        <v>3402517.1673366036</v>
      </c>
      <c r="M55" s="45">
        <v>2039406.2321397061</v>
      </c>
      <c r="N55" s="45">
        <v>3109358.4005510928</v>
      </c>
      <c r="O55" s="45">
        <v>64750.527233266454</v>
      </c>
      <c r="P55" s="38"/>
      <c r="Q55" s="45">
        <v>10259940.354491973</v>
      </c>
      <c r="R55" s="45">
        <v>51618.058484238856</v>
      </c>
      <c r="S55" s="45">
        <v>1227170.6067222354</v>
      </c>
    </row>
    <row r="56" spans="1:19">
      <c r="A56" s="37">
        <v>49</v>
      </c>
      <c r="B56" s="44">
        <v>391</v>
      </c>
      <c r="C56" s="37" t="s">
        <v>156</v>
      </c>
      <c r="D56" s="38" t="s">
        <v>154</v>
      </c>
      <c r="E56" s="45">
        <v>109380337.50000001</v>
      </c>
      <c r="F56" s="45">
        <v>67229967.51865758</v>
      </c>
      <c r="G56" s="45">
        <v>13226904.401165057</v>
      </c>
      <c r="H56" s="45">
        <v>11911441.751624225</v>
      </c>
      <c r="I56" s="45">
        <v>6644886.6811571205</v>
      </c>
      <c r="J56" s="45">
        <v>5604972.6090181181</v>
      </c>
      <c r="K56" s="45">
        <v>576900.70990364102</v>
      </c>
      <c r="L56" s="45">
        <v>1652783.0311361263</v>
      </c>
      <c r="M56" s="45">
        <v>990647.76114333514</v>
      </c>
      <c r="N56" s="45">
        <v>1510380.2712549292</v>
      </c>
      <c r="O56" s="45">
        <v>31452.76493991405</v>
      </c>
      <c r="P56" s="38"/>
      <c r="Q56" s="45">
        <v>4983797.1373549094</v>
      </c>
      <c r="R56" s="45">
        <v>25073.628424841463</v>
      </c>
      <c r="S56" s="45">
        <v>596101.84323836653</v>
      </c>
    </row>
    <row r="57" spans="1:19">
      <c r="A57" s="37">
        <v>50</v>
      </c>
      <c r="B57" s="44">
        <v>392</v>
      </c>
      <c r="C57" s="37" t="s">
        <v>157</v>
      </c>
      <c r="D57" s="38" t="s">
        <v>154</v>
      </c>
      <c r="E57" s="45">
        <v>15439498.100000001</v>
      </c>
      <c r="F57" s="45">
        <v>9489794.7793164868</v>
      </c>
      <c r="G57" s="45">
        <v>1867033.600720692</v>
      </c>
      <c r="H57" s="45">
        <v>1681350.4739136766</v>
      </c>
      <c r="I57" s="45">
        <v>937953.91048634029</v>
      </c>
      <c r="J57" s="45">
        <v>791165.6329227112</v>
      </c>
      <c r="K57" s="45">
        <v>81431.979622899918</v>
      </c>
      <c r="L57" s="45">
        <v>233297.32794926202</v>
      </c>
      <c r="M57" s="45">
        <v>139834.12901740021</v>
      </c>
      <c r="N57" s="45">
        <v>213196.57500890378</v>
      </c>
      <c r="O57" s="45">
        <v>4439.6910416330502</v>
      </c>
      <c r="P57" s="38"/>
      <c r="Q57" s="45">
        <v>703484.08307824575</v>
      </c>
      <c r="R57" s="45">
        <v>3539.2488931152343</v>
      </c>
      <c r="S57" s="45">
        <v>84142.300951350204</v>
      </c>
    </row>
    <row r="58" spans="1:19">
      <c r="A58" s="37">
        <v>51</v>
      </c>
      <c r="B58" s="44">
        <v>393</v>
      </c>
      <c r="C58" s="37" t="s">
        <v>158</v>
      </c>
      <c r="D58" s="38" t="s">
        <v>159</v>
      </c>
      <c r="E58" s="45">
        <v>232556.7</v>
      </c>
      <c r="F58" s="45">
        <v>135652.52464391052</v>
      </c>
      <c r="G58" s="45">
        <v>29111.432471111479</v>
      </c>
      <c r="H58" s="45">
        <v>28518.183258430443</v>
      </c>
      <c r="I58" s="45">
        <v>15824.654736213881</v>
      </c>
      <c r="J58" s="45">
        <v>13252.080000319762</v>
      </c>
      <c r="K58" s="45">
        <v>1378.385751781045</v>
      </c>
      <c r="L58" s="45">
        <v>3961.4798956516602</v>
      </c>
      <c r="M58" s="45">
        <v>2484.2378978471756</v>
      </c>
      <c r="N58" s="45">
        <v>2297.9169865305344</v>
      </c>
      <c r="O58" s="45">
        <v>75.804358203632049</v>
      </c>
      <c r="P58" s="38"/>
      <c r="Q58" s="45">
        <v>11769.314418102127</v>
      </c>
      <c r="R58" s="45">
        <v>60.080372295845905</v>
      </c>
      <c r="S58" s="45">
        <v>1422.6852099217881</v>
      </c>
    </row>
    <row r="59" spans="1:19">
      <c r="A59" s="37">
        <v>52</v>
      </c>
      <c r="B59" s="44">
        <v>394</v>
      </c>
      <c r="C59" s="37" t="s">
        <v>160</v>
      </c>
      <c r="D59" s="38" t="s">
        <v>161</v>
      </c>
      <c r="E59" s="45">
        <v>13888778.5</v>
      </c>
      <c r="F59" s="45">
        <v>8127959.0532885808</v>
      </c>
      <c r="G59" s="45">
        <v>1739372.5390534215</v>
      </c>
      <c r="H59" s="45">
        <v>1699442.1203225956</v>
      </c>
      <c r="I59" s="45">
        <v>940552.61989932507</v>
      </c>
      <c r="J59" s="45">
        <v>789893.32276461623</v>
      </c>
      <c r="K59" s="45">
        <v>80726.823844416343</v>
      </c>
      <c r="L59" s="45">
        <v>234508.98232808005</v>
      </c>
      <c r="M59" s="45">
        <v>132450.48764629927</v>
      </c>
      <c r="N59" s="45">
        <v>139343.33424553653</v>
      </c>
      <c r="O59" s="45">
        <v>4529.2166071298898</v>
      </c>
      <c r="P59" s="38"/>
      <c r="Q59" s="45">
        <v>700661.43199138611</v>
      </c>
      <c r="R59" s="45">
        <v>3622.3439001623738</v>
      </c>
      <c r="S59" s="45">
        <v>85609.546873067768</v>
      </c>
    </row>
    <row r="60" spans="1:19">
      <c r="A60" s="37">
        <v>53</v>
      </c>
      <c r="B60" s="44">
        <v>395</v>
      </c>
      <c r="C60" s="37" t="s">
        <v>162</v>
      </c>
      <c r="D60" s="38" t="s">
        <v>161</v>
      </c>
      <c r="E60" s="45">
        <v>7820000</v>
      </c>
      <c r="F60" s="45">
        <v>4576402.4386101849</v>
      </c>
      <c r="G60" s="45">
        <v>979344.09821553109</v>
      </c>
      <c r="H60" s="45">
        <v>956861.49656160886</v>
      </c>
      <c r="I60" s="45">
        <v>529572.95615397161</v>
      </c>
      <c r="J60" s="45">
        <v>444745.07128321618</v>
      </c>
      <c r="K60" s="45">
        <v>45452.792156152231</v>
      </c>
      <c r="L60" s="45">
        <v>132038.98685586973</v>
      </c>
      <c r="M60" s="45">
        <v>74575.515290567884</v>
      </c>
      <c r="N60" s="45">
        <v>78456.494485825067</v>
      </c>
      <c r="O60" s="45">
        <v>2550.1503870736897</v>
      </c>
      <c r="P60" s="38"/>
      <c r="Q60" s="45">
        <v>394503.54818263109</v>
      </c>
      <c r="R60" s="45">
        <v>2039.540719817064</v>
      </c>
      <c r="S60" s="45">
        <v>48201.982380768037</v>
      </c>
    </row>
    <row r="61" spans="1:19">
      <c r="A61" s="37">
        <v>54</v>
      </c>
      <c r="B61" s="44">
        <v>396</v>
      </c>
      <c r="C61" s="37" t="s">
        <v>163</v>
      </c>
      <c r="D61" s="38" t="s">
        <v>161</v>
      </c>
      <c r="E61" s="45">
        <v>5307201.3</v>
      </c>
      <c r="F61" s="45">
        <v>3105868.1549252099</v>
      </c>
      <c r="G61" s="45">
        <v>664651.69708398916</v>
      </c>
      <c r="H61" s="45">
        <v>649393.42435699701</v>
      </c>
      <c r="I61" s="45">
        <v>359405.40682163689</v>
      </c>
      <c r="J61" s="45">
        <v>301835.24558604573</v>
      </c>
      <c r="K61" s="45">
        <v>30847.457496133113</v>
      </c>
      <c r="L61" s="45">
        <v>89610.931290556866</v>
      </c>
      <c r="M61" s="45">
        <v>50612.183081620424</v>
      </c>
      <c r="N61" s="45">
        <v>53246.08817501452</v>
      </c>
      <c r="O61" s="45">
        <v>1730.7111827970575</v>
      </c>
      <c r="P61" s="38"/>
      <c r="Q61" s="45">
        <v>267737.81889635196</v>
      </c>
      <c r="R61" s="45">
        <v>1384.175595858831</v>
      </c>
      <c r="S61" s="45">
        <v>32713.251093834941</v>
      </c>
    </row>
    <row r="62" spans="1:19">
      <c r="A62" s="37">
        <v>55</v>
      </c>
      <c r="B62" s="44">
        <v>397</v>
      </c>
      <c r="C62" s="37" t="s">
        <v>164</v>
      </c>
      <c r="D62" s="38" t="s">
        <v>154</v>
      </c>
      <c r="E62" s="45">
        <v>146821395.59999999</v>
      </c>
      <c r="F62" s="45">
        <v>90242889.013137057</v>
      </c>
      <c r="G62" s="45">
        <v>17754494.162598789</v>
      </c>
      <c r="H62" s="45">
        <v>15988746.620767893</v>
      </c>
      <c r="I62" s="45">
        <v>8919441.6330205649</v>
      </c>
      <c r="J62" s="45">
        <v>7523563.3713034857</v>
      </c>
      <c r="K62" s="45">
        <v>774374.7120060157</v>
      </c>
      <c r="L62" s="45">
        <v>2218533.2099144808</v>
      </c>
      <c r="M62" s="45">
        <v>1329748.0165398091</v>
      </c>
      <c r="N62" s="45">
        <v>2027385.7658590167</v>
      </c>
      <c r="O62" s="45">
        <v>42219.094852920251</v>
      </c>
      <c r="P62" s="38"/>
      <c r="Q62" s="45">
        <v>6689758.578352646</v>
      </c>
      <c r="R62" s="45">
        <v>33656.370077401276</v>
      </c>
      <c r="S62" s="45">
        <v>800148.4228734381</v>
      </c>
    </row>
    <row r="63" spans="1:19">
      <c r="A63" s="37">
        <v>56</v>
      </c>
      <c r="B63" s="44">
        <v>398</v>
      </c>
      <c r="C63" s="37" t="s">
        <v>165</v>
      </c>
      <c r="D63" s="38" t="s">
        <v>154</v>
      </c>
      <c r="E63" s="45">
        <v>970290.20000000007</v>
      </c>
      <c r="F63" s="45">
        <v>596383.0439787386</v>
      </c>
      <c r="G63" s="45">
        <v>117333.11498318719</v>
      </c>
      <c r="H63" s="45">
        <v>105663.91971017474</v>
      </c>
      <c r="I63" s="45">
        <v>58945.406223831407</v>
      </c>
      <c r="J63" s="45">
        <v>49720.545009277484</v>
      </c>
      <c r="K63" s="45">
        <v>5117.5660816784903</v>
      </c>
      <c r="L63" s="45">
        <v>14661.494145030209</v>
      </c>
      <c r="M63" s="45">
        <v>8787.8300273970071</v>
      </c>
      <c r="N63" s="45">
        <v>13398.268911649677</v>
      </c>
      <c r="O63" s="45">
        <v>279.01092903559737</v>
      </c>
      <c r="P63" s="38"/>
      <c r="Q63" s="45">
        <v>44210.226734430427</v>
      </c>
      <c r="R63" s="45">
        <v>222.42293720354547</v>
      </c>
      <c r="S63" s="45">
        <v>5287.8953376435065</v>
      </c>
    </row>
    <row r="64" spans="1:19">
      <c r="A64" s="37">
        <v>57</v>
      </c>
      <c r="B64" s="44">
        <v>399</v>
      </c>
      <c r="C64" s="37" t="s">
        <v>166</v>
      </c>
      <c r="D64" s="38" t="s">
        <v>154</v>
      </c>
      <c r="E64" s="45">
        <v>1250391.3638000034</v>
      </c>
      <c r="F64" s="45">
        <v>768545.54205306014</v>
      </c>
      <c r="G64" s="45">
        <v>151204.57123315279</v>
      </c>
      <c r="H64" s="45">
        <v>136166.73926095458</v>
      </c>
      <c r="I64" s="45">
        <v>75961.631765384984</v>
      </c>
      <c r="J64" s="45">
        <v>64073.758637395207</v>
      </c>
      <c r="K64" s="45">
        <v>6594.8933960237946</v>
      </c>
      <c r="L64" s="45">
        <v>18893.940863620068</v>
      </c>
      <c r="M64" s="45">
        <v>11324.680773648506</v>
      </c>
      <c r="N64" s="45">
        <v>17266.050648555272</v>
      </c>
      <c r="O64" s="45">
        <v>359.5551682083634</v>
      </c>
      <c r="P64" s="38"/>
      <c r="Q64" s="45">
        <v>56972.734240098311</v>
      </c>
      <c r="R64" s="45">
        <v>286.63148384920686</v>
      </c>
      <c r="S64" s="45">
        <v>6814.3929134476912</v>
      </c>
    </row>
    <row r="65" spans="1:19">
      <c r="A65" s="46">
        <v>58</v>
      </c>
      <c r="B65" s="47"/>
      <c r="C65" s="46" t="s">
        <v>96</v>
      </c>
      <c r="D65" s="48"/>
      <c r="E65" s="49">
        <v>562305522.21780002</v>
      </c>
      <c r="F65" s="49">
        <v>344815444.95224208</v>
      </c>
      <c r="G65" s="49">
        <v>68114671.778847009</v>
      </c>
      <c r="H65" s="49">
        <v>61601544.297032498</v>
      </c>
      <c r="I65" s="49">
        <v>34350220.033886068</v>
      </c>
      <c r="J65" s="49">
        <v>28967631.147216801</v>
      </c>
      <c r="K65" s="49">
        <v>2980436.9317652052</v>
      </c>
      <c r="L65" s="49">
        <v>8545057.0965804569</v>
      </c>
      <c r="M65" s="49">
        <v>5106084.8436742723</v>
      </c>
      <c r="N65" s="49">
        <v>7661687.421928511</v>
      </c>
      <c r="O65" s="49">
        <v>162743.7146272008</v>
      </c>
      <c r="P65" s="38"/>
      <c r="Q65" s="49">
        <v>25753966.735267442</v>
      </c>
      <c r="R65" s="49">
        <v>129759.08125952144</v>
      </c>
      <c r="S65" s="49">
        <v>3083905.3306898414</v>
      </c>
    </row>
    <row r="66" spans="1:19">
      <c r="A66" s="37">
        <v>59</v>
      </c>
      <c r="B66" s="44"/>
      <c r="C66" s="37"/>
      <c r="D66" s="38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38"/>
      <c r="Q66" s="45"/>
      <c r="R66" s="45"/>
      <c r="S66" s="45"/>
    </row>
    <row r="67" spans="1:19">
      <c r="A67" s="46">
        <v>60</v>
      </c>
      <c r="B67" s="47"/>
      <c r="C67" s="46" t="s">
        <v>167</v>
      </c>
      <c r="D67" s="48"/>
      <c r="E67" s="49">
        <v>10850379607.287487</v>
      </c>
      <c r="F67" s="49">
        <v>6357434917.2820807</v>
      </c>
      <c r="G67" s="49">
        <v>1354706418.834281</v>
      </c>
      <c r="H67" s="49">
        <v>1318729534.2047176</v>
      </c>
      <c r="I67" s="49">
        <v>732140122.68400407</v>
      </c>
      <c r="J67" s="49">
        <v>613364301.26204348</v>
      </c>
      <c r="K67" s="49">
        <v>63461510.672922887</v>
      </c>
      <c r="L67" s="49">
        <v>183229542.82709447</v>
      </c>
      <c r="M67" s="49">
        <v>113145666.4824426</v>
      </c>
      <c r="N67" s="49">
        <v>110664423.06624036</v>
      </c>
      <c r="O67" s="49">
        <v>3503169.9716602401</v>
      </c>
      <c r="P67" s="38"/>
      <c r="Q67" s="49">
        <v>544815119.81286335</v>
      </c>
      <c r="R67" s="49">
        <v>2776517.0395794059</v>
      </c>
      <c r="S67" s="49">
        <v>65772664.409600839</v>
      </c>
    </row>
    <row r="68" spans="1:19">
      <c r="A68" s="37">
        <v>61</v>
      </c>
      <c r="B68" s="44"/>
      <c r="C68" s="37"/>
      <c r="D68" s="38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38"/>
      <c r="Q68" s="45"/>
      <c r="R68" s="45"/>
      <c r="S68" s="45"/>
    </row>
    <row r="69" spans="1:19">
      <c r="A69" s="37">
        <v>62</v>
      </c>
      <c r="B69" s="44"/>
      <c r="C69" s="43" t="s">
        <v>168</v>
      </c>
      <c r="D69" s="38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38"/>
      <c r="Q69" s="45"/>
      <c r="R69" s="45"/>
      <c r="S69" s="45"/>
    </row>
    <row r="70" spans="1:19">
      <c r="A70" s="37">
        <v>63</v>
      </c>
      <c r="B70" s="44"/>
      <c r="C70" s="43" t="s">
        <v>89</v>
      </c>
      <c r="D70" s="38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38"/>
      <c r="Q70" s="45"/>
      <c r="R70" s="45"/>
      <c r="S70" s="45"/>
    </row>
    <row r="71" spans="1:19">
      <c r="A71" s="37">
        <v>64</v>
      </c>
      <c r="B71" s="44">
        <v>111</v>
      </c>
      <c r="C71" s="37" t="s">
        <v>169</v>
      </c>
      <c r="D71" s="38" t="s">
        <v>91</v>
      </c>
      <c r="E71" s="45">
        <v>-11848339.393578827</v>
      </c>
      <c r="F71" s="45">
        <v>-6337723.4457085943</v>
      </c>
      <c r="G71" s="45">
        <v>-1570135.6439677407</v>
      </c>
      <c r="H71" s="45">
        <v>-1729672.1012054377</v>
      </c>
      <c r="I71" s="45">
        <v>-1065706.1352149991</v>
      </c>
      <c r="J71" s="45">
        <v>-796869.87522869289</v>
      </c>
      <c r="K71" s="45">
        <v>0</v>
      </c>
      <c r="L71" s="45">
        <v>-307376.5700426852</v>
      </c>
      <c r="M71" s="45">
        <v>0</v>
      </c>
      <c r="N71" s="45">
        <v>-36768.531342742644</v>
      </c>
      <c r="O71" s="45">
        <v>-4087.0908679372724</v>
      </c>
      <c r="P71" s="38"/>
      <c r="Q71" s="45">
        <v>-743822.88392765552</v>
      </c>
      <c r="R71" s="45">
        <v>-1859.9816161801957</v>
      </c>
      <c r="S71" s="45">
        <v>-51187.009684857163</v>
      </c>
    </row>
    <row r="72" spans="1:19">
      <c r="A72" s="37">
        <v>65</v>
      </c>
      <c r="B72" s="44">
        <v>111.01</v>
      </c>
      <c r="C72" s="37" t="s">
        <v>170</v>
      </c>
      <c r="D72" s="38" t="s">
        <v>93</v>
      </c>
      <c r="E72" s="45">
        <v>-15836820.280835493</v>
      </c>
      <c r="F72" s="45">
        <v>-10538781.844710961</v>
      </c>
      <c r="G72" s="45">
        <v>-1879325.3455122449</v>
      </c>
      <c r="H72" s="45">
        <v>-1492274.2190877749</v>
      </c>
      <c r="I72" s="45">
        <v>-635538.01948306058</v>
      </c>
      <c r="J72" s="45">
        <v>-706386.51222308271</v>
      </c>
      <c r="K72" s="45">
        <v>-158170.56466577778</v>
      </c>
      <c r="L72" s="45">
        <v>-85289.492997183726</v>
      </c>
      <c r="M72" s="45">
        <v>-28999.040991016333</v>
      </c>
      <c r="N72" s="45">
        <v>-307159.65262031672</v>
      </c>
      <c r="O72" s="45">
        <v>-4895.5885440727852</v>
      </c>
      <c r="P72" s="38"/>
      <c r="Q72" s="45">
        <v>-561478.40954313951</v>
      </c>
      <c r="R72" s="45">
        <v>-6397.9508933827192</v>
      </c>
      <c r="S72" s="45">
        <v>-138510.15178656043</v>
      </c>
    </row>
    <row r="73" spans="1:19">
      <c r="A73" s="37">
        <v>66</v>
      </c>
      <c r="B73" s="44">
        <v>111.02</v>
      </c>
      <c r="C73" s="37" t="s">
        <v>171</v>
      </c>
      <c r="D73" s="38" t="s">
        <v>95</v>
      </c>
      <c r="E73" s="45">
        <v>-144966978.84228876</v>
      </c>
      <c r="F73" s="45">
        <v>-88896251.837847799</v>
      </c>
      <c r="G73" s="45">
        <v>-17560521.446895696</v>
      </c>
      <c r="H73" s="45">
        <v>-15881383.724524871</v>
      </c>
      <c r="I73" s="45">
        <v>-8855768.6597848125</v>
      </c>
      <c r="J73" s="45">
        <v>-7468093.0663228538</v>
      </c>
      <c r="K73" s="45">
        <v>-768381.10343264451</v>
      </c>
      <c r="L73" s="45">
        <v>-2202985.8544521257</v>
      </c>
      <c r="M73" s="45">
        <v>-1316390.5817256938</v>
      </c>
      <c r="N73" s="45">
        <v>-1975245.901925772</v>
      </c>
      <c r="O73" s="45">
        <v>-41956.665376547273</v>
      </c>
      <c r="P73" s="38"/>
      <c r="Q73" s="45">
        <v>-6639584.0042460449</v>
      </c>
      <c r="R73" s="45">
        <v>-33452.956167586453</v>
      </c>
      <c r="S73" s="45">
        <v>-795056.10590922262</v>
      </c>
    </row>
    <row r="74" spans="1:19">
      <c r="A74" s="46">
        <v>67</v>
      </c>
      <c r="B74" s="47"/>
      <c r="C74" s="46" t="s">
        <v>96</v>
      </c>
      <c r="D74" s="48"/>
      <c r="E74" s="49">
        <v>-172652138.51670307</v>
      </c>
      <c r="F74" s="49">
        <v>-105772757.12826735</v>
      </c>
      <c r="G74" s="49">
        <v>-21009982.436375681</v>
      </c>
      <c r="H74" s="49">
        <v>-19103330.044818081</v>
      </c>
      <c r="I74" s="49">
        <v>-10557012.814482871</v>
      </c>
      <c r="J74" s="49">
        <v>-8971349.4537746292</v>
      </c>
      <c r="K74" s="49">
        <v>-926551.66809842223</v>
      </c>
      <c r="L74" s="49">
        <v>-2595651.9174919948</v>
      </c>
      <c r="M74" s="49">
        <v>-1345389.6227167102</v>
      </c>
      <c r="N74" s="49">
        <v>-2319174.0858888314</v>
      </c>
      <c r="O74" s="49">
        <v>-50939.344788557326</v>
      </c>
      <c r="P74" s="38"/>
      <c r="Q74" s="49">
        <v>-7944885.2977168402</v>
      </c>
      <c r="R74" s="49">
        <v>-41710.888677149371</v>
      </c>
      <c r="S74" s="49">
        <v>-984753.26738064014</v>
      </c>
    </row>
    <row r="75" spans="1:19">
      <c r="A75" s="37">
        <v>68</v>
      </c>
      <c r="B75" s="44"/>
      <c r="C75" s="37"/>
      <c r="D75" s="38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38"/>
      <c r="Q75" s="45"/>
      <c r="R75" s="45"/>
      <c r="S75" s="45"/>
    </row>
    <row r="76" spans="1:19">
      <c r="A76" s="37">
        <v>69</v>
      </c>
      <c r="B76" s="44"/>
      <c r="C76" s="43" t="s">
        <v>97</v>
      </c>
      <c r="D76" s="38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38"/>
      <c r="Q76" s="45"/>
      <c r="R76" s="45"/>
      <c r="S76" s="45"/>
    </row>
    <row r="77" spans="1:19">
      <c r="A77" s="37">
        <v>70</v>
      </c>
      <c r="B77" s="44">
        <v>108.01</v>
      </c>
      <c r="C77" s="37" t="s">
        <v>172</v>
      </c>
      <c r="D77" s="38" t="s">
        <v>173</v>
      </c>
      <c r="E77" s="45">
        <v>-945433620.17765331</v>
      </c>
      <c r="F77" s="45">
        <v>-505716170.16713393</v>
      </c>
      <c r="G77" s="45">
        <v>-125288361.24080732</v>
      </c>
      <c r="H77" s="45">
        <v>-138018510.61501378</v>
      </c>
      <c r="I77" s="45">
        <v>-85037605.354881495</v>
      </c>
      <c r="J77" s="45">
        <v>-63585920.855396345</v>
      </c>
      <c r="K77" s="45">
        <v>0</v>
      </c>
      <c r="L77" s="45">
        <v>-24526993.506848559</v>
      </c>
      <c r="M77" s="45">
        <v>0</v>
      </c>
      <c r="N77" s="45">
        <v>-2933930.6160341729</v>
      </c>
      <c r="O77" s="45">
        <v>-326127.82153785072</v>
      </c>
      <c r="P77" s="38"/>
      <c r="Q77" s="45">
        <v>-59353056.876799293</v>
      </c>
      <c r="R77" s="45">
        <v>-148416.50753202874</v>
      </c>
      <c r="S77" s="45">
        <v>-4084447.4710650211</v>
      </c>
    </row>
    <row r="78" spans="1:19">
      <c r="A78" s="37">
        <v>71</v>
      </c>
      <c r="B78" s="44">
        <v>108.02</v>
      </c>
      <c r="C78" s="37" t="s">
        <v>174</v>
      </c>
      <c r="D78" s="38" t="s">
        <v>173</v>
      </c>
      <c r="E78" s="45">
        <v>-183522621.94999999</v>
      </c>
      <c r="F78" s="45">
        <v>-98166973.89515838</v>
      </c>
      <c r="G78" s="45">
        <v>-24320320.394795272</v>
      </c>
      <c r="H78" s="45">
        <v>-26791430.307864074</v>
      </c>
      <c r="I78" s="45">
        <v>-16507054.504942058</v>
      </c>
      <c r="J78" s="45">
        <v>-12342965.878762333</v>
      </c>
      <c r="K78" s="45">
        <v>0</v>
      </c>
      <c r="L78" s="45">
        <v>-4761051.5015127724</v>
      </c>
      <c r="M78" s="45">
        <v>0</v>
      </c>
      <c r="N78" s="45">
        <v>-569519.24258076737</v>
      </c>
      <c r="O78" s="45">
        <v>-63306.224384342793</v>
      </c>
      <c r="P78" s="38"/>
      <c r="Q78" s="45">
        <v>-11521304.495952751</v>
      </c>
      <c r="R78" s="45">
        <v>-28809.835002294156</v>
      </c>
      <c r="S78" s="45">
        <v>-792851.54780728719</v>
      </c>
    </row>
    <row r="79" spans="1:19">
      <c r="A79" s="37">
        <v>72</v>
      </c>
      <c r="B79" s="44">
        <v>108.03</v>
      </c>
      <c r="C79" s="37" t="s">
        <v>175</v>
      </c>
      <c r="D79" s="38" t="s">
        <v>173</v>
      </c>
      <c r="E79" s="45">
        <v>-789161667.84000003</v>
      </c>
      <c r="F79" s="45">
        <v>-422125686.86499709</v>
      </c>
      <c r="G79" s="45">
        <v>-104579285.11063215</v>
      </c>
      <c r="H79" s="45">
        <v>-115205251.54295912</v>
      </c>
      <c r="I79" s="45">
        <v>-70981628.999366313</v>
      </c>
      <c r="J79" s="45">
        <v>-53075721.322410502</v>
      </c>
      <c r="K79" s="45">
        <v>0</v>
      </c>
      <c r="L79" s="45">
        <v>-20472894.859956834</v>
      </c>
      <c r="M79" s="45">
        <v>0</v>
      </c>
      <c r="N79" s="45">
        <v>-2448977.4097956214</v>
      </c>
      <c r="O79" s="45">
        <v>-272221.72988250095</v>
      </c>
      <c r="P79" s="38"/>
      <c r="Q79" s="45">
        <v>-49542512.934431002</v>
      </c>
      <c r="R79" s="45">
        <v>-123884.55003002244</v>
      </c>
      <c r="S79" s="45">
        <v>-3409323.8379494739</v>
      </c>
    </row>
    <row r="80" spans="1:19">
      <c r="A80" s="46">
        <v>73</v>
      </c>
      <c r="B80" s="47"/>
      <c r="C80" s="46" t="s">
        <v>96</v>
      </c>
      <c r="D80" s="48"/>
      <c r="E80" s="49">
        <v>-1918117909.9676533</v>
      </c>
      <c r="F80" s="49">
        <v>-1026008830.9272895</v>
      </c>
      <c r="G80" s="49">
        <v>-254187966.74623474</v>
      </c>
      <c r="H80" s="49">
        <v>-280015192.465837</v>
      </c>
      <c r="I80" s="49">
        <v>-172526288.85918987</v>
      </c>
      <c r="J80" s="49">
        <v>-129004608.05656919</v>
      </c>
      <c r="K80" s="49">
        <v>0</v>
      </c>
      <c r="L80" s="49">
        <v>-49760939.86831817</v>
      </c>
      <c r="M80" s="49">
        <v>0</v>
      </c>
      <c r="N80" s="49">
        <v>-5952427.2684105616</v>
      </c>
      <c r="O80" s="49">
        <v>-661655.77580469451</v>
      </c>
      <c r="P80" s="38"/>
      <c r="Q80" s="49">
        <v>-120416874.30718304</v>
      </c>
      <c r="R80" s="49">
        <v>-301110.89256434533</v>
      </c>
      <c r="S80" s="49">
        <v>-8286622.8568217829</v>
      </c>
    </row>
    <row r="81" spans="1:19">
      <c r="A81" s="37">
        <v>74</v>
      </c>
      <c r="B81" s="44"/>
      <c r="C81" s="37"/>
      <c r="D81" s="38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38"/>
      <c r="Q81" s="45"/>
      <c r="R81" s="45"/>
      <c r="S81" s="45"/>
    </row>
    <row r="82" spans="1:19">
      <c r="A82" s="37">
        <v>75</v>
      </c>
      <c r="B82" s="44"/>
      <c r="C82" s="43" t="s">
        <v>176</v>
      </c>
      <c r="D82" s="38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38"/>
      <c r="Q82" s="45"/>
      <c r="R82" s="45"/>
      <c r="S82" s="45"/>
    </row>
    <row r="83" spans="1:19">
      <c r="A83" s="37">
        <v>76</v>
      </c>
      <c r="B83" s="44" t="s">
        <v>177</v>
      </c>
      <c r="C83" s="37" t="s">
        <v>178</v>
      </c>
      <c r="D83" s="38" t="s">
        <v>103</v>
      </c>
      <c r="E83" s="45">
        <v>-350429027.58999997</v>
      </c>
      <c r="F83" s="45">
        <v>-170232077.19951326</v>
      </c>
      <c r="G83" s="45">
        <v>-42151456.968332291</v>
      </c>
      <c r="H83" s="45">
        <v>-46424858.239456102</v>
      </c>
      <c r="I83" s="45">
        <v>-28574419.187243953</v>
      </c>
      <c r="J83" s="45">
        <v>-21359167.871198464</v>
      </c>
      <c r="K83" s="45">
        <v>-4869797.5201537544</v>
      </c>
      <c r="L83" s="45">
        <v>-8233323.7120591672</v>
      </c>
      <c r="M83" s="45">
        <v>-27489436.012646243</v>
      </c>
      <c r="N83" s="45">
        <v>-984719.22444695048</v>
      </c>
      <c r="O83" s="45">
        <v>-109771.65494986725</v>
      </c>
      <c r="P83" s="38"/>
      <c r="Q83" s="45">
        <v>-19945313.569299642</v>
      </c>
      <c r="R83" s="45">
        <v>-49577.808069220293</v>
      </c>
      <c r="S83" s="45">
        <v>-1364276.493829601</v>
      </c>
    </row>
    <row r="84" spans="1:19">
      <c r="A84" s="37">
        <v>77</v>
      </c>
      <c r="B84" s="44" t="s">
        <v>179</v>
      </c>
      <c r="C84" s="37" t="s">
        <v>180</v>
      </c>
      <c r="D84" s="38" t="s">
        <v>91</v>
      </c>
      <c r="E84" s="45">
        <v>-54625781.700000003</v>
      </c>
      <c r="F84" s="45">
        <v>-29219545.95661509</v>
      </c>
      <c r="G84" s="45">
        <v>-7238979.5799783953</v>
      </c>
      <c r="H84" s="45">
        <v>-7974509.1252394626</v>
      </c>
      <c r="I84" s="45">
        <v>-4913349.3534254003</v>
      </c>
      <c r="J84" s="45">
        <v>-3673902.1732564121</v>
      </c>
      <c r="K84" s="45">
        <v>0</v>
      </c>
      <c r="L84" s="45">
        <v>-1417134.0689266671</v>
      </c>
      <c r="M84" s="45">
        <v>0</v>
      </c>
      <c r="N84" s="45">
        <v>-169518.25060368999</v>
      </c>
      <c r="O84" s="45">
        <v>-18843.191954899634</v>
      </c>
      <c r="P84" s="38"/>
      <c r="Q84" s="45">
        <v>-3429333.4391583088</v>
      </c>
      <c r="R84" s="45">
        <v>-8575.2902880665279</v>
      </c>
      <c r="S84" s="45">
        <v>-235993.44381003705</v>
      </c>
    </row>
    <row r="85" spans="1:19">
      <c r="A85" s="37">
        <v>78</v>
      </c>
      <c r="B85" s="44" t="s">
        <v>181</v>
      </c>
      <c r="C85" s="37" t="s">
        <v>182</v>
      </c>
      <c r="D85" s="38" t="s">
        <v>183</v>
      </c>
      <c r="E85" s="45">
        <v>-290302.02743650158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-290302.02743650158</v>
      </c>
      <c r="N85" s="45">
        <v>0</v>
      </c>
      <c r="O85" s="45">
        <v>0</v>
      </c>
      <c r="P85" s="38"/>
      <c r="Q85" s="45">
        <v>0</v>
      </c>
      <c r="R85" s="45">
        <v>0</v>
      </c>
      <c r="S85" s="45">
        <v>0</v>
      </c>
    </row>
    <row r="86" spans="1:19">
      <c r="A86" s="37">
        <v>79</v>
      </c>
      <c r="B86" s="44" t="s">
        <v>184</v>
      </c>
      <c r="C86" s="37" t="s">
        <v>185</v>
      </c>
      <c r="D86" s="38" t="s">
        <v>91</v>
      </c>
      <c r="E86" s="45">
        <v>-114357079.75</v>
      </c>
      <c r="F86" s="45">
        <v>-61170052.733898386</v>
      </c>
      <c r="G86" s="45">
        <v>-15154539.475198224</v>
      </c>
      <c r="H86" s="45">
        <v>-16694343.726015948</v>
      </c>
      <c r="I86" s="45">
        <v>-10285917.498353701</v>
      </c>
      <c r="J86" s="45">
        <v>-7691180.0755206728</v>
      </c>
      <c r="K86" s="45">
        <v>0</v>
      </c>
      <c r="L86" s="45">
        <v>-2966718.4375814409</v>
      </c>
      <c r="M86" s="45">
        <v>0</v>
      </c>
      <c r="N86" s="45">
        <v>-354880.26898783317</v>
      </c>
      <c r="O86" s="45">
        <v>-39447.534443814016</v>
      </c>
      <c r="P86" s="38"/>
      <c r="Q86" s="45">
        <v>-7179184.3592266329</v>
      </c>
      <c r="R86" s="45">
        <v>-17952.057157505616</v>
      </c>
      <c r="S86" s="45">
        <v>-494043.65913653455</v>
      </c>
    </row>
    <row r="87" spans="1:19">
      <c r="A87" s="46">
        <v>80</v>
      </c>
      <c r="B87" s="47"/>
      <c r="C87" s="46" t="s">
        <v>96</v>
      </c>
      <c r="D87" s="48"/>
      <c r="E87" s="49">
        <v>-519702191.06743646</v>
      </c>
      <c r="F87" s="49">
        <v>-260621675.89002675</v>
      </c>
      <c r="G87" s="49">
        <v>-64544976.023508906</v>
      </c>
      <c r="H87" s="49">
        <v>-71093711.090711504</v>
      </c>
      <c r="I87" s="49">
        <v>-43773686.039023057</v>
      </c>
      <c r="J87" s="49">
        <v>-32724250.119975548</v>
      </c>
      <c r="K87" s="49">
        <v>-4869797.5201537544</v>
      </c>
      <c r="L87" s="49">
        <v>-12617176.218567275</v>
      </c>
      <c r="M87" s="49">
        <v>-27779738.040082745</v>
      </c>
      <c r="N87" s="49">
        <v>-1509117.7440384738</v>
      </c>
      <c r="O87" s="49">
        <v>-168062.38134858091</v>
      </c>
      <c r="P87" s="38"/>
      <c r="Q87" s="49">
        <v>-30553831.367684584</v>
      </c>
      <c r="R87" s="49">
        <v>-76105.155514792437</v>
      </c>
      <c r="S87" s="49">
        <v>-2094313.5967761725</v>
      </c>
    </row>
    <row r="88" spans="1:19">
      <c r="A88" s="37">
        <v>81</v>
      </c>
      <c r="B88" s="44"/>
      <c r="C88" s="37"/>
      <c r="D88" s="38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38"/>
      <c r="Q88" s="45"/>
      <c r="R88" s="45"/>
      <c r="S88" s="45"/>
    </row>
    <row r="89" spans="1:19">
      <c r="A89" s="37">
        <v>82</v>
      </c>
      <c r="B89" s="44"/>
      <c r="C89" s="43" t="s">
        <v>108</v>
      </c>
      <c r="D89" s="38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38"/>
      <c r="Q89" s="45"/>
      <c r="R89" s="45"/>
      <c r="S89" s="45"/>
    </row>
    <row r="90" spans="1:19">
      <c r="A90" s="37">
        <v>83</v>
      </c>
      <c r="B90" s="44" t="s">
        <v>186</v>
      </c>
      <c r="C90" s="37" t="s">
        <v>187</v>
      </c>
      <c r="D90" s="38" t="s">
        <v>188</v>
      </c>
      <c r="E90" s="45">
        <v>-12148.752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5">
        <v>0</v>
      </c>
      <c r="L90" s="45">
        <v>-12148.752</v>
      </c>
      <c r="M90" s="45">
        <v>0</v>
      </c>
      <c r="N90" s="45">
        <v>0</v>
      </c>
      <c r="O90" s="45">
        <v>0</v>
      </c>
      <c r="P90" s="38"/>
      <c r="Q90" s="45">
        <v>0</v>
      </c>
      <c r="R90" s="45">
        <v>0</v>
      </c>
      <c r="S90" s="45">
        <v>0</v>
      </c>
    </row>
    <row r="91" spans="1:19">
      <c r="A91" s="37">
        <v>84</v>
      </c>
      <c r="B91" s="44" t="s">
        <v>189</v>
      </c>
      <c r="C91" s="37" t="s">
        <v>190</v>
      </c>
      <c r="D91" s="38" t="s">
        <v>112</v>
      </c>
      <c r="E91" s="45">
        <v>-3385851.2480000001</v>
      </c>
      <c r="F91" s="45">
        <v>-1536714.3043749435</v>
      </c>
      <c r="G91" s="45">
        <v>-495399.86428581859</v>
      </c>
      <c r="H91" s="45">
        <v>-644531.56114183192</v>
      </c>
      <c r="I91" s="45">
        <v>-378796.5244031999</v>
      </c>
      <c r="J91" s="45">
        <v>-328020.58619396033</v>
      </c>
      <c r="K91" s="45">
        <v>0</v>
      </c>
      <c r="L91" s="45">
        <v>0</v>
      </c>
      <c r="M91" s="45">
        <v>0</v>
      </c>
      <c r="N91" s="45">
        <v>-2181.1049042825821</v>
      </c>
      <c r="O91" s="45">
        <v>-207.30269596317845</v>
      </c>
      <c r="P91" s="38"/>
      <c r="Q91" s="45">
        <v>-312002.0550782698</v>
      </c>
      <c r="R91" s="45">
        <v>-68.296062896354968</v>
      </c>
      <c r="S91" s="45">
        <v>-15950.235052794173</v>
      </c>
    </row>
    <row r="92" spans="1:19">
      <c r="A92" s="37">
        <v>85</v>
      </c>
      <c r="B92" s="44" t="s">
        <v>191</v>
      </c>
      <c r="C92" s="37" t="s">
        <v>113</v>
      </c>
      <c r="D92" s="38" t="s">
        <v>192</v>
      </c>
      <c r="E92" s="45">
        <v>-224950.76187036239</v>
      </c>
      <c r="F92" s="45">
        <v>0</v>
      </c>
      <c r="G92" s="45">
        <v>0</v>
      </c>
      <c r="H92" s="45">
        <v>0</v>
      </c>
      <c r="I92" s="45">
        <v>0</v>
      </c>
      <c r="J92" s="45">
        <v>-10967.308000000001</v>
      </c>
      <c r="K92" s="45">
        <v>-55355.910287562372</v>
      </c>
      <c r="L92" s="45">
        <v>-57917.228582800002</v>
      </c>
      <c r="M92" s="45">
        <v>-100710.315</v>
      </c>
      <c r="N92" s="45">
        <v>0</v>
      </c>
      <c r="O92" s="45">
        <v>0</v>
      </c>
      <c r="P92" s="38"/>
      <c r="Q92" s="45">
        <v>-10967.308000000001</v>
      </c>
      <c r="R92" s="45">
        <v>0</v>
      </c>
      <c r="S92" s="45">
        <v>0</v>
      </c>
    </row>
    <row r="93" spans="1:19">
      <c r="A93" s="37">
        <v>86</v>
      </c>
      <c r="B93" s="44" t="s">
        <v>193</v>
      </c>
      <c r="C93" s="37" t="s">
        <v>115</v>
      </c>
      <c r="D93" s="38" t="s">
        <v>116</v>
      </c>
      <c r="E93" s="45">
        <v>-2359357.5781296375</v>
      </c>
      <c r="F93" s="45">
        <v>-1201084.4080433501</v>
      </c>
      <c r="G93" s="45">
        <v>-330639.6430610838</v>
      </c>
      <c r="H93" s="45">
        <v>-410647.52759583568</v>
      </c>
      <c r="I93" s="45">
        <v>-238826.33555678526</v>
      </c>
      <c r="J93" s="45">
        <v>-176066.10476352175</v>
      </c>
      <c r="K93" s="45">
        <v>0</v>
      </c>
      <c r="L93" s="45">
        <v>0</v>
      </c>
      <c r="M93" s="45">
        <v>0</v>
      </c>
      <c r="N93" s="45">
        <v>-1825.0448096496202</v>
      </c>
      <c r="O93" s="45">
        <v>-268.51429941131732</v>
      </c>
      <c r="P93" s="38"/>
      <c r="Q93" s="45">
        <v>-156789.50583010065</v>
      </c>
      <c r="R93" s="45">
        <v>-0.34097053893500606</v>
      </c>
      <c r="S93" s="45">
        <v>-19276.25796288217</v>
      </c>
    </row>
    <row r="94" spans="1:19">
      <c r="A94" s="37">
        <v>87</v>
      </c>
      <c r="B94" s="44" t="s">
        <v>194</v>
      </c>
      <c r="C94" s="37" t="s">
        <v>117</v>
      </c>
      <c r="D94" s="38" t="s">
        <v>195</v>
      </c>
      <c r="E94" s="45">
        <v>-11302572.919115141</v>
      </c>
      <c r="F94" s="45">
        <v>0</v>
      </c>
      <c r="G94" s="45">
        <v>0</v>
      </c>
      <c r="H94" s="45">
        <v>0</v>
      </c>
      <c r="I94" s="45">
        <v>0</v>
      </c>
      <c r="J94" s="45">
        <v>-698898.21200000006</v>
      </c>
      <c r="K94" s="45">
        <v>-2831561.1025523432</v>
      </c>
      <c r="L94" s="45">
        <v>-4407970.1745627997</v>
      </c>
      <c r="M94" s="45">
        <v>-3364143.4299999997</v>
      </c>
      <c r="N94" s="45">
        <v>0</v>
      </c>
      <c r="O94" s="45">
        <v>0</v>
      </c>
      <c r="P94" s="38"/>
      <c r="Q94" s="45">
        <v>-698898.21200000006</v>
      </c>
      <c r="R94" s="45">
        <v>0</v>
      </c>
      <c r="S94" s="45">
        <v>0</v>
      </c>
    </row>
    <row r="95" spans="1:19">
      <c r="A95" s="37">
        <v>88</v>
      </c>
      <c r="B95" s="44" t="s">
        <v>196</v>
      </c>
      <c r="C95" s="37" t="s">
        <v>119</v>
      </c>
      <c r="D95" s="38" t="s">
        <v>120</v>
      </c>
      <c r="E95" s="45">
        <v>-125785408.52088486</v>
      </c>
      <c r="F95" s="45">
        <v>-70212880.607498392</v>
      </c>
      <c r="G95" s="45">
        <v>-16975645.495590549</v>
      </c>
      <c r="H95" s="45">
        <v>-18652663.339312535</v>
      </c>
      <c r="I95" s="45">
        <v>-9924926.8620978817</v>
      </c>
      <c r="J95" s="45">
        <v>-9883228.5372580774</v>
      </c>
      <c r="K95" s="45">
        <v>0</v>
      </c>
      <c r="L95" s="45">
        <v>0</v>
      </c>
      <c r="M95" s="45">
        <v>0</v>
      </c>
      <c r="N95" s="45">
        <v>-101473.98719134509</v>
      </c>
      <c r="O95" s="45">
        <v>-34589.691936071831</v>
      </c>
      <c r="P95" s="38"/>
      <c r="Q95" s="45">
        <v>-8836019.5466977023</v>
      </c>
      <c r="R95" s="45">
        <v>-32490.010220808912</v>
      </c>
      <c r="S95" s="45">
        <v>-1014718.9803395653</v>
      </c>
    </row>
    <row r="96" spans="1:19">
      <c r="A96" s="37">
        <v>89</v>
      </c>
      <c r="B96" s="44" t="s">
        <v>197</v>
      </c>
      <c r="C96" s="37" t="s">
        <v>121</v>
      </c>
      <c r="D96" s="38" t="s">
        <v>120</v>
      </c>
      <c r="E96" s="45">
        <v>-124550.5</v>
      </c>
      <c r="F96" s="45">
        <v>-69523.559917939448</v>
      </c>
      <c r="G96" s="45">
        <v>-16808.985709558652</v>
      </c>
      <c r="H96" s="45">
        <v>-18469.539293640028</v>
      </c>
      <c r="I96" s="45">
        <v>-9827.4880820733397</v>
      </c>
      <c r="J96" s="45">
        <v>-9786.199133943097</v>
      </c>
      <c r="K96" s="45">
        <v>0</v>
      </c>
      <c r="L96" s="45">
        <v>0</v>
      </c>
      <c r="M96" s="45">
        <v>0</v>
      </c>
      <c r="N96" s="45">
        <v>-100.47775803484522</v>
      </c>
      <c r="O96" s="45">
        <v>-34.250104810594202</v>
      </c>
      <c r="P96" s="38"/>
      <c r="Q96" s="45">
        <v>-8749.2712031717492</v>
      </c>
      <c r="R96" s="45">
        <v>-32.171036892049152</v>
      </c>
      <c r="S96" s="45">
        <v>-1004.7568938792994</v>
      </c>
    </row>
    <row r="97" spans="1:19">
      <c r="A97" s="37">
        <v>90</v>
      </c>
      <c r="B97" s="44" t="s">
        <v>198</v>
      </c>
      <c r="C97" s="37" t="s">
        <v>122</v>
      </c>
      <c r="D97" s="38" t="s">
        <v>123</v>
      </c>
      <c r="E97" s="45">
        <v>-162034640.26344213</v>
      </c>
      <c r="F97" s="45">
        <v>-111676388.80461814</v>
      </c>
      <c r="G97" s="45">
        <v>-20405201.18449055</v>
      </c>
      <c r="H97" s="45">
        <v>-15863605.192807861</v>
      </c>
      <c r="I97" s="45">
        <v>-6275393.5942412158</v>
      </c>
      <c r="J97" s="45">
        <v>-7604101.3411001116</v>
      </c>
      <c r="K97" s="45">
        <v>0</v>
      </c>
      <c r="L97" s="45">
        <v>0</v>
      </c>
      <c r="M97" s="45">
        <v>0</v>
      </c>
      <c r="N97" s="45">
        <v>-98139.486937275098</v>
      </c>
      <c r="O97" s="45">
        <v>-111810.65924694526</v>
      </c>
      <c r="P97" s="38"/>
      <c r="Q97" s="45">
        <v>-5874047.0357216131</v>
      </c>
      <c r="R97" s="45">
        <v>-147127.85438025984</v>
      </c>
      <c r="S97" s="45">
        <v>-1582926.4509982381</v>
      </c>
    </row>
    <row r="98" spans="1:19">
      <c r="A98" s="37">
        <v>91</v>
      </c>
      <c r="B98" s="44" t="s">
        <v>199</v>
      </c>
      <c r="C98" s="37" t="s">
        <v>200</v>
      </c>
      <c r="D98" s="38" t="s">
        <v>201</v>
      </c>
      <c r="E98" s="45">
        <v>-52160.692154439777</v>
      </c>
      <c r="F98" s="45">
        <v>0</v>
      </c>
      <c r="G98" s="45">
        <v>0</v>
      </c>
      <c r="H98" s="45">
        <v>0</v>
      </c>
      <c r="I98" s="45">
        <v>0</v>
      </c>
      <c r="J98" s="45">
        <v>0</v>
      </c>
      <c r="K98" s="45">
        <v>-52160.692154439777</v>
      </c>
      <c r="L98" s="45">
        <v>0</v>
      </c>
      <c r="M98" s="45">
        <v>0</v>
      </c>
      <c r="N98" s="45">
        <v>0</v>
      </c>
      <c r="O98" s="45">
        <v>0</v>
      </c>
      <c r="P98" s="38"/>
      <c r="Q98" s="45">
        <v>0</v>
      </c>
      <c r="R98" s="45">
        <v>0</v>
      </c>
      <c r="S98" s="45">
        <v>0</v>
      </c>
    </row>
    <row r="99" spans="1:19">
      <c r="A99" s="37">
        <v>92</v>
      </c>
      <c r="B99" s="44" t="s">
        <v>202</v>
      </c>
      <c r="C99" s="37" t="s">
        <v>126</v>
      </c>
      <c r="D99" s="38" t="s">
        <v>123</v>
      </c>
      <c r="E99" s="45">
        <v>-132600664.17376271</v>
      </c>
      <c r="F99" s="45">
        <v>-91390108.336981013</v>
      </c>
      <c r="G99" s="45">
        <v>-16698548.071348172</v>
      </c>
      <c r="H99" s="45">
        <v>-12981943.745711921</v>
      </c>
      <c r="I99" s="45">
        <v>-5135453.4881878737</v>
      </c>
      <c r="J99" s="45">
        <v>-6222798.3265499724</v>
      </c>
      <c r="K99" s="45">
        <v>0</v>
      </c>
      <c r="L99" s="45">
        <v>0</v>
      </c>
      <c r="M99" s="45">
        <v>0</v>
      </c>
      <c r="N99" s="45">
        <v>-80312.216748204984</v>
      </c>
      <c r="O99" s="45">
        <v>-91499.988235517128</v>
      </c>
      <c r="P99" s="38"/>
      <c r="Q99" s="45">
        <v>-4807012.4823817816</v>
      </c>
      <c r="R99" s="45">
        <v>-120401.73124440681</v>
      </c>
      <c r="S99" s="45">
        <v>-1295384.1129237839</v>
      </c>
    </row>
    <row r="100" spans="1:19">
      <c r="A100" s="37">
        <v>93</v>
      </c>
      <c r="B100" s="44" t="s">
        <v>203</v>
      </c>
      <c r="C100" s="37" t="s">
        <v>204</v>
      </c>
      <c r="D100" s="38" t="s">
        <v>205</v>
      </c>
      <c r="E100" s="45">
        <v>-15897826.552200768</v>
      </c>
      <c r="F100" s="45">
        <v>0</v>
      </c>
      <c r="G100" s="45">
        <v>0</v>
      </c>
      <c r="H100" s="45">
        <v>0</v>
      </c>
      <c r="I100" s="45">
        <v>0</v>
      </c>
      <c r="J100" s="45">
        <v>0</v>
      </c>
      <c r="K100" s="45">
        <v>-13917717.100486483</v>
      </c>
      <c r="L100" s="45">
        <v>-1954966.5945714284</v>
      </c>
      <c r="M100" s="45">
        <v>-25142.857142857145</v>
      </c>
      <c r="N100" s="45">
        <v>0</v>
      </c>
      <c r="O100" s="45">
        <v>0</v>
      </c>
      <c r="P100" s="38"/>
      <c r="Q100" s="45">
        <v>0</v>
      </c>
      <c r="R100" s="45">
        <v>0</v>
      </c>
      <c r="S100" s="45">
        <v>0</v>
      </c>
    </row>
    <row r="101" spans="1:19">
      <c r="A101" s="37">
        <v>94</v>
      </c>
      <c r="B101" s="44" t="s">
        <v>206</v>
      </c>
      <c r="C101" s="37" t="s">
        <v>207</v>
      </c>
      <c r="D101" s="38" t="s">
        <v>130</v>
      </c>
      <c r="E101" s="45">
        <v>-274914988.11086798</v>
      </c>
      <c r="F101" s="45">
        <v>-185016284.2064971</v>
      </c>
      <c r="G101" s="45">
        <v>-32967638.387659524</v>
      </c>
      <c r="H101" s="45">
        <v>-30764706.547002159</v>
      </c>
      <c r="I101" s="45">
        <v>-13357182.76454032</v>
      </c>
      <c r="J101" s="45">
        <v>-12607149.906415518</v>
      </c>
      <c r="K101" s="45">
        <v>0</v>
      </c>
      <c r="L101" s="45">
        <v>0</v>
      </c>
      <c r="M101" s="45">
        <v>0</v>
      </c>
      <c r="N101" s="45">
        <v>-126777.63686951439</v>
      </c>
      <c r="O101" s="45">
        <v>-75248.661883840789</v>
      </c>
      <c r="P101" s="38"/>
      <c r="Q101" s="45">
        <v>-9527407.5707638301</v>
      </c>
      <c r="R101" s="45">
        <v>-113145.63290505047</v>
      </c>
      <c r="S101" s="45">
        <v>-2966596.7027466362</v>
      </c>
    </row>
    <row r="102" spans="1:19">
      <c r="A102" s="37">
        <v>95</v>
      </c>
      <c r="B102" s="44" t="s">
        <v>208</v>
      </c>
      <c r="C102" s="37" t="s">
        <v>209</v>
      </c>
      <c r="D102" s="38" t="s">
        <v>130</v>
      </c>
      <c r="E102" s="45">
        <v>-387170816.60218024</v>
      </c>
      <c r="F102" s="45">
        <v>-260563843.14718542</v>
      </c>
      <c r="G102" s="45">
        <v>-46429289.154827751</v>
      </c>
      <c r="H102" s="45">
        <v>-43326835.827247471</v>
      </c>
      <c r="I102" s="45">
        <v>-18811311.0674274</v>
      </c>
      <c r="J102" s="45">
        <v>-17755017.86146535</v>
      </c>
      <c r="K102" s="45">
        <v>0</v>
      </c>
      <c r="L102" s="45">
        <v>0</v>
      </c>
      <c r="M102" s="45">
        <v>0</v>
      </c>
      <c r="N102" s="45">
        <v>-178544.65313426155</v>
      </c>
      <c r="O102" s="45">
        <v>-105974.89089259393</v>
      </c>
      <c r="P102" s="38"/>
      <c r="Q102" s="45">
        <v>-13417726.674788753</v>
      </c>
      <c r="R102" s="45">
        <v>-159346.30333487858</v>
      </c>
      <c r="S102" s="45">
        <v>-4177944.8833417199</v>
      </c>
    </row>
    <row r="103" spans="1:19">
      <c r="A103" s="37">
        <v>96</v>
      </c>
      <c r="B103" s="44" t="s">
        <v>210</v>
      </c>
      <c r="C103" s="37" t="s">
        <v>211</v>
      </c>
      <c r="D103" s="38" t="s">
        <v>139</v>
      </c>
      <c r="E103" s="45">
        <v>-1245671.6795000487</v>
      </c>
      <c r="F103" s="45">
        <v>0</v>
      </c>
      <c r="G103" s="45">
        <v>0</v>
      </c>
      <c r="H103" s="45">
        <v>0</v>
      </c>
      <c r="I103" s="45">
        <v>0</v>
      </c>
      <c r="J103" s="45">
        <v>-472937.35296838998</v>
      </c>
      <c r="K103" s="45">
        <v>-762210.28315896739</v>
      </c>
      <c r="L103" s="45">
        <v>0</v>
      </c>
      <c r="M103" s="45">
        <v>0</v>
      </c>
      <c r="N103" s="45">
        <v>0</v>
      </c>
      <c r="O103" s="45">
        <v>-10524.043372691443</v>
      </c>
      <c r="P103" s="38"/>
      <c r="Q103" s="45">
        <v>-447301.82764417434</v>
      </c>
      <c r="R103" s="45">
        <v>0</v>
      </c>
      <c r="S103" s="45">
        <v>-25635.525324215665</v>
      </c>
    </row>
    <row r="104" spans="1:19">
      <c r="A104" s="37">
        <v>97</v>
      </c>
      <c r="B104" s="44" t="s">
        <v>212</v>
      </c>
      <c r="C104" s="37" t="s">
        <v>213</v>
      </c>
      <c r="D104" s="38" t="s">
        <v>134</v>
      </c>
      <c r="E104" s="45">
        <v>-72919790.162096515</v>
      </c>
      <c r="F104" s="45">
        <v>-54445797.946530081</v>
      </c>
      <c r="G104" s="45">
        <v>-8917109.7548056934</v>
      </c>
      <c r="H104" s="45">
        <v>-1303630.9331074962</v>
      </c>
      <c r="I104" s="45">
        <v>-14700.244551217334</v>
      </c>
      <c r="J104" s="45">
        <v>0</v>
      </c>
      <c r="K104" s="45">
        <v>0</v>
      </c>
      <c r="L104" s="45">
        <v>0</v>
      </c>
      <c r="M104" s="45">
        <v>0</v>
      </c>
      <c r="N104" s="45">
        <v>-8238551.2831020374</v>
      </c>
      <c r="O104" s="45">
        <v>0</v>
      </c>
      <c r="P104" s="38"/>
      <c r="Q104" s="45">
        <v>0</v>
      </c>
      <c r="R104" s="45">
        <v>0</v>
      </c>
      <c r="S104" s="45">
        <v>0</v>
      </c>
    </row>
    <row r="105" spans="1:19">
      <c r="A105" s="37">
        <v>98</v>
      </c>
      <c r="B105" s="44" t="s">
        <v>214</v>
      </c>
      <c r="C105" s="37" t="s">
        <v>215</v>
      </c>
      <c r="D105" s="38" t="s">
        <v>137</v>
      </c>
      <c r="E105" s="45">
        <v>-134995635.49589211</v>
      </c>
      <c r="F105" s="45">
        <v>-107844982.10609314</v>
      </c>
      <c r="G105" s="45">
        <v>-16672269.991726926</v>
      </c>
      <c r="H105" s="45">
        <v>-7946321.4642466092</v>
      </c>
      <c r="I105" s="45">
        <v>-2195740.8308341666</v>
      </c>
      <c r="J105" s="45">
        <v>0</v>
      </c>
      <c r="K105" s="45">
        <v>0</v>
      </c>
      <c r="L105" s="45">
        <v>0</v>
      </c>
      <c r="M105" s="45">
        <v>0</v>
      </c>
      <c r="N105" s="45">
        <v>-336321.10299126565</v>
      </c>
      <c r="O105" s="45">
        <v>0</v>
      </c>
      <c r="P105" s="38"/>
      <c r="Q105" s="45">
        <v>0</v>
      </c>
      <c r="R105" s="45">
        <v>0</v>
      </c>
      <c r="S105" s="45">
        <v>0</v>
      </c>
    </row>
    <row r="106" spans="1:19">
      <c r="A106" s="37">
        <v>99</v>
      </c>
      <c r="B106" s="44" t="s">
        <v>216</v>
      </c>
      <c r="C106" s="37" t="s">
        <v>217</v>
      </c>
      <c r="D106" s="38" t="s">
        <v>142</v>
      </c>
      <c r="E106" s="45">
        <v>-33230092.993543521</v>
      </c>
      <c r="F106" s="45">
        <v>-28677033.410749849</v>
      </c>
      <c r="G106" s="45">
        <v>-4381547.9653348895</v>
      </c>
      <c r="H106" s="45">
        <v>-167874.47194245644</v>
      </c>
      <c r="I106" s="45">
        <v>-3637.1455163266924</v>
      </c>
      <c r="J106" s="45">
        <v>0</v>
      </c>
      <c r="K106" s="45">
        <v>0</v>
      </c>
      <c r="L106" s="45">
        <v>0</v>
      </c>
      <c r="M106" s="45">
        <v>0</v>
      </c>
      <c r="N106" s="45">
        <v>0</v>
      </c>
      <c r="O106" s="45">
        <v>0</v>
      </c>
      <c r="P106" s="38"/>
      <c r="Q106" s="45">
        <v>0</v>
      </c>
      <c r="R106" s="45">
        <v>0</v>
      </c>
      <c r="S106" s="45">
        <v>0</v>
      </c>
    </row>
    <row r="107" spans="1:19">
      <c r="A107" s="37">
        <v>100</v>
      </c>
      <c r="B107" s="44" t="s">
        <v>218</v>
      </c>
      <c r="C107" s="37" t="s">
        <v>219</v>
      </c>
      <c r="D107" s="38" t="s">
        <v>145</v>
      </c>
      <c r="E107" s="45">
        <v>-93518035.343749329</v>
      </c>
      <c r="F107" s="45">
        <v>-93518035.343749329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5">
        <v>0</v>
      </c>
      <c r="M107" s="45">
        <v>0</v>
      </c>
      <c r="N107" s="45">
        <v>0</v>
      </c>
      <c r="O107" s="45">
        <v>0</v>
      </c>
      <c r="P107" s="38"/>
      <c r="Q107" s="45">
        <v>0</v>
      </c>
      <c r="R107" s="45">
        <v>0</v>
      </c>
      <c r="S107" s="45">
        <v>0</v>
      </c>
    </row>
    <row r="108" spans="1:19">
      <c r="A108" s="37">
        <v>101</v>
      </c>
      <c r="B108" s="44" t="s">
        <v>220</v>
      </c>
      <c r="C108" s="37" t="s">
        <v>146</v>
      </c>
      <c r="D108" s="38" t="s">
        <v>221</v>
      </c>
      <c r="E108" s="45">
        <v>-39213863.239287503</v>
      </c>
      <c r="F108" s="45">
        <v>-25458658.24115362</v>
      </c>
      <c r="G108" s="45">
        <v>-7145874.7784302495</v>
      </c>
      <c r="H108" s="45">
        <v>-2111863.9488710072</v>
      </c>
      <c r="I108" s="45">
        <v>-237355.39323898061</v>
      </c>
      <c r="J108" s="45">
        <v>-3771017.7206631023</v>
      </c>
      <c r="K108" s="45">
        <v>-185829.47368523726</v>
      </c>
      <c r="L108" s="45">
        <v>-115399.66048185888</v>
      </c>
      <c r="M108" s="45">
        <v>-185792.45871956355</v>
      </c>
      <c r="N108" s="45">
        <v>0</v>
      </c>
      <c r="O108" s="45">
        <v>-2071.5640438791515</v>
      </c>
      <c r="P108" s="38"/>
      <c r="Q108" s="45">
        <v>-2842995.6880319864</v>
      </c>
      <c r="R108" s="45">
        <v>-9217.8877958739613</v>
      </c>
      <c r="S108" s="45">
        <v>-918804.14483524207</v>
      </c>
    </row>
    <row r="109" spans="1:19">
      <c r="A109" s="37">
        <v>102</v>
      </c>
      <c r="B109" s="44" t="s">
        <v>222</v>
      </c>
      <c r="C109" s="37" t="s">
        <v>148</v>
      </c>
      <c r="D109" s="38" t="s">
        <v>149</v>
      </c>
      <c r="E109" s="45">
        <v>-20006963.143007282</v>
      </c>
      <c r="F109" s="45">
        <v>0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45">
        <v>0</v>
      </c>
      <c r="N109" s="45">
        <v>-20006963.143007282</v>
      </c>
      <c r="O109" s="45">
        <v>0</v>
      </c>
      <c r="P109" s="38"/>
      <c r="Q109" s="45">
        <v>0</v>
      </c>
      <c r="R109" s="45">
        <v>0</v>
      </c>
      <c r="S109" s="45">
        <v>0</v>
      </c>
    </row>
    <row r="110" spans="1:19">
      <c r="A110" s="37">
        <v>103</v>
      </c>
      <c r="B110" s="44" t="s">
        <v>223</v>
      </c>
      <c r="C110" s="37" t="s">
        <v>150</v>
      </c>
      <c r="D110" s="38" t="s">
        <v>151</v>
      </c>
      <c r="E110" s="45">
        <v>-444030</v>
      </c>
      <c r="F110" s="45">
        <v>-298018.78623877966</v>
      </c>
      <c r="G110" s="45">
        <v>-53561.218754840345</v>
      </c>
      <c r="H110" s="45">
        <v>-47105.166005616047</v>
      </c>
      <c r="I110" s="45">
        <v>-19897.601942418565</v>
      </c>
      <c r="J110" s="45">
        <v>-20302.145281023302</v>
      </c>
      <c r="K110" s="45">
        <v>-3599.6476183970626</v>
      </c>
      <c r="L110" s="45">
        <v>-1133.5346748841669</v>
      </c>
      <c r="M110" s="45">
        <v>-6.8118975275394762</v>
      </c>
      <c r="N110" s="45">
        <v>-223.77810372225809</v>
      </c>
      <c r="O110" s="45">
        <v>-181.30948279106775</v>
      </c>
      <c r="P110" s="38"/>
      <c r="Q110" s="45">
        <v>-15458.064867285086</v>
      </c>
      <c r="R110" s="45">
        <v>-253.6165966503859</v>
      </c>
      <c r="S110" s="45">
        <v>-4590.4638170878306</v>
      </c>
    </row>
    <row r="111" spans="1:19">
      <c r="A111" s="46">
        <v>104</v>
      </c>
      <c r="B111" s="47"/>
      <c r="C111" s="46" t="s">
        <v>96</v>
      </c>
      <c r="D111" s="48"/>
      <c r="E111" s="49">
        <v>-1511440018.7316847</v>
      </c>
      <c r="F111" s="49">
        <v>-1031909353.2096311</v>
      </c>
      <c r="G111" s="49">
        <v>-171489534.49602559</v>
      </c>
      <c r="H111" s="49">
        <v>-134240199.26428643</v>
      </c>
      <c r="I111" s="49">
        <v>-56603049.34061987</v>
      </c>
      <c r="J111" s="49">
        <v>-59560291.601792969</v>
      </c>
      <c r="K111" s="49">
        <v>-17808434.209943436</v>
      </c>
      <c r="L111" s="49">
        <v>-6549535.9448737707</v>
      </c>
      <c r="M111" s="49">
        <v>-3675795.872759948</v>
      </c>
      <c r="N111" s="49">
        <v>-29171413.915556874</v>
      </c>
      <c r="O111" s="49">
        <v>-432410.87619451567</v>
      </c>
      <c r="P111" s="38"/>
      <c r="Q111" s="49">
        <v>-46955375.243008673</v>
      </c>
      <c r="R111" s="49">
        <v>-582083.84454825625</v>
      </c>
      <c r="S111" s="49">
        <v>-12022832.514236046</v>
      </c>
    </row>
    <row r="112" spans="1:19">
      <c r="A112" s="37">
        <v>105</v>
      </c>
      <c r="B112" s="44"/>
      <c r="C112" s="37"/>
      <c r="D112" s="38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38"/>
      <c r="Q112" s="45"/>
      <c r="R112" s="45"/>
      <c r="S112" s="45"/>
    </row>
    <row r="113" spans="1:19">
      <c r="A113" s="37">
        <v>106</v>
      </c>
      <c r="B113" s="44"/>
      <c r="C113" s="43" t="s">
        <v>152</v>
      </c>
      <c r="D113" s="38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38"/>
      <c r="Q113" s="45"/>
      <c r="R113" s="45"/>
      <c r="S113" s="45"/>
    </row>
    <row r="114" spans="1:19">
      <c r="A114" s="37">
        <v>107</v>
      </c>
      <c r="B114" s="44">
        <v>108.06</v>
      </c>
      <c r="C114" s="37" t="s">
        <v>224</v>
      </c>
      <c r="D114" s="38" t="s">
        <v>95</v>
      </c>
      <c r="E114" s="45">
        <v>-182440491.55969805</v>
      </c>
      <c r="F114" s="45">
        <v>-111875656.18481787</v>
      </c>
      <c r="G114" s="45">
        <v>-22099861.571245596</v>
      </c>
      <c r="H114" s="45">
        <v>-19986671.975158073</v>
      </c>
      <c r="I114" s="45">
        <v>-11144957.288430456</v>
      </c>
      <c r="J114" s="45">
        <v>-9398571.8741905671</v>
      </c>
      <c r="K114" s="45">
        <v>-967005.22653467488</v>
      </c>
      <c r="L114" s="45">
        <v>-2772450.8394601634</v>
      </c>
      <c r="M114" s="45">
        <v>-1656673.448895341</v>
      </c>
      <c r="N114" s="45">
        <v>-2485840.8182091038</v>
      </c>
      <c r="O114" s="45">
        <v>-52802.332756279407</v>
      </c>
      <c r="P114" s="38"/>
      <c r="Q114" s="45">
        <v>-8355895.7988934526</v>
      </c>
      <c r="R114" s="45">
        <v>-42100.441190674312</v>
      </c>
      <c r="S114" s="45">
        <v>-1000575.6341064397</v>
      </c>
    </row>
    <row r="115" spans="1:19">
      <c r="A115" s="37">
        <v>108</v>
      </c>
      <c r="B115" s="44">
        <v>108.07</v>
      </c>
      <c r="C115" s="37" t="s">
        <v>225</v>
      </c>
      <c r="D115" s="38" t="s">
        <v>226</v>
      </c>
      <c r="E115" s="45">
        <v>14858618.090523999</v>
      </c>
      <c r="F115" s="45">
        <v>8691319.6842037868</v>
      </c>
      <c r="G115" s="45">
        <v>1856734.7220653568</v>
      </c>
      <c r="H115" s="45">
        <v>1811538.3464372107</v>
      </c>
      <c r="I115" s="45">
        <v>1005458.0209826721</v>
      </c>
      <c r="J115" s="45">
        <v>842292.73844357627</v>
      </c>
      <c r="K115" s="45">
        <v>87562.452422545684</v>
      </c>
      <c r="L115" s="45">
        <v>251624.69383528861</v>
      </c>
      <c r="M115" s="45">
        <v>157430.89340647857</v>
      </c>
      <c r="N115" s="45">
        <v>149842.71297203301</v>
      </c>
      <c r="O115" s="45">
        <v>4813.8257550548278</v>
      </c>
      <c r="P115" s="38"/>
      <c r="Q115" s="45">
        <v>748088.70696727233</v>
      </c>
      <c r="R115" s="45">
        <v>3816.4109867831162</v>
      </c>
      <c r="S115" s="45">
        <v>90387.620489520894</v>
      </c>
    </row>
    <row r="116" spans="1:19">
      <c r="A116" s="46">
        <v>109</v>
      </c>
      <c r="B116" s="47"/>
      <c r="C116" s="46" t="s">
        <v>96</v>
      </c>
      <c r="D116" s="48"/>
      <c r="E116" s="49">
        <v>-167581873.46917406</v>
      </c>
      <c r="F116" s="49">
        <v>-103184336.50061408</v>
      </c>
      <c r="G116" s="49">
        <v>-20243126.84918024</v>
      </c>
      <c r="H116" s="49">
        <v>-18175133.628720861</v>
      </c>
      <c r="I116" s="49">
        <v>-10139499.267447785</v>
      </c>
      <c r="J116" s="49">
        <v>-8556279.1357469913</v>
      </c>
      <c r="K116" s="49">
        <v>-879442.77411212923</v>
      </c>
      <c r="L116" s="49">
        <v>-2520826.1456248746</v>
      </c>
      <c r="M116" s="49">
        <v>-1499242.5554888626</v>
      </c>
      <c r="N116" s="49">
        <v>-2335998.1052370709</v>
      </c>
      <c r="O116" s="49">
        <v>-47988.507001224578</v>
      </c>
      <c r="P116" s="38"/>
      <c r="Q116" s="49">
        <v>-7607807.0919261798</v>
      </c>
      <c r="R116" s="49">
        <v>-38284.030203891198</v>
      </c>
      <c r="S116" s="49">
        <v>-910188.01361691882</v>
      </c>
    </row>
    <row r="117" spans="1:19">
      <c r="A117" s="37">
        <v>110</v>
      </c>
      <c r="B117" s="44"/>
      <c r="C117" s="37"/>
      <c r="D117" s="38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38"/>
      <c r="Q117" s="45"/>
      <c r="R117" s="45"/>
      <c r="S117" s="45"/>
    </row>
    <row r="118" spans="1:19">
      <c r="A118" s="37">
        <v>111</v>
      </c>
      <c r="B118" s="44"/>
      <c r="C118" s="43" t="s">
        <v>227</v>
      </c>
      <c r="D118" s="38"/>
      <c r="E118" s="45">
        <v>-4289494131.7526517</v>
      </c>
      <c r="F118" s="45">
        <v>-2527496953.655829</v>
      </c>
      <c r="G118" s="45">
        <v>-531475586.5513252</v>
      </c>
      <c r="H118" s="45">
        <v>-522627566.49437392</v>
      </c>
      <c r="I118" s="45">
        <v>-293599536.32076347</v>
      </c>
      <c r="J118" s="45">
        <v>-238816778.3678593</v>
      </c>
      <c r="K118" s="45">
        <v>-24484226.172307737</v>
      </c>
      <c r="L118" s="45">
        <v>-74044130.094876096</v>
      </c>
      <c r="M118" s="45">
        <v>-34300166.091048263</v>
      </c>
      <c r="N118" s="45">
        <v>-41288131.119131811</v>
      </c>
      <c r="O118" s="45">
        <v>-1361056.8851375729</v>
      </c>
      <c r="P118" s="38"/>
      <c r="Q118" s="45">
        <v>-213478773.30751932</v>
      </c>
      <c r="R118" s="45">
        <v>-1039294.8115084345</v>
      </c>
      <c r="S118" s="45">
        <v>-24298710.248831555</v>
      </c>
    </row>
    <row r="119" spans="1:19">
      <c r="A119" s="37">
        <v>112</v>
      </c>
      <c r="B119" s="44"/>
      <c r="C119" s="43"/>
      <c r="D119" s="38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38"/>
      <c r="Q119" s="45"/>
      <c r="R119" s="45"/>
      <c r="S119" s="45"/>
    </row>
    <row r="120" spans="1:19">
      <c r="A120" s="37">
        <v>113</v>
      </c>
      <c r="B120" s="44"/>
      <c r="C120" s="43" t="s">
        <v>228</v>
      </c>
      <c r="D120" s="38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38"/>
      <c r="Q120" s="45"/>
      <c r="R120" s="45"/>
      <c r="S120" s="45"/>
    </row>
    <row r="121" spans="1:19">
      <c r="A121" s="37">
        <v>114</v>
      </c>
      <c r="B121" s="44"/>
      <c r="C121" s="37" t="s">
        <v>229</v>
      </c>
      <c r="D121" s="38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38"/>
      <c r="Q121" s="45"/>
      <c r="R121" s="45"/>
      <c r="S121" s="45"/>
    </row>
    <row r="122" spans="1:19">
      <c r="A122" s="37">
        <v>115</v>
      </c>
      <c r="B122" s="44" t="s">
        <v>230</v>
      </c>
      <c r="C122" s="37" t="s">
        <v>231</v>
      </c>
      <c r="D122" s="38" t="s">
        <v>232</v>
      </c>
      <c r="E122" s="45">
        <v>145303204.96710864</v>
      </c>
      <c r="F122" s="45">
        <v>85135792.68972908</v>
      </c>
      <c r="G122" s="45">
        <v>18141594.264031883</v>
      </c>
      <c r="H122" s="45">
        <v>17659808.664761569</v>
      </c>
      <c r="I122" s="45">
        <v>9804477.8303929456</v>
      </c>
      <c r="J122" s="45">
        <v>8213887.6252704998</v>
      </c>
      <c r="K122" s="45">
        <v>849846.84652293788</v>
      </c>
      <c r="L122" s="45">
        <v>2453724.2733473983</v>
      </c>
      <c r="M122" s="45">
        <v>1515193.8054772308</v>
      </c>
      <c r="N122" s="45">
        <v>1481966.1550422562</v>
      </c>
      <c r="O122" s="45">
        <v>46912.812532834469</v>
      </c>
      <c r="P122" s="38"/>
      <c r="Q122" s="45">
        <v>7295909.0730963433</v>
      </c>
      <c r="R122" s="45">
        <v>37181.816590611641</v>
      </c>
      <c r="S122" s="45">
        <v>880796.73558354448</v>
      </c>
    </row>
    <row r="123" spans="1:19">
      <c r="A123" s="46">
        <v>116</v>
      </c>
      <c r="B123" s="47"/>
      <c r="C123" s="46" t="s">
        <v>96</v>
      </c>
      <c r="D123" s="48"/>
      <c r="E123" s="49">
        <v>145303204.96710864</v>
      </c>
      <c r="F123" s="49">
        <v>85135792.68972908</v>
      </c>
      <c r="G123" s="49">
        <v>18141594.264031883</v>
      </c>
      <c r="H123" s="49">
        <v>17659808.664761569</v>
      </c>
      <c r="I123" s="49">
        <v>9804477.8303929456</v>
      </c>
      <c r="J123" s="49">
        <v>8213887.6252704998</v>
      </c>
      <c r="K123" s="49">
        <v>849846.84652293788</v>
      </c>
      <c r="L123" s="49">
        <v>2453724.2733473983</v>
      </c>
      <c r="M123" s="49">
        <v>1515193.8054772308</v>
      </c>
      <c r="N123" s="49">
        <v>1481966.1550422562</v>
      </c>
      <c r="O123" s="49">
        <v>46912.812532834469</v>
      </c>
      <c r="P123" s="38"/>
      <c r="Q123" s="49">
        <v>7295909.0730963433</v>
      </c>
      <c r="R123" s="49">
        <v>37181.816590611641</v>
      </c>
      <c r="S123" s="49">
        <v>880796.73558354448</v>
      </c>
    </row>
    <row r="124" spans="1:19">
      <c r="A124" s="37">
        <v>117</v>
      </c>
      <c r="B124" s="44"/>
      <c r="C124" s="37"/>
      <c r="D124" s="38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38"/>
      <c r="Q124" s="45"/>
      <c r="R124" s="45"/>
      <c r="S124" s="45"/>
    </row>
    <row r="125" spans="1:19">
      <c r="A125" s="37">
        <v>118</v>
      </c>
      <c r="B125" s="44"/>
      <c r="C125" s="43" t="s">
        <v>233</v>
      </c>
      <c r="D125" s="38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38"/>
      <c r="Q125" s="45"/>
      <c r="R125" s="45"/>
      <c r="S125" s="45"/>
    </row>
    <row r="126" spans="1:19">
      <c r="A126" s="37">
        <v>119</v>
      </c>
      <c r="B126" s="44">
        <v>182.01</v>
      </c>
      <c r="C126" s="37" t="s">
        <v>234</v>
      </c>
      <c r="D126" s="38" t="s">
        <v>91</v>
      </c>
      <c r="E126" s="45">
        <v>189792533.49183738</v>
      </c>
      <c r="F126" s="45">
        <v>101520774.29378279</v>
      </c>
      <c r="G126" s="45">
        <v>25151205.74246677</v>
      </c>
      <c r="H126" s="45">
        <v>27706739.256291013</v>
      </c>
      <c r="I126" s="45">
        <v>17071005.534316916</v>
      </c>
      <c r="J126" s="45">
        <v>12764653.970407195</v>
      </c>
      <c r="K126" s="45">
        <v>0</v>
      </c>
      <c r="L126" s="45">
        <v>4923709.2242688816</v>
      </c>
      <c r="M126" s="45">
        <v>0</v>
      </c>
      <c r="N126" s="45">
        <v>588976.43665534048</v>
      </c>
      <c r="O126" s="45">
        <v>65469.033648509037</v>
      </c>
      <c r="P126" s="38"/>
      <c r="Q126" s="45">
        <v>11914921.148050703</v>
      </c>
      <c r="R126" s="45">
        <v>29794.101220158725</v>
      </c>
      <c r="S126" s="45">
        <v>819938.72113633284</v>
      </c>
    </row>
    <row r="127" spans="1:19">
      <c r="A127" s="37">
        <v>120</v>
      </c>
      <c r="B127" s="44">
        <v>182.02</v>
      </c>
      <c r="C127" s="37" t="s">
        <v>235</v>
      </c>
      <c r="D127" s="38" t="s">
        <v>91</v>
      </c>
      <c r="E127" s="45">
        <v>282930</v>
      </c>
      <c r="F127" s="45">
        <v>151340.37226061529</v>
      </c>
      <c r="G127" s="45">
        <v>37493.733340264254</v>
      </c>
      <c r="H127" s="45">
        <v>41303.351578472713</v>
      </c>
      <c r="I127" s="45">
        <v>25448.31193810904</v>
      </c>
      <c r="J127" s="45">
        <v>19028.691389498901</v>
      </c>
      <c r="K127" s="45">
        <v>0</v>
      </c>
      <c r="L127" s="45">
        <v>7339.936009033293</v>
      </c>
      <c r="M127" s="45">
        <v>0</v>
      </c>
      <c r="N127" s="45">
        <v>878.00663259528233</v>
      </c>
      <c r="O127" s="45">
        <v>97.596851411276987</v>
      </c>
      <c r="P127" s="38"/>
      <c r="Q127" s="45">
        <v>17761.966597927152</v>
      </c>
      <c r="R127" s="45">
        <v>44.415051019812907</v>
      </c>
      <c r="S127" s="45">
        <v>1222.3097405519375</v>
      </c>
    </row>
    <row r="128" spans="1:19">
      <c r="A128" s="37">
        <v>121</v>
      </c>
      <c r="B128" s="44">
        <v>182.03</v>
      </c>
      <c r="C128" s="37" t="s">
        <v>236</v>
      </c>
      <c r="D128" s="38" t="s">
        <v>93</v>
      </c>
      <c r="E128" s="45">
        <v>9420126.0023907125</v>
      </c>
      <c r="F128" s="45">
        <v>6268723.8428172283</v>
      </c>
      <c r="G128" s="45">
        <v>1117868.4382517876</v>
      </c>
      <c r="H128" s="45">
        <v>887641.01155692514</v>
      </c>
      <c r="I128" s="45">
        <v>378033.47620766395</v>
      </c>
      <c r="J128" s="45">
        <v>420175.88338633918</v>
      </c>
      <c r="K128" s="45">
        <v>94083.70004829712</v>
      </c>
      <c r="L128" s="45">
        <v>50732.265471607941</v>
      </c>
      <c r="M128" s="45">
        <v>17249.335108919695</v>
      </c>
      <c r="N128" s="45">
        <v>182706.03436950126</v>
      </c>
      <c r="O128" s="45">
        <v>2912.0151724417478</v>
      </c>
      <c r="P128" s="38"/>
      <c r="Q128" s="45">
        <v>333981.01839413377</v>
      </c>
      <c r="R128" s="45">
        <v>3805.6568492923402</v>
      </c>
      <c r="S128" s="45">
        <v>82389.208142913034</v>
      </c>
    </row>
    <row r="129" spans="1:19">
      <c r="A129" s="37">
        <v>122</v>
      </c>
      <c r="B129" s="44">
        <v>182.04</v>
      </c>
      <c r="C129" s="37" t="s">
        <v>237</v>
      </c>
      <c r="D129" s="38" t="s">
        <v>95</v>
      </c>
      <c r="E129" s="45">
        <v>68510052.721862912</v>
      </c>
      <c r="F129" s="45">
        <v>42011546.000504345</v>
      </c>
      <c r="G129" s="45">
        <v>8298939.936239304</v>
      </c>
      <c r="H129" s="45">
        <v>7505394.9868612466</v>
      </c>
      <c r="I129" s="45">
        <v>4185154.3201057166</v>
      </c>
      <c r="J129" s="45">
        <v>3529351.6757507646</v>
      </c>
      <c r="K129" s="45">
        <v>363129.79912427731</v>
      </c>
      <c r="L129" s="45">
        <v>1041110.7290731928</v>
      </c>
      <c r="M129" s="45">
        <v>622114.00745755667</v>
      </c>
      <c r="N129" s="45">
        <v>933482.93494340545</v>
      </c>
      <c r="O129" s="45">
        <v>19828.331803120243</v>
      </c>
      <c r="P129" s="38"/>
      <c r="Q129" s="45">
        <v>3137805.9597765459</v>
      </c>
      <c r="R129" s="45">
        <v>15809.557521626091</v>
      </c>
      <c r="S129" s="45">
        <v>375736.15845259262</v>
      </c>
    </row>
    <row r="130" spans="1:19">
      <c r="A130" s="37">
        <v>123</v>
      </c>
      <c r="B130" s="44">
        <v>282</v>
      </c>
      <c r="C130" s="37" t="s">
        <v>238</v>
      </c>
      <c r="D130" s="38" t="s">
        <v>173</v>
      </c>
      <c r="E130" s="45">
        <v>-14543535.434509924</v>
      </c>
      <c r="F130" s="45">
        <v>-7779394.4319944195</v>
      </c>
      <c r="G130" s="45">
        <v>-1927301.5919351052</v>
      </c>
      <c r="H130" s="45">
        <v>-2123128.5379618253</v>
      </c>
      <c r="I130" s="45">
        <v>-1308127.191956847</v>
      </c>
      <c r="J130" s="45">
        <v>-978137.51633100444</v>
      </c>
      <c r="K130" s="45">
        <v>0</v>
      </c>
      <c r="L130" s="45">
        <v>-377296.926569862</v>
      </c>
      <c r="M130" s="45">
        <v>0</v>
      </c>
      <c r="N130" s="45">
        <v>-45132.437609600333</v>
      </c>
      <c r="O130" s="45">
        <v>-5016.8001512618193</v>
      </c>
      <c r="P130" s="38"/>
      <c r="Q130" s="45">
        <v>-913023.68290225556</v>
      </c>
      <c r="R130" s="45">
        <v>-2283.0801552759171</v>
      </c>
      <c r="S130" s="45">
        <v>-62830.753273473063</v>
      </c>
    </row>
    <row r="131" spans="1:19">
      <c r="A131" s="37">
        <v>124</v>
      </c>
      <c r="B131" s="44">
        <v>282.01</v>
      </c>
      <c r="C131" s="37" t="s">
        <v>239</v>
      </c>
      <c r="D131" s="38" t="s">
        <v>240</v>
      </c>
      <c r="E131" s="45">
        <v>-2636498.8992046253</v>
      </c>
      <c r="F131" s="45">
        <v>-1410273.6538024615</v>
      </c>
      <c r="G131" s="45">
        <v>-349387.43391891452</v>
      </c>
      <c r="H131" s="45">
        <v>-384887.5727922275</v>
      </c>
      <c r="I131" s="45">
        <v>-237141.50642010535</v>
      </c>
      <c r="J131" s="45">
        <v>-177319.91623977092</v>
      </c>
      <c r="K131" s="45">
        <v>0</v>
      </c>
      <c r="L131" s="45">
        <v>-68397.600848438378</v>
      </c>
      <c r="M131" s="45">
        <v>0</v>
      </c>
      <c r="N131" s="45">
        <v>-8181.7535091076306</v>
      </c>
      <c r="O131" s="45">
        <v>-909.46167360007473</v>
      </c>
      <c r="P131" s="38"/>
      <c r="Q131" s="45">
        <v>-165515.87100393829</v>
      </c>
      <c r="R131" s="45">
        <v>-413.88411664317681</v>
      </c>
      <c r="S131" s="45">
        <v>-11390.161119189463</v>
      </c>
    </row>
    <row r="132" spans="1:19">
      <c r="A132" s="37">
        <v>125</v>
      </c>
      <c r="B132" s="44">
        <v>282.02</v>
      </c>
      <c r="C132" s="37" t="s">
        <v>241</v>
      </c>
      <c r="D132" s="38" t="s">
        <v>159</v>
      </c>
      <c r="E132" s="45">
        <v>-1386885624.7545435</v>
      </c>
      <c r="F132" s="45">
        <v>-808983514.08624613</v>
      </c>
      <c r="G132" s="45">
        <v>-173610251.65130547</v>
      </c>
      <c r="H132" s="45">
        <v>-170072323.89018622</v>
      </c>
      <c r="I132" s="45">
        <v>-94372624.699090302</v>
      </c>
      <c r="J132" s="45">
        <v>-79030701.977370083</v>
      </c>
      <c r="K132" s="45">
        <v>-8220203.4364592182</v>
      </c>
      <c r="L132" s="45">
        <v>-23624860.174028169</v>
      </c>
      <c r="M132" s="45">
        <v>-14815113.170227706</v>
      </c>
      <c r="N132" s="45">
        <v>-13703961.3801644</v>
      </c>
      <c r="O132" s="45">
        <v>-452070.28946644592</v>
      </c>
      <c r="P132" s="38"/>
      <c r="Q132" s="45">
        <v>-70188014.276441932</v>
      </c>
      <c r="R132" s="45">
        <v>-358298.01793287322</v>
      </c>
      <c r="S132" s="45">
        <v>-8484389.6829952784</v>
      </c>
    </row>
    <row r="133" spans="1:19">
      <c r="A133" s="37">
        <v>126</v>
      </c>
      <c r="B133" s="44">
        <v>235</v>
      </c>
      <c r="C133" s="37" t="s">
        <v>242</v>
      </c>
      <c r="D133" s="38" t="s">
        <v>243</v>
      </c>
      <c r="E133" s="45">
        <v>-25836611.384475</v>
      </c>
      <c r="F133" s="45">
        <v>-23095250.799047243</v>
      </c>
      <c r="G133" s="45">
        <v>-1864887.860734801</v>
      </c>
      <c r="H133" s="45">
        <v>-638245.470833336</v>
      </c>
      <c r="I133" s="45">
        <v>-169525.96587746224</v>
      </c>
      <c r="J133" s="45">
        <v>-57586.220566097596</v>
      </c>
      <c r="K133" s="45">
        <v>0</v>
      </c>
      <c r="L133" s="45">
        <v>0</v>
      </c>
      <c r="M133" s="45">
        <v>0</v>
      </c>
      <c r="N133" s="45">
        <v>-11115.0674160617</v>
      </c>
      <c r="O133" s="45">
        <v>0</v>
      </c>
      <c r="P133" s="38"/>
      <c r="Q133" s="45">
        <v>-57586.220566097596</v>
      </c>
      <c r="R133" s="45">
        <v>0</v>
      </c>
      <c r="S133" s="45">
        <v>0</v>
      </c>
    </row>
    <row r="134" spans="1:19">
      <c r="A134" s="37">
        <v>127</v>
      </c>
      <c r="B134" s="44">
        <v>235.01</v>
      </c>
      <c r="C134" s="37" t="s">
        <v>244</v>
      </c>
      <c r="D134" s="38" t="s">
        <v>240</v>
      </c>
      <c r="E134" s="45">
        <v>-2995643.46</v>
      </c>
      <c r="F134" s="45">
        <v>-1602381.4950570022</v>
      </c>
      <c r="G134" s="45">
        <v>-396981.0803794103</v>
      </c>
      <c r="H134" s="45">
        <v>-437317.05733620486</v>
      </c>
      <c r="I134" s="45">
        <v>-269444.98365474236</v>
      </c>
      <c r="J134" s="45">
        <v>-201474.48101406952</v>
      </c>
      <c r="K134" s="45">
        <v>0</v>
      </c>
      <c r="L134" s="45">
        <v>-77714.739696317411</v>
      </c>
      <c r="M134" s="45">
        <v>0</v>
      </c>
      <c r="N134" s="45">
        <v>-9296.2740846523175</v>
      </c>
      <c r="O134" s="45">
        <v>-1033.348777601469</v>
      </c>
      <c r="P134" s="38"/>
      <c r="Q134" s="45">
        <v>-188062.48568839964</v>
      </c>
      <c r="R134" s="45">
        <v>-470.26351787745682</v>
      </c>
      <c r="S134" s="45">
        <v>-12941.731807792414</v>
      </c>
    </row>
    <row r="135" spans="1:19">
      <c r="A135" s="37">
        <v>128</v>
      </c>
      <c r="B135" s="44">
        <v>252</v>
      </c>
      <c r="C135" s="37" t="s">
        <v>245</v>
      </c>
      <c r="D135" s="38" t="s">
        <v>246</v>
      </c>
      <c r="E135" s="45">
        <v>-79258524.650000006</v>
      </c>
      <c r="F135" s="45">
        <v>-33974849.983845964</v>
      </c>
      <c r="G135" s="45">
        <v>-42161069.125409625</v>
      </c>
      <c r="H135" s="45">
        <v>-2830663.0729111028</v>
      </c>
      <c r="I135" s="45">
        <v>-291942.46783331066</v>
      </c>
      <c r="J135" s="45">
        <v>0</v>
      </c>
      <c r="K135" s="45">
        <v>0</v>
      </c>
      <c r="L135" s="45">
        <v>0</v>
      </c>
      <c r="M135" s="45">
        <v>0</v>
      </c>
      <c r="N135" s="45">
        <v>0</v>
      </c>
      <c r="O135" s="45">
        <v>0</v>
      </c>
      <c r="P135" s="38"/>
      <c r="Q135" s="45">
        <v>0</v>
      </c>
      <c r="R135" s="45">
        <v>0</v>
      </c>
      <c r="S135" s="45">
        <v>0</v>
      </c>
    </row>
    <row r="136" spans="1:19">
      <c r="A136" s="37">
        <v>129</v>
      </c>
      <c r="B136" s="44">
        <v>253</v>
      </c>
      <c r="C136" s="37" t="s">
        <v>247</v>
      </c>
      <c r="D136" s="38" t="s">
        <v>154</v>
      </c>
      <c r="E136" s="45">
        <v>-2132461.9750080002</v>
      </c>
      <c r="F136" s="45">
        <v>-1310704.9456174902</v>
      </c>
      <c r="G136" s="45">
        <v>-257869.66220094581</v>
      </c>
      <c r="H136" s="45">
        <v>-232223.60785695456</v>
      </c>
      <c r="I136" s="45">
        <v>-129547.6728237803</v>
      </c>
      <c r="J136" s="45">
        <v>-109273.67050492522</v>
      </c>
      <c r="K136" s="45">
        <v>-11247.166130060948</v>
      </c>
      <c r="L136" s="45">
        <v>-32222.399815106186</v>
      </c>
      <c r="M136" s="45">
        <v>-19313.514014938653</v>
      </c>
      <c r="N136" s="45">
        <v>-29446.13785136112</v>
      </c>
      <c r="O136" s="45">
        <v>-613.19819243775419</v>
      </c>
      <c r="P136" s="38"/>
      <c r="Q136" s="45">
        <v>-97163.33053518935</v>
      </c>
      <c r="R136" s="45">
        <v>-488.83154334255141</v>
      </c>
      <c r="S136" s="45">
        <v>-11621.508426393328</v>
      </c>
    </row>
    <row r="137" spans="1:19">
      <c r="A137" s="37">
        <v>130</v>
      </c>
      <c r="B137" s="44">
        <v>114.01</v>
      </c>
      <c r="C137" s="37" t="s">
        <v>248</v>
      </c>
      <c r="D137" s="38" t="s">
        <v>173</v>
      </c>
      <c r="E137" s="45">
        <v>281543144.61000001</v>
      </c>
      <c r="F137" s="45">
        <v>150598537.8457627</v>
      </c>
      <c r="G137" s="45">
        <v>37309948.000518851</v>
      </c>
      <c r="H137" s="45">
        <v>41100892.398598999</v>
      </c>
      <c r="I137" s="45">
        <v>25323570.381618857</v>
      </c>
      <c r="J137" s="45">
        <v>18935417.282058287</v>
      </c>
      <c r="K137" s="45">
        <v>0</v>
      </c>
      <c r="L137" s="45">
        <v>7303957.3930633254</v>
      </c>
      <c r="M137" s="45">
        <v>0</v>
      </c>
      <c r="N137" s="45">
        <v>873702.85345955787</v>
      </c>
      <c r="O137" s="45">
        <v>97118.454919470678</v>
      </c>
      <c r="P137" s="38"/>
      <c r="Q137" s="45">
        <v>17674901.67334038</v>
      </c>
      <c r="R137" s="45">
        <v>44197.339031321222</v>
      </c>
      <c r="S137" s="45">
        <v>1216318.2696865858</v>
      </c>
    </row>
    <row r="138" spans="1:19">
      <c r="A138" s="37">
        <v>131</v>
      </c>
      <c r="B138" s="44">
        <v>114.02</v>
      </c>
      <c r="C138" s="37" t="s">
        <v>249</v>
      </c>
      <c r="D138" s="38" t="s">
        <v>240</v>
      </c>
      <c r="E138" s="45">
        <v>946172.25</v>
      </c>
      <c r="F138" s="45">
        <v>506111.26617065689</v>
      </c>
      <c r="G138" s="45">
        <v>125386.24407258985</v>
      </c>
      <c r="H138" s="45">
        <v>138126.33900803936</v>
      </c>
      <c r="I138" s="45">
        <v>85104.041866124098</v>
      </c>
      <c r="J138" s="45">
        <v>63635.598015614472</v>
      </c>
      <c r="K138" s="45">
        <v>0</v>
      </c>
      <c r="L138" s="45">
        <v>24546.155474933912</v>
      </c>
      <c r="M138" s="45">
        <v>0</v>
      </c>
      <c r="N138" s="45">
        <v>2936.22277976037</v>
      </c>
      <c r="O138" s="45">
        <v>326.38261228121308</v>
      </c>
      <c r="P138" s="38"/>
      <c r="Q138" s="45">
        <v>59399.42706812844</v>
      </c>
      <c r="R138" s="45">
        <v>148.53245946799979</v>
      </c>
      <c r="S138" s="45">
        <v>4087.6384880180358</v>
      </c>
    </row>
    <row r="139" spans="1:19">
      <c r="A139" s="37">
        <v>132</v>
      </c>
      <c r="B139" s="44">
        <v>114.03</v>
      </c>
      <c r="C139" s="37" t="s">
        <v>250</v>
      </c>
      <c r="D139" s="38" t="s">
        <v>93</v>
      </c>
      <c r="E139" s="45">
        <v>302358.00999999995</v>
      </c>
      <c r="F139" s="45">
        <v>201207.3793782313</v>
      </c>
      <c r="G139" s="45">
        <v>35880.250046107554</v>
      </c>
      <c r="H139" s="45">
        <v>28490.634815354479</v>
      </c>
      <c r="I139" s="45">
        <v>12133.749543320682</v>
      </c>
      <c r="J139" s="45">
        <v>13486.395396244534</v>
      </c>
      <c r="K139" s="45">
        <v>3019.8067746461697</v>
      </c>
      <c r="L139" s="45">
        <v>1628.3547403606026</v>
      </c>
      <c r="M139" s="45">
        <v>553.6523222759937</v>
      </c>
      <c r="N139" s="45">
        <v>5864.319962698386</v>
      </c>
      <c r="O139" s="45">
        <v>93.467020760214979</v>
      </c>
      <c r="P139" s="38"/>
      <c r="Q139" s="45">
        <v>10719.796749406079</v>
      </c>
      <c r="R139" s="45">
        <v>122.15025907327308</v>
      </c>
      <c r="S139" s="45">
        <v>2644.4483877651815</v>
      </c>
    </row>
    <row r="140" spans="1:19">
      <c r="A140" s="37">
        <v>133</v>
      </c>
      <c r="B140" s="44">
        <v>115.01</v>
      </c>
      <c r="C140" s="37" t="s">
        <v>251</v>
      </c>
      <c r="D140" s="38" t="s">
        <v>173</v>
      </c>
      <c r="E140" s="45">
        <v>-136832371.41</v>
      </c>
      <c r="F140" s="45">
        <v>-73192174.83650434</v>
      </c>
      <c r="G140" s="45">
        <v>-18132953.189702537</v>
      </c>
      <c r="H140" s="45">
        <v>-19975384.525018163</v>
      </c>
      <c r="I140" s="45">
        <v>-12307471.3564234</v>
      </c>
      <c r="J140" s="45">
        <v>-9202774.4235471059</v>
      </c>
      <c r="K140" s="45">
        <v>0</v>
      </c>
      <c r="L140" s="45">
        <v>-3549785.6364248283</v>
      </c>
      <c r="M140" s="45">
        <v>0</v>
      </c>
      <c r="N140" s="45">
        <v>-424627.04432800016</v>
      </c>
      <c r="O140" s="45">
        <v>-47200.398051653887</v>
      </c>
      <c r="P140" s="38"/>
      <c r="Q140" s="45">
        <v>-8590153.0784985051</v>
      </c>
      <c r="R140" s="45">
        <v>-21480.284018439685</v>
      </c>
      <c r="S140" s="45">
        <v>-591141.06103016098</v>
      </c>
    </row>
    <row r="141" spans="1:19">
      <c r="A141" s="37">
        <v>134</v>
      </c>
      <c r="B141" s="44">
        <v>115.02</v>
      </c>
      <c r="C141" s="37" t="s">
        <v>252</v>
      </c>
      <c r="D141" s="38" t="s">
        <v>240</v>
      </c>
      <c r="E141" s="45">
        <v>-951189</v>
      </c>
      <c r="F141" s="45">
        <v>-508794.74552080868</v>
      </c>
      <c r="G141" s="45">
        <v>-126051.06111827173</v>
      </c>
      <c r="H141" s="45">
        <v>-138858.70598584769</v>
      </c>
      <c r="I141" s="45">
        <v>-85555.27651397165</v>
      </c>
      <c r="J141" s="45">
        <v>-63973.003690262856</v>
      </c>
      <c r="K141" s="45">
        <v>0</v>
      </c>
      <c r="L141" s="45">
        <v>-24676.302945945536</v>
      </c>
      <c r="M141" s="45">
        <v>0</v>
      </c>
      <c r="N141" s="45">
        <v>-2951.7910820756865</v>
      </c>
      <c r="O141" s="45">
        <v>-328.11314281638965</v>
      </c>
      <c r="P141" s="38"/>
      <c r="Q141" s="45">
        <v>-59714.371916430668</v>
      </c>
      <c r="R141" s="45">
        <v>-149.32000128825086</v>
      </c>
      <c r="S141" s="45">
        <v>-4109.3117725439397</v>
      </c>
    </row>
    <row r="142" spans="1:19">
      <c r="A142" s="37">
        <v>135</v>
      </c>
      <c r="B142" s="44">
        <v>115.03</v>
      </c>
      <c r="C142" s="37" t="s">
        <v>253</v>
      </c>
      <c r="D142" s="38" t="s">
        <v>93</v>
      </c>
      <c r="E142" s="45">
        <v>-302358.00999999995</v>
      </c>
      <c r="F142" s="45">
        <v>-201207.3793782313</v>
      </c>
      <c r="G142" s="45">
        <v>-35880.250046107554</v>
      </c>
      <c r="H142" s="45">
        <v>-28490.634815354479</v>
      </c>
      <c r="I142" s="45">
        <v>-12133.749543320682</v>
      </c>
      <c r="J142" s="45">
        <v>-13486.395396244534</v>
      </c>
      <c r="K142" s="45">
        <v>-3019.8067746461697</v>
      </c>
      <c r="L142" s="45">
        <v>-1628.3547403606026</v>
      </c>
      <c r="M142" s="45">
        <v>-553.6523222759937</v>
      </c>
      <c r="N142" s="45">
        <v>-5864.319962698386</v>
      </c>
      <c r="O142" s="45">
        <v>-93.467020760214979</v>
      </c>
      <c r="P142" s="38"/>
      <c r="Q142" s="45">
        <v>-10719.796749406079</v>
      </c>
      <c r="R142" s="45">
        <v>-122.15025907327308</v>
      </c>
      <c r="S142" s="45">
        <v>-2644.4483877651815</v>
      </c>
    </row>
    <row r="143" spans="1:19">
      <c r="A143" s="37">
        <v>136</v>
      </c>
      <c r="B143" s="44">
        <v>230</v>
      </c>
      <c r="C143" s="37" t="s">
        <v>254</v>
      </c>
      <c r="D143" s="38" t="s">
        <v>173</v>
      </c>
      <c r="E143" s="45">
        <v>-154752983.34</v>
      </c>
      <c r="F143" s="45">
        <v>-82777980.797781765</v>
      </c>
      <c r="G143" s="45">
        <v>-20507783.165307026</v>
      </c>
      <c r="H143" s="45">
        <v>-22591513.373306297</v>
      </c>
      <c r="I143" s="45">
        <v>-13919351.759761466</v>
      </c>
      <c r="J143" s="45">
        <v>-10408040.015484836</v>
      </c>
      <c r="K143" s="45">
        <v>0</v>
      </c>
      <c r="L143" s="45">
        <v>-4014692.6622224413</v>
      </c>
      <c r="M143" s="45">
        <v>0</v>
      </c>
      <c r="N143" s="45">
        <v>-480239.44363067625</v>
      </c>
      <c r="O143" s="45">
        <v>-53382.122505516563</v>
      </c>
      <c r="P143" s="38"/>
      <c r="Q143" s="45">
        <v>-9715185.1023739316</v>
      </c>
      <c r="R143" s="45">
        <v>-24293.505992699102</v>
      </c>
      <c r="S143" s="45">
        <v>-668561.40711820486</v>
      </c>
    </row>
    <row r="144" spans="1:19">
      <c r="A144" s="37">
        <v>137</v>
      </c>
      <c r="B144" s="44">
        <v>230.01</v>
      </c>
      <c r="C144" s="37" t="s">
        <v>255</v>
      </c>
      <c r="D144" s="38" t="s">
        <v>240</v>
      </c>
      <c r="E144" s="45">
        <v>-4532108.43</v>
      </c>
      <c r="F144" s="45">
        <v>-2424242.6639864016</v>
      </c>
      <c r="G144" s="45">
        <v>-600592.60221109004</v>
      </c>
      <c r="H144" s="45">
        <v>-661616.8942001554</v>
      </c>
      <c r="I144" s="45">
        <v>-407643.26534469164</v>
      </c>
      <c r="J144" s="45">
        <v>-304810.70462028199</v>
      </c>
      <c r="K144" s="45">
        <v>0</v>
      </c>
      <c r="L144" s="45">
        <v>-117574.61514226256</v>
      </c>
      <c r="M144" s="45">
        <v>0</v>
      </c>
      <c r="N144" s="45">
        <v>-14064.331322874885</v>
      </c>
      <c r="O144" s="45">
        <v>-1563.3531722422711</v>
      </c>
      <c r="P144" s="38"/>
      <c r="Q144" s="45">
        <v>-284519.69940212794</v>
      </c>
      <c r="R144" s="45">
        <v>-711.46158818709284</v>
      </c>
      <c r="S144" s="45">
        <v>-19579.543629966945</v>
      </c>
    </row>
    <row r="145" spans="1:19">
      <c r="A145" s="37">
        <v>138</v>
      </c>
      <c r="B145" s="44">
        <v>230.02</v>
      </c>
      <c r="C145" s="37" t="s">
        <v>256</v>
      </c>
      <c r="D145" s="38" t="s">
        <v>93</v>
      </c>
      <c r="E145" s="45">
        <v>-8852463.3499999996</v>
      </c>
      <c r="F145" s="45">
        <v>-5890966.6447908515</v>
      </c>
      <c r="G145" s="45">
        <v>-1050504.9908285972</v>
      </c>
      <c r="H145" s="45">
        <v>-834151.21207193949</v>
      </c>
      <c r="I145" s="45">
        <v>-355252.94378781487</v>
      </c>
      <c r="J145" s="45">
        <v>-394855.82329657319</v>
      </c>
      <c r="K145" s="45">
        <v>-88414.157761644659</v>
      </c>
      <c r="L145" s="45">
        <v>-47675.107597913484</v>
      </c>
      <c r="M145" s="45">
        <v>-16209.879445861623</v>
      </c>
      <c r="N145" s="45">
        <v>-171696.05509197799</v>
      </c>
      <c r="O145" s="45">
        <v>-2736.5353268249523</v>
      </c>
      <c r="P145" s="38"/>
      <c r="Q145" s="45">
        <v>-313855.11448354385</v>
      </c>
      <c r="R145" s="45">
        <v>-3576.3256003674419</v>
      </c>
      <c r="S145" s="45">
        <v>-77424.383212661895</v>
      </c>
    </row>
    <row r="146" spans="1:19">
      <c r="A146" s="37">
        <v>139</v>
      </c>
      <c r="B146" s="44">
        <v>230.03</v>
      </c>
      <c r="C146" s="37" t="s">
        <v>257</v>
      </c>
      <c r="D146" s="38" t="s">
        <v>95</v>
      </c>
      <c r="E146" s="45">
        <v>-455842.46420599998</v>
      </c>
      <c r="F146" s="45">
        <v>-279530.46148893528</v>
      </c>
      <c r="G146" s="45">
        <v>-55218.308562557504</v>
      </c>
      <c r="H146" s="45">
        <v>-49938.331817374186</v>
      </c>
      <c r="I146" s="45">
        <v>-27846.585757341989</v>
      </c>
      <c r="J146" s="45">
        <v>-23483.099209620013</v>
      </c>
      <c r="K146" s="45">
        <v>-2416.1415132967263</v>
      </c>
      <c r="L146" s="45">
        <v>-6927.1947896280162</v>
      </c>
      <c r="M146" s="45">
        <v>-4139.3338774358372</v>
      </c>
      <c r="N146" s="45">
        <v>-6211.0762501728286</v>
      </c>
      <c r="O146" s="45">
        <v>-131.93093963776991</v>
      </c>
      <c r="P146" s="38"/>
      <c r="Q146" s="45">
        <v>-20877.887902257626</v>
      </c>
      <c r="R146" s="45">
        <v>-105.19138976468413</v>
      </c>
      <c r="S146" s="45">
        <v>-2500.0199175977014</v>
      </c>
    </row>
    <row r="147" spans="1:19">
      <c r="A147" s="46">
        <v>140</v>
      </c>
      <c r="B147" s="47"/>
      <c r="C147" s="46" t="s">
        <v>96</v>
      </c>
      <c r="D147" s="48"/>
      <c r="E147" s="49">
        <v>-1270170899.4758561</v>
      </c>
      <c r="F147" s="49">
        <v>-742173025.92438555</v>
      </c>
      <c r="G147" s="49">
        <v>-189000009.62872478</v>
      </c>
      <c r="H147" s="49">
        <v>-143590154.90838295</v>
      </c>
      <c r="I147" s="49">
        <v>-76813159.60919185</v>
      </c>
      <c r="J147" s="49">
        <v>-65220167.750866942</v>
      </c>
      <c r="K147" s="49">
        <v>-7865067.4026916455</v>
      </c>
      <c r="L147" s="49">
        <v>-18590427.656719934</v>
      </c>
      <c r="M147" s="49">
        <v>-14215412.554999465</v>
      </c>
      <c r="N147" s="49">
        <v>-12324240.303500799</v>
      </c>
      <c r="O147" s="49">
        <v>-379233.73639280471</v>
      </c>
      <c r="P147" s="38"/>
      <c r="Q147" s="49">
        <v>-57454899.928486794</v>
      </c>
      <c r="R147" s="49">
        <v>-318470.56372387242</v>
      </c>
      <c r="S147" s="49">
        <v>-7446797.2586562689</v>
      </c>
    </row>
    <row r="148" spans="1:19">
      <c r="A148" s="37">
        <v>141</v>
      </c>
      <c r="B148" s="44"/>
      <c r="C148" s="37"/>
      <c r="D148" s="38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38"/>
      <c r="Q148" s="45"/>
      <c r="R148" s="45"/>
      <c r="S148" s="45"/>
    </row>
    <row r="149" spans="1:19">
      <c r="A149" s="46">
        <v>142</v>
      </c>
      <c r="B149" s="47"/>
      <c r="C149" s="46" t="s">
        <v>258</v>
      </c>
      <c r="D149" s="48"/>
      <c r="E149" s="49">
        <v>-1124867694.5087473</v>
      </c>
      <c r="F149" s="49">
        <v>-657037233.23465645</v>
      </c>
      <c r="G149" s="49">
        <v>-170858415.3646929</v>
      </c>
      <c r="H149" s="49">
        <v>-125930346.24362138</v>
      </c>
      <c r="I149" s="49">
        <v>-67008681.778798908</v>
      </c>
      <c r="J149" s="49">
        <v>-57006280.125596441</v>
      </c>
      <c r="K149" s="49">
        <v>-7015220.556168708</v>
      </c>
      <c r="L149" s="49">
        <v>-16136703.383372536</v>
      </c>
      <c r="M149" s="49">
        <v>-12700218.749522235</v>
      </c>
      <c r="N149" s="49">
        <v>-10842274.148458544</v>
      </c>
      <c r="O149" s="49">
        <v>-332320.92385997024</v>
      </c>
      <c r="P149" s="38"/>
      <c r="Q149" s="49">
        <v>-50158990.855390452</v>
      </c>
      <c r="R149" s="49">
        <v>-281288.74713326077</v>
      </c>
      <c r="S149" s="49">
        <v>-6566000.5230727242</v>
      </c>
    </row>
    <row r="150" spans="1:19">
      <c r="A150" s="37">
        <v>143</v>
      </c>
      <c r="B150" s="44"/>
      <c r="C150" s="37"/>
      <c r="D150" s="38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38"/>
      <c r="Q150" s="45"/>
      <c r="R150" s="45"/>
      <c r="S150" s="45"/>
    </row>
    <row r="151" spans="1:19" ht="16" thickBot="1">
      <c r="A151" s="51">
        <v>144</v>
      </c>
      <c r="B151" s="52"/>
      <c r="C151" s="51" t="s">
        <v>259</v>
      </c>
      <c r="D151" s="53"/>
      <c r="E151" s="54">
        <v>5436017781.0260878</v>
      </c>
      <c r="F151" s="54">
        <v>3172900730.3915954</v>
      </c>
      <c r="G151" s="54">
        <v>652372416.91826284</v>
      </c>
      <c r="H151" s="54">
        <v>670171621.46672237</v>
      </c>
      <c r="I151" s="54">
        <v>371531904.58444166</v>
      </c>
      <c r="J151" s="54">
        <v>317541242.76858771</v>
      </c>
      <c r="K151" s="54">
        <v>31962063.944446441</v>
      </c>
      <c r="L151" s="54">
        <v>93048709.34884584</v>
      </c>
      <c r="M151" s="54">
        <v>66145281.641872108</v>
      </c>
      <c r="N151" s="54">
        <v>58534017.798649997</v>
      </c>
      <c r="O151" s="54">
        <v>1809792.162662697</v>
      </c>
      <c r="P151" s="38"/>
      <c r="Q151" s="54">
        <v>281177355.6499536</v>
      </c>
      <c r="R151" s="54">
        <v>1455933.4809377107</v>
      </c>
      <c r="S151" s="54">
        <v>34907953.637696564</v>
      </c>
    </row>
    <row r="152" spans="1:19" ht="16" thickTop="1"/>
    <row r="153" spans="1:19">
      <c r="C153" t="s">
        <v>313</v>
      </c>
      <c r="M153" s="45">
        <f>-'COS Ratebase by Function'!N25</f>
        <v>-62511354.256786332</v>
      </c>
    </row>
    <row r="154" spans="1:19" ht="16" thickBot="1">
      <c r="C154" t="s">
        <v>328</v>
      </c>
      <c r="M154" s="54">
        <f>+M151+M153</f>
        <v>3633927.3850857764</v>
      </c>
    </row>
    <row r="155" spans="1:19" ht="16" thickTop="1"/>
  </sheetData>
  <mergeCells count="3">
    <mergeCell ref="A1:O1"/>
    <mergeCell ref="A2:O2"/>
    <mergeCell ref="A3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10"/>
  <sheetViews>
    <sheetView workbookViewId="0">
      <selection activeCell="J29" sqref="J29"/>
    </sheetView>
  </sheetViews>
  <sheetFormatPr defaultRowHeight="15.5"/>
  <cols>
    <col min="1" max="1" width="2.83203125" bestFit="1" customWidth="1"/>
    <col min="2" max="2" width="2" bestFit="1" customWidth="1"/>
    <col min="3" max="3" width="16" bestFit="1" customWidth="1"/>
    <col min="5" max="5" width="14.75" bestFit="1" customWidth="1"/>
    <col min="6" max="6" width="2.5" customWidth="1"/>
    <col min="7" max="7" width="14.75" bestFit="1" customWidth="1"/>
    <col min="8" max="11" width="13.25" bestFit="1" customWidth="1"/>
    <col min="12" max="15" width="12.08203125" bestFit="1" customWidth="1"/>
    <col min="16" max="16" width="11.08203125" bestFit="1" customWidth="1"/>
    <col min="17" max="17" width="2.75" customWidth="1"/>
    <col min="18" max="18" width="13.25" bestFit="1" customWidth="1"/>
    <col min="19" max="19" width="9.83203125" bestFit="1" customWidth="1"/>
    <col min="20" max="20" width="12.08203125" bestFit="1" customWidth="1"/>
  </cols>
  <sheetData>
    <row r="1" spans="1:20">
      <c r="A1" s="137" t="s">
        <v>53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37"/>
      <c r="R1" s="37"/>
      <c r="S1" s="37"/>
      <c r="T1" s="37"/>
    </row>
    <row r="2" spans="1:20">
      <c r="A2" s="137" t="s">
        <v>314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37"/>
      <c r="R2" s="37"/>
      <c r="S2" s="37"/>
      <c r="T2" s="37"/>
    </row>
    <row r="3" spans="1:20">
      <c r="A3" s="137" t="s">
        <v>55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37"/>
      <c r="R3" s="37"/>
      <c r="S3" s="37"/>
      <c r="T3" s="37"/>
    </row>
    <row r="4" spans="1:20">
      <c r="A4" s="137" t="s">
        <v>315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37"/>
      <c r="R4" s="37"/>
      <c r="S4" s="37"/>
      <c r="T4" s="37"/>
    </row>
    <row r="5" spans="1:20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0" ht="52.5">
      <c r="A6" s="39"/>
      <c r="B6" s="39"/>
      <c r="C6" s="39"/>
      <c r="D6" s="39"/>
      <c r="E6" s="39" t="s">
        <v>316</v>
      </c>
      <c r="F6" s="37"/>
      <c r="G6" s="39" t="s">
        <v>61</v>
      </c>
      <c r="H6" s="39" t="s">
        <v>62</v>
      </c>
      <c r="I6" s="39" t="s">
        <v>63</v>
      </c>
      <c r="J6" s="39" t="s">
        <v>64</v>
      </c>
      <c r="K6" s="39" t="s">
        <v>65</v>
      </c>
      <c r="L6" s="39" t="s">
        <v>66</v>
      </c>
      <c r="M6" s="39" t="s">
        <v>67</v>
      </c>
      <c r="N6" s="39" t="s">
        <v>68</v>
      </c>
      <c r="O6" s="39" t="s">
        <v>69</v>
      </c>
      <c r="P6" s="42" t="s">
        <v>70</v>
      </c>
      <c r="Q6" s="115"/>
      <c r="R6" s="39" t="s">
        <v>317</v>
      </c>
      <c r="S6" s="39" t="s">
        <v>318</v>
      </c>
      <c r="T6" s="39" t="s">
        <v>319</v>
      </c>
    </row>
    <row r="7" spans="1:20">
      <c r="A7" s="115"/>
      <c r="B7" s="115"/>
      <c r="C7" s="115" t="s">
        <v>74</v>
      </c>
      <c r="D7" s="115"/>
      <c r="E7" s="115" t="s">
        <v>75</v>
      </c>
      <c r="F7" s="37"/>
      <c r="G7" s="115" t="s">
        <v>76</v>
      </c>
      <c r="H7" s="115" t="s">
        <v>77</v>
      </c>
      <c r="I7" s="115" t="s">
        <v>78</v>
      </c>
      <c r="J7" s="115" t="s">
        <v>80</v>
      </c>
      <c r="K7" s="115" t="s">
        <v>81</v>
      </c>
      <c r="L7" s="115" t="s">
        <v>84</v>
      </c>
      <c r="M7" s="115" t="s">
        <v>85</v>
      </c>
      <c r="N7" s="115" t="s">
        <v>86</v>
      </c>
      <c r="O7" s="115" t="s">
        <v>320</v>
      </c>
      <c r="P7" s="115" t="s">
        <v>321</v>
      </c>
      <c r="Q7" s="115"/>
      <c r="R7" s="115" t="s">
        <v>81</v>
      </c>
      <c r="S7" s="115"/>
      <c r="T7" s="115"/>
    </row>
    <row r="8" spans="1:20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0">
      <c r="A9" s="38">
        <v>1</v>
      </c>
      <c r="B9" s="37"/>
      <c r="C9" s="43" t="s">
        <v>322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1:20">
      <c r="A10" s="38">
        <v>2</v>
      </c>
      <c r="B10" s="37" t="s">
        <v>323</v>
      </c>
      <c r="C10" s="37" t="s">
        <v>285</v>
      </c>
      <c r="D10" s="37"/>
      <c r="E10" s="116">
        <v>538064112.86810756</v>
      </c>
      <c r="F10" s="37"/>
      <c r="G10" s="116">
        <v>310315120.3270849</v>
      </c>
      <c r="H10" s="116">
        <v>71544079.601259232</v>
      </c>
      <c r="I10" s="116">
        <v>76576347.659941792</v>
      </c>
      <c r="J10" s="116">
        <v>40234580.145542048</v>
      </c>
      <c r="K10" s="116">
        <v>28423589.072484732</v>
      </c>
      <c r="L10" s="116">
        <v>0</v>
      </c>
      <c r="M10" s="116">
        <v>9653961.28852842</v>
      </c>
      <c r="N10" s="116">
        <v>0</v>
      </c>
      <c r="O10" s="116">
        <v>1118239.5667781886</v>
      </c>
      <c r="P10" s="116">
        <v>198195.20648829272</v>
      </c>
      <c r="Q10" s="37"/>
      <c r="R10" s="116">
        <v>28422617.749285866</v>
      </c>
      <c r="S10" s="116">
        <v>971.32319886776008</v>
      </c>
      <c r="T10" s="116">
        <v>0</v>
      </c>
    </row>
    <row r="11" spans="1:20">
      <c r="A11" s="38">
        <v>3</v>
      </c>
      <c r="B11" s="37" t="s">
        <v>323</v>
      </c>
      <c r="C11" s="37" t="s">
        <v>39</v>
      </c>
      <c r="D11" s="37"/>
      <c r="E11" s="116">
        <v>1614192338.6043227</v>
      </c>
      <c r="F11" s="37"/>
      <c r="G11" s="116">
        <v>840935339.38432229</v>
      </c>
      <c r="H11" s="116">
        <v>213671802.3178398</v>
      </c>
      <c r="I11" s="116">
        <v>237619407.12817496</v>
      </c>
      <c r="J11" s="116">
        <v>153351443.06824949</v>
      </c>
      <c r="K11" s="116">
        <v>116328200.43773648</v>
      </c>
      <c r="L11" s="116">
        <v>0</v>
      </c>
      <c r="M11" s="116">
        <v>46181137.954523593</v>
      </c>
      <c r="N11" s="116">
        <v>0</v>
      </c>
      <c r="O11" s="116">
        <v>5560781.5318638077</v>
      </c>
      <c r="P11" s="116">
        <v>544226.78161235759</v>
      </c>
      <c r="Q11" s="37"/>
      <c r="R11" s="116">
        <v>106693160.71615265</v>
      </c>
      <c r="S11" s="116">
        <v>336895.21658082848</v>
      </c>
      <c r="T11" s="116">
        <v>9298144.5050030015</v>
      </c>
    </row>
    <row r="12" spans="1:20">
      <c r="A12" s="38">
        <v>4</v>
      </c>
      <c r="B12" s="37" t="s">
        <v>323</v>
      </c>
      <c r="C12" s="37" t="s">
        <v>324</v>
      </c>
      <c r="D12" s="37"/>
      <c r="E12" s="116">
        <v>0</v>
      </c>
      <c r="F12" s="37"/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37"/>
      <c r="R12" s="116">
        <v>0</v>
      </c>
      <c r="S12" s="116">
        <v>0</v>
      </c>
      <c r="T12" s="116">
        <v>0</v>
      </c>
    </row>
    <row r="13" spans="1:20">
      <c r="A13" s="38">
        <v>5</v>
      </c>
      <c r="B13" s="37" t="s">
        <v>325</v>
      </c>
      <c r="C13" s="37" t="s">
        <v>325</v>
      </c>
      <c r="D13" s="37"/>
      <c r="E13" s="116">
        <v>0</v>
      </c>
      <c r="F13" s="37"/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37"/>
      <c r="R13" s="116">
        <v>0</v>
      </c>
      <c r="S13" s="116">
        <v>0</v>
      </c>
      <c r="T13" s="116">
        <v>0</v>
      </c>
    </row>
    <row r="14" spans="1:20">
      <c r="A14" s="38">
        <v>6</v>
      </c>
      <c r="B14" s="37" t="s">
        <v>325</v>
      </c>
      <c r="C14" s="37" t="s">
        <v>325</v>
      </c>
      <c r="D14" s="37"/>
      <c r="E14" s="116">
        <v>0</v>
      </c>
      <c r="F14" s="37"/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37"/>
      <c r="R14" s="116">
        <v>0</v>
      </c>
      <c r="S14" s="116">
        <v>0</v>
      </c>
      <c r="T14" s="116">
        <v>0</v>
      </c>
    </row>
    <row r="15" spans="1:20">
      <c r="A15" s="38">
        <v>7</v>
      </c>
      <c r="B15" s="37" t="s">
        <v>325</v>
      </c>
      <c r="C15" s="37" t="s">
        <v>325</v>
      </c>
      <c r="D15" s="37"/>
      <c r="E15" s="116">
        <v>0</v>
      </c>
      <c r="F15" s="37"/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37"/>
      <c r="R15" s="116">
        <v>0</v>
      </c>
      <c r="S15" s="116">
        <v>0</v>
      </c>
      <c r="T15" s="116">
        <v>0</v>
      </c>
    </row>
    <row r="16" spans="1:20">
      <c r="A16" s="48">
        <v>8</v>
      </c>
      <c r="B16" s="46" t="s">
        <v>323</v>
      </c>
      <c r="C16" s="46" t="s">
        <v>96</v>
      </c>
      <c r="D16" s="46"/>
      <c r="E16" s="117">
        <v>2152256451.4724302</v>
      </c>
      <c r="F16" s="37"/>
      <c r="G16" s="117">
        <v>1151250459.7114072</v>
      </c>
      <c r="H16" s="117">
        <v>285215881.91909903</v>
      </c>
      <c r="I16" s="117">
        <v>314195754.78811675</v>
      </c>
      <c r="J16" s="117">
        <v>193586023.21379155</v>
      </c>
      <c r="K16" s="117">
        <v>144751789.51022121</v>
      </c>
      <c r="L16" s="117">
        <v>0</v>
      </c>
      <c r="M16" s="117">
        <v>55835099.243052013</v>
      </c>
      <c r="N16" s="117">
        <v>0</v>
      </c>
      <c r="O16" s="117">
        <v>6679021.0986419963</v>
      </c>
      <c r="P16" s="117">
        <v>742421.98810065025</v>
      </c>
      <c r="Q16" s="37"/>
      <c r="R16" s="117">
        <v>135115778.46543851</v>
      </c>
      <c r="S16" s="117">
        <v>337866.53977969626</v>
      </c>
      <c r="T16" s="117">
        <v>9298144.5050030015</v>
      </c>
    </row>
    <row r="17" spans="1:20">
      <c r="A17" s="38">
        <v>9</v>
      </c>
      <c r="B17" s="37" t="s">
        <v>323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</row>
    <row r="18" spans="1:20">
      <c r="A18" s="38">
        <v>10</v>
      </c>
      <c r="B18" s="37"/>
      <c r="C18" s="43" t="s">
        <v>326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</row>
    <row r="19" spans="1:20">
      <c r="A19" s="38">
        <v>11</v>
      </c>
      <c r="B19" s="37" t="s">
        <v>323</v>
      </c>
      <c r="C19" s="37" t="s">
        <v>285</v>
      </c>
      <c r="D19" s="37"/>
      <c r="E19" s="116">
        <v>238618772.83330405</v>
      </c>
      <c r="F19" s="37"/>
      <c r="G19" s="116">
        <v>129210582.96487254</v>
      </c>
      <c r="H19" s="116">
        <v>29789886.561828271</v>
      </c>
      <c r="I19" s="116">
        <v>31885247.847519152</v>
      </c>
      <c r="J19" s="116">
        <v>16753078.452872984</v>
      </c>
      <c r="K19" s="116">
        <v>11835158.113270894</v>
      </c>
      <c r="L19" s="116">
        <v>2511273.8042275314</v>
      </c>
      <c r="M19" s="116">
        <v>4019765.3427144135</v>
      </c>
      <c r="N19" s="116">
        <v>12065635.961352201</v>
      </c>
      <c r="O19" s="116">
        <v>465618.25980474154</v>
      </c>
      <c r="P19" s="116">
        <v>82525.524841337843</v>
      </c>
      <c r="Q19" s="37"/>
      <c r="R19" s="116">
        <v>11834753.668793162</v>
      </c>
      <c r="S19" s="116">
        <v>404.44447773192746</v>
      </c>
      <c r="T19" s="116">
        <v>0</v>
      </c>
    </row>
    <row r="20" spans="1:20">
      <c r="A20" s="38">
        <v>12</v>
      </c>
      <c r="B20" s="37" t="s">
        <v>323</v>
      </c>
      <c r="C20" s="37" t="s">
        <v>39</v>
      </c>
      <c r="D20" s="37"/>
      <c r="E20" s="116">
        <v>715596056.25580621</v>
      </c>
      <c r="F20" s="37"/>
      <c r="G20" s="116">
        <v>342066213.83660358</v>
      </c>
      <c r="H20" s="116">
        <v>86915011.177932322</v>
      </c>
      <c r="I20" s="116">
        <v>96656148.366820097</v>
      </c>
      <c r="J20" s="116">
        <v>62378574.261298932</v>
      </c>
      <c r="K20" s="116">
        <v>47318676.26742278</v>
      </c>
      <c r="L20" s="116">
        <v>8547343.8767968696</v>
      </c>
      <c r="M20" s="116">
        <v>18785043.594832499</v>
      </c>
      <c r="N20" s="116">
        <v>50445718.295434132</v>
      </c>
      <c r="O20" s="116">
        <v>2261952.1329306895</v>
      </c>
      <c r="P20" s="116">
        <v>221374.44573433505</v>
      </c>
      <c r="Q20" s="37"/>
      <c r="R20" s="116">
        <v>43399443.237995751</v>
      </c>
      <c r="S20" s="116">
        <v>137038.44492947351</v>
      </c>
      <c r="T20" s="116">
        <v>3782194.5844975552</v>
      </c>
    </row>
    <row r="21" spans="1:20">
      <c r="A21" s="38">
        <v>13</v>
      </c>
      <c r="B21" s="37" t="s">
        <v>323</v>
      </c>
      <c r="C21" s="37" t="s">
        <v>324</v>
      </c>
      <c r="D21" s="37"/>
      <c r="E21" s="116">
        <v>0</v>
      </c>
      <c r="F21" s="37"/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37"/>
      <c r="R21" s="116">
        <v>0</v>
      </c>
      <c r="S21" s="116">
        <v>0</v>
      </c>
      <c r="T21" s="116">
        <v>0</v>
      </c>
    </row>
    <row r="22" spans="1:20">
      <c r="A22" s="38">
        <v>14</v>
      </c>
      <c r="B22" s="37" t="s">
        <v>325</v>
      </c>
      <c r="C22" s="37" t="s">
        <v>325</v>
      </c>
      <c r="D22" s="37"/>
      <c r="E22" s="116">
        <v>0</v>
      </c>
      <c r="F22" s="37"/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37"/>
      <c r="R22" s="116">
        <v>0</v>
      </c>
      <c r="S22" s="116">
        <v>0</v>
      </c>
      <c r="T22" s="116">
        <v>0</v>
      </c>
    </row>
    <row r="23" spans="1:20">
      <c r="A23" s="38">
        <v>15</v>
      </c>
      <c r="B23" s="37" t="s">
        <v>325</v>
      </c>
      <c r="C23" s="37" t="s">
        <v>325</v>
      </c>
      <c r="D23" s="37"/>
      <c r="E23" s="116">
        <v>0</v>
      </c>
      <c r="F23" s="37"/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  <c r="P23" s="116">
        <v>0</v>
      </c>
      <c r="Q23" s="37"/>
      <c r="R23" s="116">
        <v>0</v>
      </c>
      <c r="S23" s="116">
        <v>0</v>
      </c>
      <c r="T23" s="116">
        <v>0</v>
      </c>
    </row>
    <row r="24" spans="1:20">
      <c r="A24" s="38">
        <v>16</v>
      </c>
      <c r="B24" s="37" t="s">
        <v>325</v>
      </c>
      <c r="C24" s="37" t="s">
        <v>325</v>
      </c>
      <c r="D24" s="37"/>
      <c r="E24" s="116">
        <v>0</v>
      </c>
      <c r="F24" s="37"/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37"/>
      <c r="R24" s="116">
        <v>0</v>
      </c>
      <c r="S24" s="116">
        <v>0</v>
      </c>
      <c r="T24" s="116">
        <v>0</v>
      </c>
    </row>
    <row r="25" spans="1:20">
      <c r="A25" s="48">
        <v>17</v>
      </c>
      <c r="B25" s="46" t="s">
        <v>323</v>
      </c>
      <c r="C25" s="46" t="s">
        <v>96</v>
      </c>
      <c r="D25" s="46"/>
      <c r="E25" s="117">
        <v>954214829.08911026</v>
      </c>
      <c r="F25" s="37"/>
      <c r="G25" s="117">
        <v>471276796.80147612</v>
      </c>
      <c r="H25" s="117">
        <v>116704897.73976059</v>
      </c>
      <c r="I25" s="117">
        <v>128541396.21433926</v>
      </c>
      <c r="J25" s="117">
        <v>79131652.714171916</v>
      </c>
      <c r="K25" s="117">
        <v>59153834.380693674</v>
      </c>
      <c r="L25" s="117">
        <v>11058617.681024401</v>
      </c>
      <c r="M25" s="117">
        <v>22804808.937546913</v>
      </c>
      <c r="N25" s="117">
        <v>62511354.256786332</v>
      </c>
      <c r="O25" s="117">
        <v>2727570.392735431</v>
      </c>
      <c r="P25" s="117">
        <v>303899.97057567292</v>
      </c>
      <c r="Q25" s="37"/>
      <c r="R25" s="117">
        <v>55234196.906788915</v>
      </c>
      <c r="S25" s="117">
        <v>137442.88940720542</v>
      </c>
      <c r="T25" s="117">
        <v>3782194.5844975552</v>
      </c>
    </row>
    <row r="26" spans="1:20">
      <c r="A26" s="38">
        <v>18</v>
      </c>
      <c r="B26" s="37" t="s">
        <v>323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</row>
    <row r="27" spans="1:20">
      <c r="A27" s="38">
        <v>19</v>
      </c>
      <c r="B27" s="37"/>
      <c r="C27" s="43" t="s">
        <v>92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</row>
    <row r="28" spans="1:20">
      <c r="A28" s="38">
        <v>20</v>
      </c>
      <c r="B28" s="37" t="s">
        <v>323</v>
      </c>
      <c r="C28" s="37" t="s">
        <v>285</v>
      </c>
      <c r="D28" s="37"/>
      <c r="E28" s="116">
        <v>2115108237.325819</v>
      </c>
      <c r="F28" s="37"/>
      <c r="G28" s="116">
        <v>1390031250.3850579</v>
      </c>
      <c r="H28" s="116">
        <v>258477132.81018382</v>
      </c>
      <c r="I28" s="116">
        <v>221833767.55757788</v>
      </c>
      <c r="J28" s="116">
        <v>97679150.467207462</v>
      </c>
      <c r="K28" s="116">
        <v>98019041.905226842</v>
      </c>
      <c r="L28" s="116">
        <v>20086480.78163277</v>
      </c>
      <c r="M28" s="116">
        <v>13824106.147560937</v>
      </c>
      <c r="N28" s="116">
        <v>2670440.2639943054</v>
      </c>
      <c r="O28" s="116">
        <v>11731792.078745537</v>
      </c>
      <c r="P28" s="116">
        <v>755074.9286317178</v>
      </c>
      <c r="Q28" s="37"/>
      <c r="R28" s="116">
        <v>78910324.215934381</v>
      </c>
      <c r="S28" s="116">
        <v>944010.51081381296</v>
      </c>
      <c r="T28" s="116">
        <v>18164707.178478643</v>
      </c>
    </row>
    <row r="29" spans="1:20">
      <c r="A29" s="38">
        <v>21</v>
      </c>
      <c r="B29" s="37" t="s">
        <v>323</v>
      </c>
      <c r="C29" s="37" t="s">
        <v>39</v>
      </c>
      <c r="D29" s="37"/>
      <c r="E29" s="116">
        <v>0</v>
      </c>
      <c r="F29" s="37"/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37"/>
      <c r="R29" s="116">
        <v>0</v>
      </c>
      <c r="S29" s="116">
        <v>0</v>
      </c>
      <c r="T29" s="116">
        <v>0</v>
      </c>
    </row>
    <row r="30" spans="1:20">
      <c r="A30" s="38">
        <v>22</v>
      </c>
      <c r="B30" s="37" t="s">
        <v>323</v>
      </c>
      <c r="C30" s="37" t="s">
        <v>324</v>
      </c>
      <c r="D30" s="37"/>
      <c r="E30" s="116">
        <v>214438263.13872841</v>
      </c>
      <c r="F30" s="37"/>
      <c r="G30" s="116">
        <v>160342223.49365491</v>
      </c>
      <c r="H30" s="116">
        <v>-8025495.5507805943</v>
      </c>
      <c r="I30" s="116">
        <v>5600702.9066887796</v>
      </c>
      <c r="J30" s="116">
        <v>1135078.189270769</v>
      </c>
      <c r="K30" s="116">
        <v>15616576.972446118</v>
      </c>
      <c r="L30" s="116">
        <v>816965.48178927484</v>
      </c>
      <c r="M30" s="116">
        <v>584695.02068601793</v>
      </c>
      <c r="N30" s="116">
        <v>963487.12109145953</v>
      </c>
      <c r="O30" s="116">
        <v>37395634.228527024</v>
      </c>
      <c r="P30" s="116">
        <v>8395.2753546561671</v>
      </c>
      <c r="Q30" s="37"/>
      <c r="R30" s="116">
        <v>11917056.061791768</v>
      </c>
      <c r="S30" s="116">
        <v>36613.540936996331</v>
      </c>
      <c r="T30" s="116">
        <v>3662907.3697173516</v>
      </c>
    </row>
    <row r="31" spans="1:20">
      <c r="A31" s="38">
        <v>23</v>
      </c>
      <c r="B31" s="37" t="s">
        <v>325</v>
      </c>
      <c r="C31" s="37" t="s">
        <v>325</v>
      </c>
      <c r="D31" s="37"/>
      <c r="E31" s="116">
        <v>0</v>
      </c>
      <c r="F31" s="37"/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37"/>
      <c r="R31" s="116">
        <v>0</v>
      </c>
      <c r="S31" s="116">
        <v>0</v>
      </c>
      <c r="T31" s="116">
        <v>0</v>
      </c>
    </row>
    <row r="32" spans="1:20">
      <c r="A32" s="38">
        <v>24</v>
      </c>
      <c r="B32" s="37" t="s">
        <v>325</v>
      </c>
      <c r="C32" s="37" t="s">
        <v>325</v>
      </c>
      <c r="D32" s="37"/>
      <c r="E32" s="116">
        <v>0</v>
      </c>
      <c r="F32" s="37"/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37"/>
      <c r="R32" s="116">
        <v>0</v>
      </c>
      <c r="S32" s="116">
        <v>0</v>
      </c>
      <c r="T32" s="116">
        <v>0</v>
      </c>
    </row>
    <row r="33" spans="1:20">
      <c r="A33" s="38">
        <v>25</v>
      </c>
      <c r="B33" s="37" t="s">
        <v>325</v>
      </c>
      <c r="C33" s="37" t="s">
        <v>325</v>
      </c>
      <c r="D33" s="37"/>
      <c r="E33" s="116">
        <v>0</v>
      </c>
      <c r="F33" s="37"/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37"/>
      <c r="R33" s="116">
        <v>0</v>
      </c>
      <c r="S33" s="116">
        <v>0</v>
      </c>
      <c r="T33" s="116">
        <v>0</v>
      </c>
    </row>
    <row r="34" spans="1:20">
      <c r="A34" s="48">
        <v>26</v>
      </c>
      <c r="B34" s="46" t="s">
        <v>323</v>
      </c>
      <c r="C34" s="46" t="s">
        <v>96</v>
      </c>
      <c r="D34" s="46"/>
      <c r="E34" s="117">
        <v>2329546500.4645476</v>
      </c>
      <c r="F34" s="37"/>
      <c r="G34" s="117">
        <v>1550373473.8787129</v>
      </c>
      <c r="H34" s="117">
        <v>250451637.25940323</v>
      </c>
      <c r="I34" s="117">
        <v>227434470.46426666</v>
      </c>
      <c r="J34" s="117">
        <v>98814228.656478226</v>
      </c>
      <c r="K34" s="117">
        <v>113635618.87767296</v>
      </c>
      <c r="L34" s="117">
        <v>20903446.263422046</v>
      </c>
      <c r="M34" s="117">
        <v>14408801.168246955</v>
      </c>
      <c r="N34" s="117">
        <v>3633927.3850857648</v>
      </c>
      <c r="O34" s="117">
        <v>49127426.307272561</v>
      </c>
      <c r="P34" s="117">
        <v>763470.20398637396</v>
      </c>
      <c r="Q34" s="37"/>
      <c r="R34" s="117">
        <v>90827380.277726144</v>
      </c>
      <c r="S34" s="117">
        <v>980624.0517508093</v>
      </c>
      <c r="T34" s="117">
        <v>21827614.548195995</v>
      </c>
    </row>
    <row r="35" spans="1:20">
      <c r="A35" s="38"/>
      <c r="B35" s="37" t="s">
        <v>323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</row>
    <row r="36" spans="1:20">
      <c r="A36" s="38"/>
      <c r="B36" s="37" t="s">
        <v>325</v>
      </c>
      <c r="C36" s="43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</row>
    <row r="37" spans="1:20">
      <c r="A37" s="38"/>
      <c r="B37" s="37" t="s">
        <v>325</v>
      </c>
      <c r="C37" s="37" t="s">
        <v>325</v>
      </c>
      <c r="D37" s="37"/>
      <c r="E37" s="116">
        <v>0</v>
      </c>
      <c r="F37" s="37"/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37"/>
      <c r="R37" s="116">
        <v>0</v>
      </c>
      <c r="S37" s="116">
        <v>0</v>
      </c>
      <c r="T37" s="116">
        <v>0</v>
      </c>
    </row>
    <row r="38" spans="1:20">
      <c r="A38" s="38"/>
      <c r="B38" s="37" t="s">
        <v>325</v>
      </c>
      <c r="C38" s="37" t="s">
        <v>325</v>
      </c>
      <c r="D38" s="37"/>
      <c r="E38" s="116">
        <v>0</v>
      </c>
      <c r="F38" s="37"/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37"/>
      <c r="R38" s="116">
        <v>0</v>
      </c>
      <c r="S38" s="116">
        <v>0</v>
      </c>
      <c r="T38" s="116">
        <v>0</v>
      </c>
    </row>
    <row r="39" spans="1:20">
      <c r="A39" s="38"/>
      <c r="B39" s="37" t="s">
        <v>325</v>
      </c>
      <c r="C39" s="37" t="s">
        <v>325</v>
      </c>
      <c r="D39" s="37"/>
      <c r="E39" s="116">
        <v>0</v>
      </c>
      <c r="F39" s="37"/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37"/>
      <c r="R39" s="116">
        <v>0</v>
      </c>
      <c r="S39" s="116">
        <v>0</v>
      </c>
      <c r="T39" s="116">
        <v>0</v>
      </c>
    </row>
    <row r="40" spans="1:20">
      <c r="A40" s="38"/>
      <c r="B40" s="37" t="s">
        <v>325</v>
      </c>
      <c r="C40" s="37" t="s">
        <v>325</v>
      </c>
      <c r="D40" s="37"/>
      <c r="E40" s="116">
        <v>0</v>
      </c>
      <c r="F40" s="37"/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v>0</v>
      </c>
      <c r="M40" s="116">
        <v>0</v>
      </c>
      <c r="N40" s="116">
        <v>0</v>
      </c>
      <c r="O40" s="116">
        <v>0</v>
      </c>
      <c r="P40" s="116">
        <v>0</v>
      </c>
      <c r="Q40" s="37"/>
      <c r="R40" s="116">
        <v>0</v>
      </c>
      <c r="S40" s="116">
        <v>0</v>
      </c>
      <c r="T40" s="116">
        <v>0</v>
      </c>
    </row>
    <row r="41" spans="1:20">
      <c r="A41" s="38"/>
      <c r="B41" s="37" t="s">
        <v>325</v>
      </c>
      <c r="C41" s="37" t="s">
        <v>325</v>
      </c>
      <c r="D41" s="37"/>
      <c r="E41" s="116">
        <v>0</v>
      </c>
      <c r="F41" s="37"/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16">
        <v>0</v>
      </c>
      <c r="O41" s="116">
        <v>0</v>
      </c>
      <c r="P41" s="116">
        <v>0</v>
      </c>
      <c r="Q41" s="37"/>
      <c r="R41" s="116">
        <v>0</v>
      </c>
      <c r="S41" s="116">
        <v>0</v>
      </c>
      <c r="T41" s="116">
        <v>0</v>
      </c>
    </row>
    <row r="42" spans="1:20">
      <c r="A42" s="38"/>
      <c r="B42" s="37" t="s">
        <v>325</v>
      </c>
      <c r="C42" s="37" t="s">
        <v>325</v>
      </c>
      <c r="D42" s="37"/>
      <c r="E42" s="116">
        <v>0</v>
      </c>
      <c r="F42" s="37"/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v>0</v>
      </c>
      <c r="M42" s="116">
        <v>0</v>
      </c>
      <c r="N42" s="116">
        <v>0</v>
      </c>
      <c r="O42" s="116">
        <v>0</v>
      </c>
      <c r="P42" s="116">
        <v>0</v>
      </c>
      <c r="Q42" s="37"/>
      <c r="R42" s="116">
        <v>0</v>
      </c>
      <c r="S42" s="116">
        <v>0</v>
      </c>
      <c r="T42" s="116">
        <v>0</v>
      </c>
    </row>
    <row r="43" spans="1:20">
      <c r="A43" s="48"/>
      <c r="B43" s="46" t="s">
        <v>325</v>
      </c>
      <c r="C43" s="46" t="s">
        <v>325</v>
      </c>
      <c r="D43" s="46"/>
      <c r="E43" s="117">
        <v>0</v>
      </c>
      <c r="F43" s="37"/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37"/>
      <c r="R43" s="117">
        <v>0</v>
      </c>
      <c r="S43" s="117">
        <v>0</v>
      </c>
      <c r="T43" s="117">
        <v>0</v>
      </c>
    </row>
    <row r="44" spans="1:20">
      <c r="A44" s="38"/>
      <c r="B44" s="37" t="s">
        <v>325</v>
      </c>
      <c r="C44" s="43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spans="1:20">
      <c r="A45" s="38"/>
      <c r="B45" s="37" t="s">
        <v>325</v>
      </c>
      <c r="C45" s="43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1:20">
      <c r="A46" s="38"/>
      <c r="B46" s="37" t="s">
        <v>325</v>
      </c>
      <c r="C46" s="37" t="s">
        <v>325</v>
      </c>
      <c r="D46" s="37"/>
      <c r="E46" s="116">
        <v>0</v>
      </c>
      <c r="F46" s="37"/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37"/>
      <c r="R46" s="116">
        <v>0</v>
      </c>
      <c r="S46" s="116">
        <v>0</v>
      </c>
      <c r="T46" s="116">
        <v>0</v>
      </c>
    </row>
    <row r="47" spans="1:20">
      <c r="A47" s="38"/>
      <c r="B47" s="37" t="s">
        <v>325</v>
      </c>
      <c r="C47" s="37" t="s">
        <v>325</v>
      </c>
      <c r="D47" s="37"/>
      <c r="E47" s="116">
        <v>0</v>
      </c>
      <c r="F47" s="37"/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37"/>
      <c r="R47" s="116">
        <v>0</v>
      </c>
      <c r="S47" s="116">
        <v>0</v>
      </c>
      <c r="T47" s="116">
        <v>0</v>
      </c>
    </row>
    <row r="48" spans="1:20">
      <c r="A48" s="38"/>
      <c r="B48" s="37" t="s">
        <v>325</v>
      </c>
      <c r="C48" s="37" t="s">
        <v>325</v>
      </c>
      <c r="D48" s="37"/>
      <c r="E48" s="116">
        <v>0</v>
      </c>
      <c r="F48" s="37"/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37"/>
      <c r="R48" s="116">
        <v>0</v>
      </c>
      <c r="S48" s="116">
        <v>0</v>
      </c>
      <c r="T48" s="116">
        <v>0</v>
      </c>
    </row>
    <row r="49" spans="1:20">
      <c r="A49" s="38"/>
      <c r="B49" s="37" t="s">
        <v>325</v>
      </c>
      <c r="C49" s="37" t="s">
        <v>325</v>
      </c>
      <c r="D49" s="37"/>
      <c r="E49" s="116">
        <v>0</v>
      </c>
      <c r="F49" s="37"/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37"/>
      <c r="R49" s="116">
        <v>0</v>
      </c>
      <c r="S49" s="116">
        <v>0</v>
      </c>
      <c r="T49" s="116">
        <v>0</v>
      </c>
    </row>
    <row r="50" spans="1:20">
      <c r="A50" s="38"/>
      <c r="B50" s="37" t="s">
        <v>325</v>
      </c>
      <c r="C50" s="37" t="s">
        <v>325</v>
      </c>
      <c r="D50" s="37"/>
      <c r="E50" s="116">
        <v>0</v>
      </c>
      <c r="F50" s="37"/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37"/>
      <c r="R50" s="116">
        <v>0</v>
      </c>
      <c r="S50" s="116">
        <v>0</v>
      </c>
      <c r="T50" s="116">
        <v>0</v>
      </c>
    </row>
    <row r="51" spans="1:20">
      <c r="A51" s="38"/>
      <c r="B51" s="37" t="s">
        <v>325</v>
      </c>
      <c r="C51" s="37" t="s">
        <v>325</v>
      </c>
      <c r="D51" s="37"/>
      <c r="E51" s="116">
        <v>0</v>
      </c>
      <c r="F51" s="37"/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37"/>
      <c r="R51" s="116">
        <v>0</v>
      </c>
      <c r="S51" s="116">
        <v>0</v>
      </c>
      <c r="T51" s="116">
        <v>0</v>
      </c>
    </row>
    <row r="52" spans="1:20">
      <c r="A52" s="48"/>
      <c r="B52" s="46" t="s">
        <v>325</v>
      </c>
      <c r="C52" s="46" t="s">
        <v>325</v>
      </c>
      <c r="D52" s="46"/>
      <c r="E52" s="117">
        <v>0</v>
      </c>
      <c r="F52" s="37"/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37"/>
      <c r="R52" s="117">
        <v>0</v>
      </c>
      <c r="S52" s="117">
        <v>0</v>
      </c>
      <c r="T52" s="117">
        <v>0</v>
      </c>
    </row>
    <row r="53" spans="1:20">
      <c r="A53" s="38"/>
      <c r="B53" s="37" t="s">
        <v>325</v>
      </c>
      <c r="C53" s="43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</row>
    <row r="54" spans="1:20">
      <c r="A54" s="38"/>
      <c r="B54" s="37" t="s">
        <v>325</v>
      </c>
      <c r="C54" s="43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</row>
    <row r="55" spans="1:20">
      <c r="A55" s="38"/>
      <c r="B55" s="37" t="s">
        <v>325</v>
      </c>
      <c r="C55" s="37" t="s">
        <v>325</v>
      </c>
      <c r="D55" s="37"/>
      <c r="E55" s="116">
        <v>0</v>
      </c>
      <c r="F55" s="37"/>
      <c r="G55" s="116">
        <v>0</v>
      </c>
      <c r="H55" s="116">
        <v>0</v>
      </c>
      <c r="I55" s="116">
        <v>0</v>
      </c>
      <c r="J55" s="116">
        <v>0</v>
      </c>
      <c r="K55" s="116">
        <v>0</v>
      </c>
      <c r="L55" s="116">
        <v>0</v>
      </c>
      <c r="M55" s="116">
        <v>0</v>
      </c>
      <c r="N55" s="116">
        <v>0</v>
      </c>
      <c r="O55" s="116">
        <v>0</v>
      </c>
      <c r="P55" s="116">
        <v>0</v>
      </c>
      <c r="Q55" s="37"/>
      <c r="R55" s="116">
        <v>0</v>
      </c>
      <c r="S55" s="116">
        <v>0</v>
      </c>
      <c r="T55" s="116">
        <v>0</v>
      </c>
    </row>
    <row r="56" spans="1:20">
      <c r="A56" s="38"/>
      <c r="B56" s="37" t="s">
        <v>325</v>
      </c>
      <c r="C56" s="37" t="s">
        <v>325</v>
      </c>
      <c r="D56" s="37"/>
      <c r="E56" s="116">
        <v>0</v>
      </c>
      <c r="F56" s="37"/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37"/>
      <c r="R56" s="116">
        <v>0</v>
      </c>
      <c r="S56" s="116">
        <v>0</v>
      </c>
      <c r="T56" s="116">
        <v>0</v>
      </c>
    </row>
    <row r="57" spans="1:20">
      <c r="A57" s="38"/>
      <c r="B57" s="37" t="s">
        <v>325</v>
      </c>
      <c r="C57" s="37" t="s">
        <v>325</v>
      </c>
      <c r="D57" s="37"/>
      <c r="E57" s="116">
        <v>0</v>
      </c>
      <c r="F57" s="37"/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37"/>
      <c r="R57" s="116">
        <v>0</v>
      </c>
      <c r="S57" s="116">
        <v>0</v>
      </c>
      <c r="T57" s="116">
        <v>0</v>
      </c>
    </row>
    <row r="58" spans="1:20">
      <c r="A58" s="38"/>
      <c r="B58" s="37" t="s">
        <v>325</v>
      </c>
      <c r="C58" s="37" t="s">
        <v>325</v>
      </c>
      <c r="D58" s="37"/>
      <c r="E58" s="116">
        <v>0</v>
      </c>
      <c r="F58" s="37"/>
      <c r="G58" s="116">
        <v>0</v>
      </c>
      <c r="H58" s="116">
        <v>0</v>
      </c>
      <c r="I58" s="116">
        <v>0</v>
      </c>
      <c r="J58" s="116">
        <v>0</v>
      </c>
      <c r="K58" s="116">
        <v>0</v>
      </c>
      <c r="L58" s="116">
        <v>0</v>
      </c>
      <c r="M58" s="116">
        <v>0</v>
      </c>
      <c r="N58" s="116">
        <v>0</v>
      </c>
      <c r="O58" s="116">
        <v>0</v>
      </c>
      <c r="P58" s="116">
        <v>0</v>
      </c>
      <c r="Q58" s="37"/>
      <c r="R58" s="116">
        <v>0</v>
      </c>
      <c r="S58" s="116">
        <v>0</v>
      </c>
      <c r="T58" s="116">
        <v>0</v>
      </c>
    </row>
    <row r="59" spans="1:20">
      <c r="A59" s="38"/>
      <c r="B59" s="37" t="s">
        <v>325</v>
      </c>
      <c r="C59" s="37" t="s">
        <v>325</v>
      </c>
      <c r="D59" s="37"/>
      <c r="E59" s="116">
        <v>0</v>
      </c>
      <c r="F59" s="37"/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37"/>
      <c r="R59" s="116">
        <v>0</v>
      </c>
      <c r="S59" s="116">
        <v>0</v>
      </c>
      <c r="T59" s="116">
        <v>0</v>
      </c>
    </row>
    <row r="60" spans="1:20">
      <c r="A60" s="38"/>
      <c r="B60" s="37" t="s">
        <v>325</v>
      </c>
      <c r="C60" s="37" t="s">
        <v>325</v>
      </c>
      <c r="D60" s="37"/>
      <c r="E60" s="116">
        <v>0</v>
      </c>
      <c r="F60" s="37"/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v>0</v>
      </c>
      <c r="M60" s="116">
        <v>0</v>
      </c>
      <c r="N60" s="116">
        <v>0</v>
      </c>
      <c r="O60" s="116">
        <v>0</v>
      </c>
      <c r="P60" s="116">
        <v>0</v>
      </c>
      <c r="Q60" s="37"/>
      <c r="R60" s="116">
        <v>0</v>
      </c>
      <c r="S60" s="116">
        <v>0</v>
      </c>
      <c r="T60" s="116">
        <v>0</v>
      </c>
    </row>
    <row r="61" spans="1:20">
      <c r="A61" s="48"/>
      <c r="B61" s="46" t="s">
        <v>325</v>
      </c>
      <c r="C61" s="46" t="s">
        <v>325</v>
      </c>
      <c r="D61" s="46"/>
      <c r="E61" s="117">
        <v>0</v>
      </c>
      <c r="F61" s="37"/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37"/>
      <c r="R61" s="117">
        <v>0</v>
      </c>
      <c r="S61" s="117">
        <v>0</v>
      </c>
      <c r="T61" s="117">
        <v>0</v>
      </c>
    </row>
    <row r="62" spans="1:20">
      <c r="A62" s="38"/>
      <c r="B62" s="37" t="s">
        <v>325</v>
      </c>
      <c r="C62" s="43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</row>
    <row r="63" spans="1:20">
      <c r="A63" s="38"/>
      <c r="B63" s="37" t="s">
        <v>325</v>
      </c>
      <c r="C63" s="43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</row>
    <row r="64" spans="1:20">
      <c r="A64" s="38"/>
      <c r="B64" s="37" t="s">
        <v>325</v>
      </c>
      <c r="C64" s="37" t="s">
        <v>325</v>
      </c>
      <c r="D64" s="37"/>
      <c r="E64" s="116">
        <v>0</v>
      </c>
      <c r="F64" s="37"/>
      <c r="G64" s="116">
        <v>0</v>
      </c>
      <c r="H64" s="116">
        <v>0</v>
      </c>
      <c r="I64" s="116">
        <v>0</v>
      </c>
      <c r="J64" s="116">
        <v>0</v>
      </c>
      <c r="K64" s="116">
        <v>0</v>
      </c>
      <c r="L64" s="116">
        <v>0</v>
      </c>
      <c r="M64" s="116">
        <v>0</v>
      </c>
      <c r="N64" s="116">
        <v>0</v>
      </c>
      <c r="O64" s="116">
        <v>0</v>
      </c>
      <c r="P64" s="116">
        <v>0</v>
      </c>
      <c r="Q64" s="37"/>
      <c r="R64" s="116">
        <v>0</v>
      </c>
      <c r="S64" s="116">
        <v>0</v>
      </c>
      <c r="T64" s="116">
        <v>0</v>
      </c>
    </row>
    <row r="65" spans="1:20">
      <c r="A65" s="38"/>
      <c r="B65" s="37" t="s">
        <v>325</v>
      </c>
      <c r="C65" s="37" t="s">
        <v>325</v>
      </c>
      <c r="D65" s="37"/>
      <c r="E65" s="116">
        <v>0</v>
      </c>
      <c r="F65" s="37"/>
      <c r="G65" s="116">
        <v>0</v>
      </c>
      <c r="H65" s="116">
        <v>0</v>
      </c>
      <c r="I65" s="116">
        <v>0</v>
      </c>
      <c r="J65" s="116">
        <v>0</v>
      </c>
      <c r="K65" s="116">
        <v>0</v>
      </c>
      <c r="L65" s="116">
        <v>0</v>
      </c>
      <c r="M65" s="116">
        <v>0</v>
      </c>
      <c r="N65" s="116">
        <v>0</v>
      </c>
      <c r="O65" s="116">
        <v>0</v>
      </c>
      <c r="P65" s="116">
        <v>0</v>
      </c>
      <c r="Q65" s="37"/>
      <c r="R65" s="116">
        <v>0</v>
      </c>
      <c r="S65" s="116">
        <v>0</v>
      </c>
      <c r="T65" s="116">
        <v>0</v>
      </c>
    </row>
    <row r="66" spans="1:20">
      <c r="A66" s="38"/>
      <c r="B66" s="37" t="s">
        <v>325</v>
      </c>
      <c r="C66" s="37" t="s">
        <v>325</v>
      </c>
      <c r="D66" s="37"/>
      <c r="E66" s="116">
        <v>0</v>
      </c>
      <c r="F66" s="37"/>
      <c r="G66" s="116">
        <v>0</v>
      </c>
      <c r="H66" s="116">
        <v>0</v>
      </c>
      <c r="I66" s="116">
        <v>0</v>
      </c>
      <c r="J66" s="116">
        <v>0</v>
      </c>
      <c r="K66" s="116">
        <v>0</v>
      </c>
      <c r="L66" s="116">
        <v>0</v>
      </c>
      <c r="M66" s="116">
        <v>0</v>
      </c>
      <c r="N66" s="116">
        <v>0</v>
      </c>
      <c r="O66" s="116">
        <v>0</v>
      </c>
      <c r="P66" s="116">
        <v>0</v>
      </c>
      <c r="Q66" s="37"/>
      <c r="R66" s="116">
        <v>0</v>
      </c>
      <c r="S66" s="116">
        <v>0</v>
      </c>
      <c r="T66" s="116">
        <v>0</v>
      </c>
    </row>
    <row r="67" spans="1:20">
      <c r="A67" s="38"/>
      <c r="B67" s="37" t="s">
        <v>325</v>
      </c>
      <c r="C67" s="37" t="s">
        <v>325</v>
      </c>
      <c r="D67" s="37"/>
      <c r="E67" s="116">
        <v>0</v>
      </c>
      <c r="F67" s="37"/>
      <c r="G67" s="116">
        <v>0</v>
      </c>
      <c r="H67" s="116">
        <v>0</v>
      </c>
      <c r="I67" s="116">
        <v>0</v>
      </c>
      <c r="J67" s="116">
        <v>0</v>
      </c>
      <c r="K67" s="116">
        <v>0</v>
      </c>
      <c r="L67" s="116">
        <v>0</v>
      </c>
      <c r="M67" s="116">
        <v>0</v>
      </c>
      <c r="N67" s="116">
        <v>0</v>
      </c>
      <c r="O67" s="116">
        <v>0</v>
      </c>
      <c r="P67" s="116">
        <v>0</v>
      </c>
      <c r="Q67" s="37"/>
      <c r="R67" s="116">
        <v>0</v>
      </c>
      <c r="S67" s="116">
        <v>0</v>
      </c>
      <c r="T67" s="116">
        <v>0</v>
      </c>
    </row>
    <row r="68" spans="1:20">
      <c r="A68" s="38"/>
      <c r="B68" s="37" t="s">
        <v>325</v>
      </c>
      <c r="C68" s="37" t="s">
        <v>325</v>
      </c>
      <c r="D68" s="37"/>
      <c r="E68" s="116">
        <v>0</v>
      </c>
      <c r="F68" s="37"/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v>0</v>
      </c>
      <c r="M68" s="116">
        <v>0</v>
      </c>
      <c r="N68" s="116">
        <v>0</v>
      </c>
      <c r="O68" s="116">
        <v>0</v>
      </c>
      <c r="P68" s="116">
        <v>0</v>
      </c>
      <c r="Q68" s="37"/>
      <c r="R68" s="116">
        <v>0</v>
      </c>
      <c r="S68" s="116">
        <v>0</v>
      </c>
      <c r="T68" s="116">
        <v>0</v>
      </c>
    </row>
    <row r="69" spans="1:20">
      <c r="A69" s="38"/>
      <c r="B69" s="37" t="s">
        <v>325</v>
      </c>
      <c r="C69" s="37" t="s">
        <v>325</v>
      </c>
      <c r="D69" s="37"/>
      <c r="E69" s="116">
        <v>0</v>
      </c>
      <c r="F69" s="37"/>
      <c r="G69" s="116">
        <v>0</v>
      </c>
      <c r="H69" s="116">
        <v>0</v>
      </c>
      <c r="I69" s="116">
        <v>0</v>
      </c>
      <c r="J69" s="116">
        <v>0</v>
      </c>
      <c r="K69" s="116">
        <v>0</v>
      </c>
      <c r="L69" s="116">
        <v>0</v>
      </c>
      <c r="M69" s="116">
        <v>0</v>
      </c>
      <c r="N69" s="116">
        <v>0</v>
      </c>
      <c r="O69" s="116">
        <v>0</v>
      </c>
      <c r="P69" s="116">
        <v>0</v>
      </c>
      <c r="Q69" s="37"/>
      <c r="R69" s="116">
        <v>0</v>
      </c>
      <c r="S69" s="116">
        <v>0</v>
      </c>
      <c r="T69" s="116">
        <v>0</v>
      </c>
    </row>
    <row r="70" spans="1:20">
      <c r="A70" s="48"/>
      <c r="B70" s="46" t="s">
        <v>325</v>
      </c>
      <c r="C70" s="46" t="s">
        <v>325</v>
      </c>
      <c r="D70" s="46"/>
      <c r="E70" s="117">
        <v>0</v>
      </c>
      <c r="F70" s="37"/>
      <c r="G70" s="117">
        <v>0</v>
      </c>
      <c r="H70" s="117">
        <v>0</v>
      </c>
      <c r="I70" s="117">
        <v>0</v>
      </c>
      <c r="J70" s="117">
        <v>0</v>
      </c>
      <c r="K70" s="117">
        <v>0</v>
      </c>
      <c r="L70" s="117">
        <v>0</v>
      </c>
      <c r="M70" s="117">
        <v>0</v>
      </c>
      <c r="N70" s="117">
        <v>0</v>
      </c>
      <c r="O70" s="117">
        <v>0</v>
      </c>
      <c r="P70" s="117">
        <v>0</v>
      </c>
      <c r="Q70" s="37"/>
      <c r="R70" s="117">
        <v>0</v>
      </c>
      <c r="S70" s="117">
        <v>0</v>
      </c>
      <c r="T70" s="117">
        <v>0</v>
      </c>
    </row>
    <row r="71" spans="1:20">
      <c r="A71" s="38"/>
      <c r="B71" s="37" t="s">
        <v>325</v>
      </c>
      <c r="C71" s="43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</row>
    <row r="72" spans="1:20">
      <c r="A72" s="38"/>
      <c r="B72" s="37" t="s">
        <v>325</v>
      </c>
      <c r="C72" s="43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</row>
    <row r="73" spans="1:20">
      <c r="A73" s="38"/>
      <c r="B73" s="37" t="s">
        <v>325</v>
      </c>
      <c r="C73" s="37" t="s">
        <v>325</v>
      </c>
      <c r="D73" s="37"/>
      <c r="E73" s="116">
        <v>0</v>
      </c>
      <c r="F73" s="37"/>
      <c r="G73" s="116">
        <v>0</v>
      </c>
      <c r="H73" s="116">
        <v>0</v>
      </c>
      <c r="I73" s="116">
        <v>0</v>
      </c>
      <c r="J73" s="116">
        <v>0</v>
      </c>
      <c r="K73" s="116">
        <v>0</v>
      </c>
      <c r="L73" s="116">
        <v>0</v>
      </c>
      <c r="M73" s="116">
        <v>0</v>
      </c>
      <c r="N73" s="116">
        <v>0</v>
      </c>
      <c r="O73" s="116">
        <v>0</v>
      </c>
      <c r="P73" s="116">
        <v>0</v>
      </c>
      <c r="Q73" s="37"/>
      <c r="R73" s="116">
        <v>0</v>
      </c>
      <c r="S73" s="116">
        <v>0</v>
      </c>
      <c r="T73" s="116">
        <v>0</v>
      </c>
    </row>
    <row r="74" spans="1:20">
      <c r="A74" s="38"/>
      <c r="B74" s="37" t="s">
        <v>325</v>
      </c>
      <c r="C74" s="37" t="s">
        <v>325</v>
      </c>
      <c r="D74" s="37"/>
      <c r="E74" s="116">
        <v>0</v>
      </c>
      <c r="F74" s="37"/>
      <c r="G74" s="116">
        <v>0</v>
      </c>
      <c r="H74" s="116">
        <v>0</v>
      </c>
      <c r="I74" s="116">
        <v>0</v>
      </c>
      <c r="J74" s="116">
        <v>0</v>
      </c>
      <c r="K74" s="116">
        <v>0</v>
      </c>
      <c r="L74" s="116">
        <v>0</v>
      </c>
      <c r="M74" s="116">
        <v>0</v>
      </c>
      <c r="N74" s="116">
        <v>0</v>
      </c>
      <c r="O74" s="116">
        <v>0</v>
      </c>
      <c r="P74" s="116">
        <v>0</v>
      </c>
      <c r="Q74" s="37"/>
      <c r="R74" s="116">
        <v>0</v>
      </c>
      <c r="S74" s="116">
        <v>0</v>
      </c>
      <c r="T74" s="116">
        <v>0</v>
      </c>
    </row>
    <row r="75" spans="1:20">
      <c r="A75" s="38"/>
      <c r="B75" s="37" t="s">
        <v>325</v>
      </c>
      <c r="C75" s="37" t="s">
        <v>325</v>
      </c>
      <c r="D75" s="37"/>
      <c r="E75" s="116">
        <v>0</v>
      </c>
      <c r="F75" s="37"/>
      <c r="G75" s="116">
        <v>0</v>
      </c>
      <c r="H75" s="116">
        <v>0</v>
      </c>
      <c r="I75" s="116">
        <v>0</v>
      </c>
      <c r="J75" s="116">
        <v>0</v>
      </c>
      <c r="K75" s="116">
        <v>0</v>
      </c>
      <c r="L75" s="116">
        <v>0</v>
      </c>
      <c r="M75" s="116">
        <v>0</v>
      </c>
      <c r="N75" s="116">
        <v>0</v>
      </c>
      <c r="O75" s="116">
        <v>0</v>
      </c>
      <c r="P75" s="116">
        <v>0</v>
      </c>
      <c r="Q75" s="37"/>
      <c r="R75" s="116">
        <v>0</v>
      </c>
      <c r="S75" s="116">
        <v>0</v>
      </c>
      <c r="T75" s="116">
        <v>0</v>
      </c>
    </row>
    <row r="76" spans="1:20">
      <c r="A76" s="38"/>
      <c r="B76" s="37" t="s">
        <v>325</v>
      </c>
      <c r="C76" s="37" t="s">
        <v>325</v>
      </c>
      <c r="D76" s="37"/>
      <c r="E76" s="116">
        <v>0</v>
      </c>
      <c r="F76" s="37"/>
      <c r="G76" s="116">
        <v>0</v>
      </c>
      <c r="H76" s="116">
        <v>0</v>
      </c>
      <c r="I76" s="116">
        <v>0</v>
      </c>
      <c r="J76" s="116">
        <v>0</v>
      </c>
      <c r="K76" s="116">
        <v>0</v>
      </c>
      <c r="L76" s="116">
        <v>0</v>
      </c>
      <c r="M76" s="116">
        <v>0</v>
      </c>
      <c r="N76" s="116">
        <v>0</v>
      </c>
      <c r="O76" s="116">
        <v>0</v>
      </c>
      <c r="P76" s="116">
        <v>0</v>
      </c>
      <c r="Q76" s="37"/>
      <c r="R76" s="116">
        <v>0</v>
      </c>
      <c r="S76" s="116">
        <v>0</v>
      </c>
      <c r="T76" s="116">
        <v>0</v>
      </c>
    </row>
    <row r="77" spans="1:20">
      <c r="A77" s="38"/>
      <c r="B77" s="37" t="s">
        <v>325</v>
      </c>
      <c r="C77" s="37" t="s">
        <v>325</v>
      </c>
      <c r="D77" s="37"/>
      <c r="E77" s="116">
        <v>0</v>
      </c>
      <c r="F77" s="37"/>
      <c r="G77" s="116">
        <v>0</v>
      </c>
      <c r="H77" s="116">
        <v>0</v>
      </c>
      <c r="I77" s="116">
        <v>0</v>
      </c>
      <c r="J77" s="116">
        <v>0</v>
      </c>
      <c r="K77" s="116">
        <v>0</v>
      </c>
      <c r="L77" s="116">
        <v>0</v>
      </c>
      <c r="M77" s="116">
        <v>0</v>
      </c>
      <c r="N77" s="116">
        <v>0</v>
      </c>
      <c r="O77" s="116">
        <v>0</v>
      </c>
      <c r="P77" s="116">
        <v>0</v>
      </c>
      <c r="Q77" s="37"/>
      <c r="R77" s="116">
        <v>0</v>
      </c>
      <c r="S77" s="116">
        <v>0</v>
      </c>
      <c r="T77" s="116">
        <v>0</v>
      </c>
    </row>
    <row r="78" spans="1:20">
      <c r="A78" s="38"/>
      <c r="B78" s="37" t="s">
        <v>325</v>
      </c>
      <c r="C78" s="37" t="s">
        <v>325</v>
      </c>
      <c r="D78" s="37"/>
      <c r="E78" s="116">
        <v>0</v>
      </c>
      <c r="F78" s="37"/>
      <c r="G78" s="116">
        <v>0</v>
      </c>
      <c r="H78" s="116">
        <v>0</v>
      </c>
      <c r="I78" s="116">
        <v>0</v>
      </c>
      <c r="J78" s="116">
        <v>0</v>
      </c>
      <c r="K78" s="116">
        <v>0</v>
      </c>
      <c r="L78" s="116">
        <v>0</v>
      </c>
      <c r="M78" s="116">
        <v>0</v>
      </c>
      <c r="N78" s="116">
        <v>0</v>
      </c>
      <c r="O78" s="116">
        <v>0</v>
      </c>
      <c r="P78" s="116">
        <v>0</v>
      </c>
      <c r="Q78" s="37"/>
      <c r="R78" s="116">
        <v>0</v>
      </c>
      <c r="S78" s="116">
        <v>0</v>
      </c>
      <c r="T78" s="116">
        <v>0</v>
      </c>
    </row>
    <row r="79" spans="1:20">
      <c r="A79" s="48"/>
      <c r="B79" s="46" t="s">
        <v>325</v>
      </c>
      <c r="C79" s="46" t="s">
        <v>325</v>
      </c>
      <c r="D79" s="46"/>
      <c r="E79" s="117">
        <v>0</v>
      </c>
      <c r="F79" s="37"/>
      <c r="G79" s="117">
        <v>0</v>
      </c>
      <c r="H79" s="117">
        <v>0</v>
      </c>
      <c r="I79" s="117">
        <v>0</v>
      </c>
      <c r="J79" s="117">
        <v>0</v>
      </c>
      <c r="K79" s="117">
        <v>0</v>
      </c>
      <c r="L79" s="117">
        <v>0</v>
      </c>
      <c r="M79" s="117">
        <v>0</v>
      </c>
      <c r="N79" s="117">
        <v>0</v>
      </c>
      <c r="O79" s="117">
        <v>0</v>
      </c>
      <c r="P79" s="117">
        <v>0</v>
      </c>
      <c r="Q79" s="37"/>
      <c r="R79" s="117">
        <v>0</v>
      </c>
      <c r="S79" s="117">
        <v>0</v>
      </c>
      <c r="T79" s="117">
        <v>0</v>
      </c>
    </row>
    <row r="80" spans="1:20">
      <c r="A80" s="38"/>
      <c r="B80" s="37" t="s">
        <v>325</v>
      </c>
      <c r="C80" s="43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</row>
    <row r="81" spans="1:20">
      <c r="A81" s="38"/>
      <c r="B81" s="37" t="s">
        <v>325</v>
      </c>
      <c r="C81" s="43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</row>
    <row r="82" spans="1:20">
      <c r="A82" s="38"/>
      <c r="B82" s="37" t="s">
        <v>325</v>
      </c>
      <c r="C82" s="37" t="s">
        <v>325</v>
      </c>
      <c r="D82" s="37"/>
      <c r="E82" s="116">
        <v>0</v>
      </c>
      <c r="F82" s="37"/>
      <c r="G82" s="116">
        <v>0</v>
      </c>
      <c r="H82" s="116">
        <v>0</v>
      </c>
      <c r="I82" s="116">
        <v>0</v>
      </c>
      <c r="J82" s="116">
        <v>0</v>
      </c>
      <c r="K82" s="116">
        <v>0</v>
      </c>
      <c r="L82" s="116">
        <v>0</v>
      </c>
      <c r="M82" s="116">
        <v>0</v>
      </c>
      <c r="N82" s="116">
        <v>0</v>
      </c>
      <c r="O82" s="116">
        <v>0</v>
      </c>
      <c r="P82" s="116">
        <v>0</v>
      </c>
      <c r="Q82" s="37"/>
      <c r="R82" s="116">
        <v>0</v>
      </c>
      <c r="S82" s="116">
        <v>0</v>
      </c>
      <c r="T82" s="116">
        <v>0</v>
      </c>
    </row>
    <row r="83" spans="1:20">
      <c r="A83" s="38"/>
      <c r="B83" s="37" t="s">
        <v>325</v>
      </c>
      <c r="C83" s="37" t="s">
        <v>325</v>
      </c>
      <c r="D83" s="37"/>
      <c r="E83" s="116">
        <v>0</v>
      </c>
      <c r="F83" s="37"/>
      <c r="G83" s="116">
        <v>0</v>
      </c>
      <c r="H83" s="116">
        <v>0</v>
      </c>
      <c r="I83" s="116">
        <v>0</v>
      </c>
      <c r="J83" s="116">
        <v>0</v>
      </c>
      <c r="K83" s="116">
        <v>0</v>
      </c>
      <c r="L83" s="116">
        <v>0</v>
      </c>
      <c r="M83" s="116">
        <v>0</v>
      </c>
      <c r="N83" s="116">
        <v>0</v>
      </c>
      <c r="O83" s="116">
        <v>0</v>
      </c>
      <c r="P83" s="116">
        <v>0</v>
      </c>
      <c r="Q83" s="37"/>
      <c r="R83" s="116">
        <v>0</v>
      </c>
      <c r="S83" s="116">
        <v>0</v>
      </c>
      <c r="T83" s="116">
        <v>0</v>
      </c>
    </row>
    <row r="84" spans="1:20">
      <c r="A84" s="38"/>
      <c r="B84" s="37" t="s">
        <v>325</v>
      </c>
      <c r="C84" s="37" t="s">
        <v>325</v>
      </c>
      <c r="D84" s="37"/>
      <c r="E84" s="116">
        <v>0</v>
      </c>
      <c r="F84" s="37"/>
      <c r="G84" s="116">
        <v>0</v>
      </c>
      <c r="H84" s="116">
        <v>0</v>
      </c>
      <c r="I84" s="116">
        <v>0</v>
      </c>
      <c r="J84" s="116">
        <v>0</v>
      </c>
      <c r="K84" s="116">
        <v>0</v>
      </c>
      <c r="L84" s="116">
        <v>0</v>
      </c>
      <c r="M84" s="116">
        <v>0</v>
      </c>
      <c r="N84" s="116">
        <v>0</v>
      </c>
      <c r="O84" s="116">
        <v>0</v>
      </c>
      <c r="P84" s="116">
        <v>0</v>
      </c>
      <c r="Q84" s="37"/>
      <c r="R84" s="116">
        <v>0</v>
      </c>
      <c r="S84" s="116">
        <v>0</v>
      </c>
      <c r="T84" s="116">
        <v>0</v>
      </c>
    </row>
    <row r="85" spans="1:20">
      <c r="A85" s="38"/>
      <c r="B85" s="37" t="s">
        <v>325</v>
      </c>
      <c r="C85" s="37" t="s">
        <v>325</v>
      </c>
      <c r="D85" s="37"/>
      <c r="E85" s="116">
        <v>0</v>
      </c>
      <c r="F85" s="37"/>
      <c r="G85" s="116">
        <v>0</v>
      </c>
      <c r="H85" s="116">
        <v>0</v>
      </c>
      <c r="I85" s="116">
        <v>0</v>
      </c>
      <c r="J85" s="116">
        <v>0</v>
      </c>
      <c r="K85" s="116">
        <v>0</v>
      </c>
      <c r="L85" s="116">
        <v>0</v>
      </c>
      <c r="M85" s="116">
        <v>0</v>
      </c>
      <c r="N85" s="116">
        <v>0</v>
      </c>
      <c r="O85" s="116">
        <v>0</v>
      </c>
      <c r="P85" s="116">
        <v>0</v>
      </c>
      <c r="Q85" s="37"/>
      <c r="R85" s="116">
        <v>0</v>
      </c>
      <c r="S85" s="116">
        <v>0</v>
      </c>
      <c r="T85" s="116">
        <v>0</v>
      </c>
    </row>
    <row r="86" spans="1:20">
      <c r="A86" s="38"/>
      <c r="B86" s="37" t="s">
        <v>325</v>
      </c>
      <c r="C86" s="37" t="s">
        <v>325</v>
      </c>
      <c r="D86" s="37"/>
      <c r="E86" s="116">
        <v>0</v>
      </c>
      <c r="F86" s="37"/>
      <c r="G86" s="116">
        <v>0</v>
      </c>
      <c r="H86" s="116">
        <v>0</v>
      </c>
      <c r="I86" s="116">
        <v>0</v>
      </c>
      <c r="J86" s="116">
        <v>0</v>
      </c>
      <c r="K86" s="116">
        <v>0</v>
      </c>
      <c r="L86" s="116">
        <v>0</v>
      </c>
      <c r="M86" s="116">
        <v>0</v>
      </c>
      <c r="N86" s="116">
        <v>0</v>
      </c>
      <c r="O86" s="116">
        <v>0</v>
      </c>
      <c r="P86" s="116">
        <v>0</v>
      </c>
      <c r="Q86" s="37"/>
      <c r="R86" s="116">
        <v>0</v>
      </c>
      <c r="S86" s="116">
        <v>0</v>
      </c>
      <c r="T86" s="116">
        <v>0</v>
      </c>
    </row>
    <row r="87" spans="1:20">
      <c r="A87" s="38"/>
      <c r="B87" s="37" t="s">
        <v>325</v>
      </c>
      <c r="C87" s="37" t="s">
        <v>325</v>
      </c>
      <c r="D87" s="37"/>
      <c r="E87" s="116">
        <v>0</v>
      </c>
      <c r="F87" s="37"/>
      <c r="G87" s="116">
        <v>0</v>
      </c>
      <c r="H87" s="116">
        <v>0</v>
      </c>
      <c r="I87" s="116">
        <v>0</v>
      </c>
      <c r="J87" s="116">
        <v>0</v>
      </c>
      <c r="K87" s="116">
        <v>0</v>
      </c>
      <c r="L87" s="116">
        <v>0</v>
      </c>
      <c r="M87" s="116">
        <v>0</v>
      </c>
      <c r="N87" s="116">
        <v>0</v>
      </c>
      <c r="O87" s="116">
        <v>0</v>
      </c>
      <c r="P87" s="116">
        <v>0</v>
      </c>
      <c r="Q87" s="37"/>
      <c r="R87" s="116">
        <v>0</v>
      </c>
      <c r="S87" s="116">
        <v>0</v>
      </c>
      <c r="T87" s="116">
        <v>0</v>
      </c>
    </row>
    <row r="88" spans="1:20">
      <c r="A88" s="48"/>
      <c r="B88" s="46" t="s">
        <v>325</v>
      </c>
      <c r="C88" s="46" t="s">
        <v>325</v>
      </c>
      <c r="D88" s="46"/>
      <c r="E88" s="117">
        <v>0</v>
      </c>
      <c r="F88" s="37"/>
      <c r="G88" s="117">
        <v>0</v>
      </c>
      <c r="H88" s="117">
        <v>0</v>
      </c>
      <c r="I88" s="117">
        <v>0</v>
      </c>
      <c r="J88" s="117">
        <v>0</v>
      </c>
      <c r="K88" s="117">
        <v>0</v>
      </c>
      <c r="L88" s="117">
        <v>0</v>
      </c>
      <c r="M88" s="117">
        <v>0</v>
      </c>
      <c r="N88" s="117">
        <v>0</v>
      </c>
      <c r="O88" s="117">
        <v>0</v>
      </c>
      <c r="P88" s="117">
        <v>0</v>
      </c>
      <c r="Q88" s="37"/>
      <c r="R88" s="117">
        <v>0</v>
      </c>
      <c r="S88" s="117">
        <v>0</v>
      </c>
      <c r="T88" s="117">
        <v>0</v>
      </c>
    </row>
    <row r="89" spans="1:20">
      <c r="A89" s="38"/>
      <c r="B89" s="37" t="s">
        <v>325</v>
      </c>
      <c r="C89" s="43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</row>
    <row r="90" spans="1:20">
      <c r="A90" s="38"/>
      <c r="B90" s="37" t="s">
        <v>325</v>
      </c>
      <c r="C90" s="43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</row>
    <row r="91" spans="1:20">
      <c r="A91" s="38"/>
      <c r="B91" s="37" t="s">
        <v>325</v>
      </c>
      <c r="C91" s="37" t="s">
        <v>325</v>
      </c>
      <c r="D91" s="37"/>
      <c r="E91" s="116">
        <v>0</v>
      </c>
      <c r="F91" s="37"/>
      <c r="G91" s="116">
        <v>0</v>
      </c>
      <c r="H91" s="116">
        <v>0</v>
      </c>
      <c r="I91" s="116">
        <v>0</v>
      </c>
      <c r="J91" s="116">
        <v>0</v>
      </c>
      <c r="K91" s="116">
        <v>0</v>
      </c>
      <c r="L91" s="116">
        <v>0</v>
      </c>
      <c r="M91" s="116">
        <v>0</v>
      </c>
      <c r="N91" s="116">
        <v>0</v>
      </c>
      <c r="O91" s="116">
        <v>0</v>
      </c>
      <c r="P91" s="116">
        <v>0</v>
      </c>
      <c r="Q91" s="37"/>
      <c r="R91" s="116">
        <v>0</v>
      </c>
      <c r="S91" s="116">
        <v>0</v>
      </c>
      <c r="T91" s="116">
        <v>0</v>
      </c>
    </row>
    <row r="92" spans="1:20">
      <c r="A92" s="38"/>
      <c r="B92" s="37" t="s">
        <v>325</v>
      </c>
      <c r="C92" s="37" t="s">
        <v>325</v>
      </c>
      <c r="D92" s="37"/>
      <c r="E92" s="116">
        <v>0</v>
      </c>
      <c r="F92" s="37"/>
      <c r="G92" s="116">
        <v>0</v>
      </c>
      <c r="H92" s="116">
        <v>0</v>
      </c>
      <c r="I92" s="116">
        <v>0</v>
      </c>
      <c r="J92" s="116">
        <v>0</v>
      </c>
      <c r="K92" s="116">
        <v>0</v>
      </c>
      <c r="L92" s="116">
        <v>0</v>
      </c>
      <c r="M92" s="116">
        <v>0</v>
      </c>
      <c r="N92" s="116">
        <v>0</v>
      </c>
      <c r="O92" s="116">
        <v>0</v>
      </c>
      <c r="P92" s="116">
        <v>0</v>
      </c>
      <c r="Q92" s="37"/>
      <c r="R92" s="116">
        <v>0</v>
      </c>
      <c r="S92" s="116">
        <v>0</v>
      </c>
      <c r="T92" s="116">
        <v>0</v>
      </c>
    </row>
    <row r="93" spans="1:20">
      <c r="A93" s="38"/>
      <c r="B93" s="37" t="s">
        <v>325</v>
      </c>
      <c r="C93" s="37" t="s">
        <v>325</v>
      </c>
      <c r="D93" s="37"/>
      <c r="E93" s="116">
        <v>0</v>
      </c>
      <c r="F93" s="37"/>
      <c r="G93" s="116">
        <v>0</v>
      </c>
      <c r="H93" s="116">
        <v>0</v>
      </c>
      <c r="I93" s="116">
        <v>0</v>
      </c>
      <c r="J93" s="116">
        <v>0</v>
      </c>
      <c r="K93" s="116">
        <v>0</v>
      </c>
      <c r="L93" s="116">
        <v>0</v>
      </c>
      <c r="M93" s="116">
        <v>0</v>
      </c>
      <c r="N93" s="116">
        <v>0</v>
      </c>
      <c r="O93" s="116">
        <v>0</v>
      </c>
      <c r="P93" s="116">
        <v>0</v>
      </c>
      <c r="Q93" s="37"/>
      <c r="R93" s="116">
        <v>0</v>
      </c>
      <c r="S93" s="116">
        <v>0</v>
      </c>
      <c r="T93" s="116">
        <v>0</v>
      </c>
    </row>
    <row r="94" spans="1:20">
      <c r="A94" s="38"/>
      <c r="B94" s="37" t="s">
        <v>325</v>
      </c>
      <c r="C94" s="37" t="s">
        <v>325</v>
      </c>
      <c r="D94" s="37"/>
      <c r="E94" s="116">
        <v>0</v>
      </c>
      <c r="F94" s="37"/>
      <c r="G94" s="116">
        <v>0</v>
      </c>
      <c r="H94" s="116">
        <v>0</v>
      </c>
      <c r="I94" s="116">
        <v>0</v>
      </c>
      <c r="J94" s="116">
        <v>0</v>
      </c>
      <c r="K94" s="116">
        <v>0</v>
      </c>
      <c r="L94" s="116">
        <v>0</v>
      </c>
      <c r="M94" s="116">
        <v>0</v>
      </c>
      <c r="N94" s="116">
        <v>0</v>
      </c>
      <c r="O94" s="116">
        <v>0</v>
      </c>
      <c r="P94" s="116">
        <v>0</v>
      </c>
      <c r="Q94" s="37"/>
      <c r="R94" s="116">
        <v>0</v>
      </c>
      <c r="S94" s="116">
        <v>0</v>
      </c>
      <c r="T94" s="116">
        <v>0</v>
      </c>
    </row>
    <row r="95" spans="1:20">
      <c r="A95" s="38"/>
      <c r="B95" s="37" t="s">
        <v>325</v>
      </c>
      <c r="C95" s="37" t="s">
        <v>325</v>
      </c>
      <c r="D95" s="37"/>
      <c r="E95" s="116">
        <v>0</v>
      </c>
      <c r="F95" s="37"/>
      <c r="G95" s="116">
        <v>0</v>
      </c>
      <c r="H95" s="116">
        <v>0</v>
      </c>
      <c r="I95" s="116">
        <v>0</v>
      </c>
      <c r="J95" s="116">
        <v>0</v>
      </c>
      <c r="K95" s="116">
        <v>0</v>
      </c>
      <c r="L95" s="116">
        <v>0</v>
      </c>
      <c r="M95" s="116">
        <v>0</v>
      </c>
      <c r="N95" s="116">
        <v>0</v>
      </c>
      <c r="O95" s="116">
        <v>0</v>
      </c>
      <c r="P95" s="116">
        <v>0</v>
      </c>
      <c r="Q95" s="37"/>
      <c r="R95" s="116">
        <v>0</v>
      </c>
      <c r="S95" s="116">
        <v>0</v>
      </c>
      <c r="T95" s="116">
        <v>0</v>
      </c>
    </row>
    <row r="96" spans="1:20">
      <c r="A96" s="38"/>
      <c r="B96" s="37" t="s">
        <v>325</v>
      </c>
      <c r="C96" s="37" t="s">
        <v>325</v>
      </c>
      <c r="D96" s="37"/>
      <c r="E96" s="116">
        <v>0</v>
      </c>
      <c r="F96" s="37"/>
      <c r="G96" s="116">
        <v>0</v>
      </c>
      <c r="H96" s="116">
        <v>0</v>
      </c>
      <c r="I96" s="116">
        <v>0</v>
      </c>
      <c r="J96" s="116">
        <v>0</v>
      </c>
      <c r="K96" s="116">
        <v>0</v>
      </c>
      <c r="L96" s="116">
        <v>0</v>
      </c>
      <c r="M96" s="116">
        <v>0</v>
      </c>
      <c r="N96" s="116">
        <v>0</v>
      </c>
      <c r="O96" s="116">
        <v>0</v>
      </c>
      <c r="P96" s="116">
        <v>0</v>
      </c>
      <c r="Q96" s="37"/>
      <c r="R96" s="116">
        <v>0</v>
      </c>
      <c r="S96" s="116">
        <v>0</v>
      </c>
      <c r="T96" s="116">
        <v>0</v>
      </c>
    </row>
    <row r="97" spans="1:20">
      <c r="A97" s="48"/>
      <c r="B97" s="46" t="s">
        <v>325</v>
      </c>
      <c r="C97" s="46" t="s">
        <v>325</v>
      </c>
      <c r="D97" s="46"/>
      <c r="E97" s="117">
        <v>0</v>
      </c>
      <c r="F97" s="37"/>
      <c r="G97" s="117">
        <v>0</v>
      </c>
      <c r="H97" s="117">
        <v>0</v>
      </c>
      <c r="I97" s="117">
        <v>0</v>
      </c>
      <c r="J97" s="117">
        <v>0</v>
      </c>
      <c r="K97" s="117">
        <v>0</v>
      </c>
      <c r="L97" s="117">
        <v>0</v>
      </c>
      <c r="M97" s="117">
        <v>0</v>
      </c>
      <c r="N97" s="117">
        <v>0</v>
      </c>
      <c r="O97" s="117">
        <v>0</v>
      </c>
      <c r="P97" s="117">
        <v>0</v>
      </c>
      <c r="Q97" s="37"/>
      <c r="R97" s="117">
        <v>0</v>
      </c>
      <c r="S97" s="117">
        <v>0</v>
      </c>
      <c r="T97" s="117">
        <v>0</v>
      </c>
    </row>
    <row r="98" spans="1:20">
      <c r="A98" s="38"/>
      <c r="B98" s="37" t="s">
        <v>325</v>
      </c>
      <c r="C98" s="43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</row>
    <row r="99" spans="1:20">
      <c r="A99" s="38">
        <v>27</v>
      </c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</row>
    <row r="100" spans="1:20">
      <c r="A100" s="38">
        <v>28</v>
      </c>
      <c r="B100" s="37"/>
      <c r="C100" s="43" t="s">
        <v>327</v>
      </c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</row>
    <row r="101" spans="1:20">
      <c r="A101" s="38">
        <v>29</v>
      </c>
      <c r="B101" s="37" t="s">
        <v>323</v>
      </c>
      <c r="C101" s="37" t="s">
        <v>285</v>
      </c>
      <c r="D101" s="37"/>
      <c r="E101" s="116">
        <v>2891791123.0272303</v>
      </c>
      <c r="F101" s="37"/>
      <c r="G101" s="116">
        <v>1829556953.6770153</v>
      </c>
      <c r="H101" s="116">
        <v>359811098.97327131</v>
      </c>
      <c r="I101" s="116">
        <v>330295363.0650388</v>
      </c>
      <c r="J101" s="116">
        <v>154666809.06562251</v>
      </c>
      <c r="K101" s="116">
        <v>138277789.09098247</v>
      </c>
      <c r="L101" s="116">
        <v>22597754.585860301</v>
      </c>
      <c r="M101" s="116">
        <v>27497832.778803773</v>
      </c>
      <c r="N101" s="116">
        <v>14736076.225346506</v>
      </c>
      <c r="O101" s="116">
        <v>13315649.905328467</v>
      </c>
      <c r="P101" s="116">
        <v>1035795.6599613484</v>
      </c>
      <c r="Q101" s="37"/>
      <c r="R101" s="116">
        <v>119167695.63401341</v>
      </c>
      <c r="S101" s="116">
        <v>945386.27849041263</v>
      </c>
      <c r="T101" s="116">
        <v>18164707.178478643</v>
      </c>
    </row>
    <row r="102" spans="1:20">
      <c r="A102" s="38">
        <v>30</v>
      </c>
      <c r="B102" s="37" t="s">
        <v>323</v>
      </c>
      <c r="C102" s="37" t="s">
        <v>39</v>
      </c>
      <c r="D102" s="37"/>
      <c r="E102" s="116">
        <v>2329788394.8601289</v>
      </c>
      <c r="F102" s="37"/>
      <c r="G102" s="116">
        <v>1183001553.2209258</v>
      </c>
      <c r="H102" s="116">
        <v>300586813.49577212</v>
      </c>
      <c r="I102" s="116">
        <v>334275555.49499506</v>
      </c>
      <c r="J102" s="116">
        <v>215730017.32954842</v>
      </c>
      <c r="K102" s="116">
        <v>163646876.70515925</v>
      </c>
      <c r="L102" s="116">
        <v>8547343.8767968696</v>
      </c>
      <c r="M102" s="116">
        <v>64966181.549356088</v>
      </c>
      <c r="N102" s="116">
        <v>50445718.295434132</v>
      </c>
      <c r="O102" s="116">
        <v>7822733.6647944972</v>
      </c>
      <c r="P102" s="116">
        <v>765601.2273466927</v>
      </c>
      <c r="Q102" s="37"/>
      <c r="R102" s="116">
        <v>150092603.95414841</v>
      </c>
      <c r="S102" s="116">
        <v>473933.66151030199</v>
      </c>
      <c r="T102" s="116">
        <v>13080339.089500558</v>
      </c>
    </row>
    <row r="103" spans="1:20">
      <c r="A103" s="38">
        <v>31</v>
      </c>
      <c r="B103" s="37" t="s">
        <v>323</v>
      </c>
      <c r="C103" s="37" t="s">
        <v>324</v>
      </c>
      <c r="D103" s="37"/>
      <c r="E103" s="116">
        <v>214438263.13872841</v>
      </c>
      <c r="F103" s="37"/>
      <c r="G103" s="116">
        <v>160342223.49365491</v>
      </c>
      <c r="H103" s="116">
        <v>-8025495.5507805943</v>
      </c>
      <c r="I103" s="116">
        <v>5600702.9066887796</v>
      </c>
      <c r="J103" s="116">
        <v>1135078.189270769</v>
      </c>
      <c r="K103" s="116">
        <v>15616576.972446118</v>
      </c>
      <c r="L103" s="116">
        <v>816965.48178927484</v>
      </c>
      <c r="M103" s="116">
        <v>584695.02068601793</v>
      </c>
      <c r="N103" s="116">
        <v>963487.12109145953</v>
      </c>
      <c r="O103" s="116">
        <v>37395634.228527024</v>
      </c>
      <c r="P103" s="116">
        <v>8395.2753546561671</v>
      </c>
      <c r="Q103" s="37"/>
      <c r="R103" s="116">
        <v>11917056.061791768</v>
      </c>
      <c r="S103" s="116">
        <v>36613.540936996331</v>
      </c>
      <c r="T103" s="116">
        <v>3662907.3697173516</v>
      </c>
    </row>
    <row r="104" spans="1:20">
      <c r="A104" s="38">
        <v>32</v>
      </c>
      <c r="B104" s="37" t="s">
        <v>325</v>
      </c>
      <c r="C104" s="37" t="s">
        <v>325</v>
      </c>
      <c r="D104" s="37"/>
      <c r="E104" s="116">
        <v>0</v>
      </c>
      <c r="F104" s="37"/>
      <c r="G104" s="116">
        <v>0</v>
      </c>
      <c r="H104" s="116">
        <v>0</v>
      </c>
      <c r="I104" s="116">
        <v>0</v>
      </c>
      <c r="J104" s="116">
        <v>0</v>
      </c>
      <c r="K104" s="116">
        <v>0</v>
      </c>
      <c r="L104" s="116">
        <v>0</v>
      </c>
      <c r="M104" s="116">
        <v>0</v>
      </c>
      <c r="N104" s="116">
        <v>0</v>
      </c>
      <c r="O104" s="116">
        <v>0</v>
      </c>
      <c r="P104" s="116">
        <v>0</v>
      </c>
      <c r="Q104" s="37"/>
      <c r="R104" s="116">
        <v>0</v>
      </c>
      <c r="S104" s="116">
        <v>0</v>
      </c>
      <c r="T104" s="116">
        <v>0</v>
      </c>
    </row>
    <row r="105" spans="1:20">
      <c r="A105" s="38">
        <v>33</v>
      </c>
      <c r="B105" s="37" t="s">
        <v>325</v>
      </c>
      <c r="C105" s="37" t="s">
        <v>325</v>
      </c>
      <c r="D105" s="37"/>
      <c r="E105" s="116">
        <v>0</v>
      </c>
      <c r="F105" s="37"/>
      <c r="G105" s="116">
        <v>0</v>
      </c>
      <c r="H105" s="116">
        <v>0</v>
      </c>
      <c r="I105" s="116">
        <v>0</v>
      </c>
      <c r="J105" s="116">
        <v>0</v>
      </c>
      <c r="K105" s="116">
        <v>0</v>
      </c>
      <c r="L105" s="116">
        <v>0</v>
      </c>
      <c r="M105" s="116">
        <v>0</v>
      </c>
      <c r="N105" s="116">
        <v>0</v>
      </c>
      <c r="O105" s="116">
        <v>0</v>
      </c>
      <c r="P105" s="116">
        <v>0</v>
      </c>
      <c r="Q105" s="37"/>
      <c r="R105" s="116">
        <v>0</v>
      </c>
      <c r="S105" s="116">
        <v>0</v>
      </c>
      <c r="T105" s="116">
        <v>0</v>
      </c>
    </row>
    <row r="106" spans="1:20">
      <c r="A106" s="38">
        <v>34</v>
      </c>
      <c r="B106" s="37" t="s">
        <v>325</v>
      </c>
      <c r="C106" s="37" t="s">
        <v>325</v>
      </c>
      <c r="D106" s="37"/>
      <c r="E106" s="116">
        <v>0</v>
      </c>
      <c r="F106" s="37"/>
      <c r="G106" s="116">
        <v>0</v>
      </c>
      <c r="H106" s="116">
        <v>0</v>
      </c>
      <c r="I106" s="116">
        <v>0</v>
      </c>
      <c r="J106" s="116">
        <v>0</v>
      </c>
      <c r="K106" s="116">
        <v>0</v>
      </c>
      <c r="L106" s="116">
        <v>0</v>
      </c>
      <c r="M106" s="116">
        <v>0</v>
      </c>
      <c r="N106" s="116">
        <v>0</v>
      </c>
      <c r="O106" s="116">
        <v>0</v>
      </c>
      <c r="P106" s="116">
        <v>0</v>
      </c>
      <c r="Q106" s="37"/>
      <c r="R106" s="116">
        <v>0</v>
      </c>
      <c r="S106" s="116">
        <v>0</v>
      </c>
      <c r="T106" s="116">
        <v>0</v>
      </c>
    </row>
    <row r="107" spans="1:20">
      <c r="A107" s="48">
        <v>35</v>
      </c>
      <c r="B107" s="46"/>
      <c r="C107" s="46" t="s">
        <v>96</v>
      </c>
      <c r="D107" s="46"/>
      <c r="E107" s="117">
        <v>5436017781.0260878</v>
      </c>
      <c r="F107" s="37"/>
      <c r="G107" s="117">
        <v>3172900730.3915958</v>
      </c>
      <c r="H107" s="117">
        <v>652372416.91826296</v>
      </c>
      <c r="I107" s="117">
        <v>670171621.46672261</v>
      </c>
      <c r="J107" s="117">
        <v>371531904.58444172</v>
      </c>
      <c r="K107" s="117">
        <v>317541242.76858789</v>
      </c>
      <c r="L107" s="117">
        <v>31962063.944446445</v>
      </c>
      <c r="M107" s="117">
        <v>93048709.348845884</v>
      </c>
      <c r="N107" s="117">
        <v>66145281.641872101</v>
      </c>
      <c r="O107" s="117">
        <v>58534017.798649989</v>
      </c>
      <c r="P107" s="117">
        <v>1809792.1626626973</v>
      </c>
      <c r="Q107" s="37"/>
      <c r="R107" s="117">
        <v>281177355.6499536</v>
      </c>
      <c r="S107" s="117">
        <v>1455933.480937711</v>
      </c>
      <c r="T107" s="117">
        <v>34907953.637696549</v>
      </c>
    </row>
    <row r="108" spans="1:20">
      <c r="A108" s="38">
        <v>36</v>
      </c>
      <c r="B108" s="37" t="s">
        <v>323</v>
      </c>
      <c r="C108" s="43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</row>
    <row r="109" spans="1:20" ht="16" thickBot="1">
      <c r="A109" s="53">
        <v>37</v>
      </c>
      <c r="B109" s="51"/>
      <c r="C109" s="51" t="s">
        <v>259</v>
      </c>
      <c r="D109" s="51"/>
      <c r="E109" s="118">
        <v>5436017781.0260887</v>
      </c>
      <c r="F109" s="37"/>
      <c r="G109" s="118">
        <v>3172900730.3915958</v>
      </c>
      <c r="H109" s="118">
        <v>652372416.91826296</v>
      </c>
      <c r="I109" s="118">
        <v>670171621.46672261</v>
      </c>
      <c r="J109" s="118">
        <v>371531904.58444172</v>
      </c>
      <c r="K109" s="118">
        <v>317541242.76858789</v>
      </c>
      <c r="L109" s="118">
        <v>31962063.944446445</v>
      </c>
      <c r="M109" s="118">
        <v>93048709.348845884</v>
      </c>
      <c r="N109" s="118">
        <v>66145281.641872101</v>
      </c>
      <c r="O109" s="118">
        <v>58534017.798649989</v>
      </c>
      <c r="P109" s="118">
        <v>1809792.1626626973</v>
      </c>
      <c r="Q109" s="37"/>
      <c r="R109" s="118">
        <v>281177355.6499536</v>
      </c>
      <c r="S109" s="118">
        <v>1455933.480937711</v>
      </c>
      <c r="T109" s="118">
        <v>34907953.637696549</v>
      </c>
    </row>
    <row r="110" spans="1:20" ht="16" thickTop="1"/>
  </sheetData>
  <mergeCells count="4">
    <mergeCell ref="A1:P1"/>
    <mergeCell ref="A2:P2"/>
    <mergeCell ref="A3:P3"/>
    <mergeCell ref="A4:P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Motion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2020-07-20T07:00:00+00:00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A3C2C89-4D3A-45FC-A413-628DFC566A0F}"/>
</file>

<file path=customXml/itemProps2.xml><?xml version="1.0" encoding="utf-8"?>
<ds:datastoreItem xmlns:ds="http://schemas.openxmlformats.org/officeDocument/2006/customXml" ds:itemID="{83B0943F-AA3F-4A49-B322-46BFF76FBC15}"/>
</file>

<file path=customXml/itemProps3.xml><?xml version="1.0" encoding="utf-8"?>
<ds:datastoreItem xmlns:ds="http://schemas.openxmlformats.org/officeDocument/2006/customXml" ds:itemID="{41344C3C-2181-4F86-91B8-44D2424BB16B}"/>
</file>

<file path=customXml/itemProps4.xml><?xml version="1.0" encoding="utf-8"?>
<ds:datastoreItem xmlns:ds="http://schemas.openxmlformats.org/officeDocument/2006/customXml" ds:itemID="{3E6D78CD-4312-4C2F-9E0D-D89EB8FC7F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Attachment A</vt:lpstr>
      <vt:lpstr>Summary</vt:lpstr>
      <vt:lpstr>Original Summary</vt:lpstr>
      <vt:lpstr>Sch 141x &amp; 141z (Usage)</vt:lpstr>
      <vt:lpstr>Sch 141x &amp; 141z (Ratebase)</vt:lpstr>
      <vt:lpstr>Exhibit No.__(JAP-Prof-Prop)</vt:lpstr>
      <vt:lpstr>Exhibit No.__(JAP-TRANSP RD)</vt:lpstr>
      <vt:lpstr>COS Ratebase</vt:lpstr>
      <vt:lpstr>COS Ratebase by Function</vt:lpstr>
      <vt:lpstr>'Exhibit No.__(JAP-Prof-Prop)'!Print_Area</vt:lpstr>
      <vt:lpstr>'Sch 141x &amp; 141z (Ratebase)'!Print_Area</vt:lpstr>
      <vt:lpstr>'Sch 141x &amp; 141z (Usage)'!Print_Area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Steele, David S. (BEL)</cp:lastModifiedBy>
  <cp:lastPrinted>2020-07-17T15:44:44Z</cp:lastPrinted>
  <dcterms:created xsi:type="dcterms:W3CDTF">2020-07-17T15:44:00Z</dcterms:created>
  <dcterms:modified xsi:type="dcterms:W3CDTF">2020-07-17T15:47:43Z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