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F48EEE1F-03BF-4A64-A343-87BA16D6D247}" xr6:coauthVersionLast="47" xr6:coauthVersionMax="47" xr10:uidLastSave="{00000000-0000-0000-0000-000000000000}"/>
  <bookViews>
    <workbookView xWindow="-120" yWindow="-120" windowWidth="25440" windowHeight="15390" tabRatio="864" firstSheet="3" activeTab="4" xr2:uid="{00000000-000D-0000-FFFF-FFFF00000000}"/>
  </bookViews>
  <sheets>
    <sheet name="Orig" sheetId="1" state="hidden" r:id="rId1"/>
    <sheet name="play" sheetId="2" state="hidden" r:id="rId2"/>
    <sheet name="Reporting- SEF 31" sheetId="3" state="hidden" r:id="rId3"/>
    <sheet name="Redacted" sheetId="239" r:id="rId4"/>
    <sheet name="Exh. SEF-4 p 1 PPA Costs (R)" sheetId="10" r:id="rId5"/>
    <sheet name="Exh. SEF-4 p 2 Fixed Costs" sheetId="240" r:id="rId6"/>
    <sheet name="Exh. SEF-4 p 3 Liq Damages" sheetId="241" r:id="rId7"/>
  </sheets>
  <externalReferences>
    <externalReference r:id="rId8"/>
    <externalReference r:id="rId9"/>
  </externalReferences>
  <definedNames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Jun09">" BS!$AI$7:$AI$1643"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E">'[2]Named Ranges E'!$C$4</definedName>
    <definedName name="CBWorkbookPriority">-2060790043</definedName>
    <definedName name="Escalator">1.025</definedName>
    <definedName name="FIT_E">'[2]Named Ranges E'!$C$3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rint_Area_Reset">OFFSET(Full_Print,0,0,Last_Row)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ESTYEAR_E">'[2]Named Ranges E'!$C$5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3" l="1"/>
  <c r="Q30" i="3"/>
  <c r="P14" i="3"/>
  <c r="O14" i="3"/>
  <c r="N14" i="3"/>
  <c r="M14" i="3"/>
  <c r="L14" i="3"/>
  <c r="K14" i="3"/>
  <c r="J14" i="3"/>
  <c r="I14" i="3"/>
  <c r="P13" i="3"/>
  <c r="P24" i="3" s="1"/>
  <c r="O13" i="3"/>
  <c r="N13" i="3"/>
  <c r="M13" i="3"/>
  <c r="L13" i="3"/>
  <c r="K13" i="3"/>
  <c r="J13" i="3"/>
  <c r="I13" i="3"/>
  <c r="H13" i="3"/>
  <c r="G13" i="3"/>
  <c r="F13" i="3"/>
  <c r="E14" i="3"/>
  <c r="F14" i="3" s="1"/>
  <c r="E13" i="3"/>
  <c r="P5" i="3"/>
  <c r="P25" i="3" s="1"/>
  <c r="O4" i="3"/>
  <c r="O24" i="3" s="1"/>
  <c r="N4" i="3"/>
  <c r="N5" i="3" s="1"/>
  <c r="M4" i="3"/>
  <c r="M8" i="3" s="1"/>
  <c r="L4" i="3"/>
  <c r="L24" i="3" s="1"/>
  <c r="K4" i="3"/>
  <c r="K24" i="3" s="1"/>
  <c r="J4" i="3"/>
  <c r="J5" i="3" s="1"/>
  <c r="I4" i="3"/>
  <c r="I8" i="3" s="1"/>
  <c r="H4" i="3"/>
  <c r="H24" i="3" s="1"/>
  <c r="G4" i="3"/>
  <c r="G24" i="3" s="1"/>
  <c r="F4" i="3"/>
  <c r="F5" i="3" s="1"/>
  <c r="E4" i="3"/>
  <c r="E8" i="3" s="1"/>
  <c r="Q3" i="3"/>
  <c r="N23" i="3" l="1"/>
  <c r="J23" i="3"/>
  <c r="E24" i="3"/>
  <c r="I24" i="3"/>
  <c r="F23" i="3"/>
  <c r="F18" i="3"/>
  <c r="M24" i="3"/>
  <c r="H8" i="3"/>
  <c r="P18" i="3"/>
  <c r="P19" i="3"/>
  <c r="P34" i="3" s="1"/>
  <c r="P20" i="3"/>
  <c r="F24" i="3"/>
  <c r="J24" i="3"/>
  <c r="N24" i="3"/>
  <c r="F25" i="3"/>
  <c r="J25" i="3"/>
  <c r="N25" i="3"/>
  <c r="O8" i="3"/>
  <c r="K8" i="3"/>
  <c r="G8" i="3"/>
  <c r="L8" i="3"/>
  <c r="F20" i="3"/>
  <c r="P23" i="3"/>
  <c r="N8" i="3"/>
  <c r="J8" i="3"/>
  <c r="F8" i="3"/>
  <c r="J18" i="3"/>
  <c r="J20" i="3" s="1"/>
  <c r="N18" i="3"/>
  <c r="N20" i="3" s="1"/>
  <c r="F19" i="3"/>
  <c r="J19" i="3"/>
  <c r="J34" i="3" s="1"/>
  <c r="N19" i="3"/>
  <c r="G14" i="3"/>
  <c r="G5" i="3"/>
  <c r="K5" i="3"/>
  <c r="O5" i="3"/>
  <c r="Q4" i="3"/>
  <c r="Q5" i="3" s="1"/>
  <c r="H5" i="3"/>
  <c r="L5" i="3"/>
  <c r="E5" i="3"/>
  <c r="I5" i="3"/>
  <c r="M5" i="3"/>
  <c r="N34" i="3" l="1"/>
  <c r="Q24" i="3"/>
  <c r="J26" i="3"/>
  <c r="J35" i="3" s="1"/>
  <c r="J33" i="3"/>
  <c r="N26" i="3"/>
  <c r="N35" i="3" s="1"/>
  <c r="N33" i="3"/>
  <c r="N37" i="3" s="1"/>
  <c r="E18" i="3"/>
  <c r="E19" i="3" s="1"/>
  <c r="E34" i="3" s="1"/>
  <c r="E25" i="3"/>
  <c r="E20" i="3"/>
  <c r="E23" i="3"/>
  <c r="P33" i="3"/>
  <c r="P26" i="3"/>
  <c r="P35" i="3" s="1"/>
  <c r="P8" i="3"/>
  <c r="Q10" i="3"/>
  <c r="L25" i="3"/>
  <c r="L23" i="3"/>
  <c r="L19" i="3"/>
  <c r="L34" i="3" s="1"/>
  <c r="L18" i="3"/>
  <c r="L20" i="3" s="1"/>
  <c r="K25" i="3"/>
  <c r="K23" i="3"/>
  <c r="K19" i="3"/>
  <c r="K34" i="3" s="1"/>
  <c r="K18" i="3"/>
  <c r="K20" i="3" s="1"/>
  <c r="F33" i="3"/>
  <c r="F26" i="3"/>
  <c r="F35" i="3" s="1"/>
  <c r="I23" i="3"/>
  <c r="I19" i="3"/>
  <c r="I34" i="3" s="1"/>
  <c r="I18" i="3"/>
  <c r="I20" i="3" s="1"/>
  <c r="I25" i="3"/>
  <c r="O25" i="3"/>
  <c r="O20" i="3"/>
  <c r="O23" i="3"/>
  <c r="O18" i="3"/>
  <c r="O19" i="3" s="1"/>
  <c r="O34" i="3" s="1"/>
  <c r="M23" i="3"/>
  <c r="M19" i="3"/>
  <c r="M34" i="3" s="1"/>
  <c r="M18" i="3"/>
  <c r="M20" i="3" s="1"/>
  <c r="M25" i="3"/>
  <c r="H25" i="3"/>
  <c r="H23" i="3"/>
  <c r="H19" i="3"/>
  <c r="H34" i="3" s="1"/>
  <c r="G20" i="3"/>
  <c r="G25" i="3"/>
  <c r="G23" i="3"/>
  <c r="F34" i="3"/>
  <c r="Q9" i="3"/>
  <c r="Q8" i="3"/>
  <c r="G18" i="3"/>
  <c r="G19" i="3" s="1"/>
  <c r="G34" i="3" s="1"/>
  <c r="H14" i="3"/>
  <c r="H18" i="3" s="1"/>
  <c r="H20" i="3" s="1"/>
  <c r="F37" i="3" l="1"/>
  <c r="P37" i="3"/>
  <c r="J37" i="3"/>
  <c r="I33" i="3"/>
  <c r="I26" i="3"/>
  <c r="I35" i="3" s="1"/>
  <c r="Q34" i="3"/>
  <c r="M33" i="3"/>
  <c r="M26" i="3"/>
  <c r="M35" i="3" s="1"/>
  <c r="K33" i="3"/>
  <c r="K26" i="3"/>
  <c r="K35" i="3" s="1"/>
  <c r="L33" i="3"/>
  <c r="L26" i="3"/>
  <c r="L35" i="3" s="1"/>
  <c r="Q23" i="3"/>
  <c r="E33" i="3"/>
  <c r="E26" i="3"/>
  <c r="E35" i="3"/>
  <c r="Q25" i="3"/>
  <c r="H33" i="3"/>
  <c r="H26" i="3"/>
  <c r="H35" i="3" s="1"/>
  <c r="G26" i="3"/>
  <c r="G35" i="3" s="1"/>
  <c r="G33" i="3"/>
  <c r="G37" i="3" s="1"/>
  <c r="O26" i="3"/>
  <c r="O35" i="3" s="1"/>
  <c r="O33" i="3"/>
  <c r="O37" i="3" s="1"/>
  <c r="Q20" i="3"/>
  <c r="Q19" i="3"/>
  <c r="Q18" i="3"/>
  <c r="H37" i="3" l="1"/>
  <c r="K37" i="3"/>
  <c r="I37" i="3"/>
  <c r="E37" i="3"/>
  <c r="L37" i="3"/>
  <c r="M37" i="3"/>
  <c r="Q35" i="3"/>
  <c r="Q33" i="3"/>
  <c r="Q26" i="3"/>
  <c r="Q37" i="3" l="1"/>
  <c r="I22" i="2"/>
  <c r="H23" i="2" s="1"/>
  <c r="H21" i="2"/>
  <c r="E14" i="2"/>
  <c r="D14" i="2"/>
  <c r="C14" i="2"/>
  <c r="H20" i="2"/>
  <c r="H13" i="2"/>
  <c r="I14" i="2" s="1"/>
  <c r="J14" i="2"/>
  <c r="I12" i="2" l="1"/>
  <c r="H11" i="2" l="1"/>
  <c r="H10" i="2"/>
</calcChain>
</file>

<file path=xl/sharedStrings.xml><?xml version="1.0" encoding="utf-8"?>
<sst xmlns="http://schemas.openxmlformats.org/spreadsheetml/2006/main" count="316" uniqueCount="188">
  <si>
    <t>Over Generates</t>
  </si>
  <si>
    <t>Under Generates</t>
  </si>
  <si>
    <t>PCA?</t>
  </si>
  <si>
    <t>No</t>
  </si>
  <si>
    <t>Situation</t>
  </si>
  <si>
    <t>Event</t>
  </si>
  <si>
    <t>Do What</t>
  </si>
  <si>
    <t>Would sell on the market or use for native load</t>
  </si>
  <si>
    <t>Debit to 555 GD</t>
  </si>
  <si>
    <t>Up to the amount of GD usage</t>
  </si>
  <si>
    <t>Amount above the GD usage</t>
  </si>
  <si>
    <t>Debit to 555 PSE</t>
  </si>
  <si>
    <t>Credit to STOU</t>
  </si>
  <si>
    <t>Original Entry</t>
  </si>
  <si>
    <t>Remove that STOU associated with Green Power PPA</t>
  </si>
  <si>
    <t>Debit to 555 PCA</t>
  </si>
  <si>
    <t>Yes</t>
  </si>
  <si>
    <t>Creidt to 555 PSE</t>
  </si>
  <si>
    <t>Price</t>
  </si>
  <si>
    <t>PPA</t>
  </si>
  <si>
    <t>MKT</t>
  </si>
  <si>
    <t>Actual</t>
  </si>
  <si>
    <t>Notes</t>
  </si>
  <si>
    <t>Purchase additional energy to use load</t>
  </si>
  <si>
    <t>Remove Purchase of additional energy for GD</t>
  </si>
  <si>
    <t>Credit to 555 PCA</t>
  </si>
  <si>
    <t>REC Purchase</t>
  </si>
  <si>
    <t>REC Sale?</t>
  </si>
  <si>
    <t>Timing unknown; PSE or 3rd Party?</t>
  </si>
  <si>
    <t>Debit to 557 GD</t>
  </si>
  <si>
    <t>Liquidated Damages?</t>
  </si>
  <si>
    <t>MWh</t>
  </si>
  <si>
    <t>Price type</t>
  </si>
  <si>
    <t>Action</t>
  </si>
  <si>
    <t>Debit</t>
  </si>
  <si>
    <t>Credit</t>
  </si>
  <si>
    <t>Account</t>
  </si>
  <si>
    <t>555 PSE</t>
  </si>
  <si>
    <t>447 PSE</t>
  </si>
  <si>
    <t>cash</t>
  </si>
  <si>
    <t>Entry 1</t>
  </si>
  <si>
    <t>Entry 2</t>
  </si>
  <si>
    <t>Entry 3</t>
  </si>
  <si>
    <t>Entry 4</t>
  </si>
  <si>
    <t>Entry 5</t>
  </si>
  <si>
    <t>139 Load = 100 MWh</t>
  </si>
  <si>
    <t>Over Generates by 20 MWh</t>
  </si>
  <si>
    <t xml:space="preserve">555 GD </t>
  </si>
  <si>
    <t>555 PCA</t>
  </si>
  <si>
    <t>Offset STOU with purchase price</t>
  </si>
  <si>
    <t>Acctg will have to calc Load for 139</t>
  </si>
  <si>
    <t>EA will have to take overage and record to PSE</t>
  </si>
  <si>
    <t>No manual action</t>
  </si>
  <si>
    <t>Manual entry to remove STOU</t>
  </si>
  <si>
    <t>Under Generates by 20 MWh</t>
  </si>
  <si>
    <t>below</t>
  </si>
  <si>
    <t>above</t>
  </si>
  <si>
    <t>Offset Purchase with sales price</t>
  </si>
  <si>
    <t>REC Purchase?</t>
  </si>
  <si>
    <t>PPAs not in BLR</t>
  </si>
  <si>
    <t>Manual entry to offset STOU removal</t>
  </si>
  <si>
    <t>Manual entry to offset mkt purchase removal</t>
  </si>
  <si>
    <t>Manual entry to remove mkt purchase</t>
  </si>
  <si>
    <t>"  "</t>
  </si>
  <si>
    <t>Resource not prudent for all customers</t>
  </si>
  <si>
    <t>Schedule 139 Revenue &amp; Energy Costs</t>
  </si>
  <si>
    <t>PCA period Schedule 139 delivered load (Kwh)</t>
  </si>
  <si>
    <t>Renewable Energy PPAs net of losses (Generated Kwhs)</t>
  </si>
  <si>
    <t>(Short)/Excess Renewable Energy Generated (Kwh)</t>
  </si>
  <si>
    <t>PPA RECs for Schedule 139 Customers</t>
  </si>
  <si>
    <t>Green Direct</t>
  </si>
  <si>
    <t>Market Rate</t>
  </si>
  <si>
    <t>PPA Rate</t>
  </si>
  <si>
    <t>Period</t>
  </si>
  <si>
    <t>to Date</t>
  </si>
  <si>
    <t>PCA Total allowable costs</t>
  </si>
  <si>
    <t>Green Direct Power Costs</t>
  </si>
  <si>
    <t>Net Green Direct Power Costs</t>
  </si>
  <si>
    <t>Net PCA Power Costs</t>
  </si>
  <si>
    <t>PCA Power Costs</t>
  </si>
  <si>
    <t>check</t>
  </si>
  <si>
    <t>PSE REC Costs</t>
  </si>
  <si>
    <t>Green Direct REC Costs</t>
  </si>
  <si>
    <t>RECs purchased for Schedule 139 customers*</t>
  </si>
  <si>
    <t>RECs for PSE optimization*</t>
  </si>
  <si>
    <t>*Measured on an annual basis</t>
  </si>
  <si>
    <t>Initial Amount:</t>
  </si>
  <si>
    <t>Total:</t>
  </si>
  <si>
    <t>BTL Excess Purchase Costs</t>
  </si>
  <si>
    <t>BTL</t>
  </si>
  <si>
    <t>Net BTL Power Cost</t>
  </si>
  <si>
    <t>PCA Excess PPA Power Sold to Other Utilities</t>
  </si>
  <si>
    <t>RECs</t>
  </si>
  <si>
    <t>Power Prices</t>
  </si>
  <si>
    <t>Power Costs (555)</t>
  </si>
  <si>
    <t>Adjustment:</t>
  </si>
  <si>
    <t>REC Costs: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</si>
  <si>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Amounts measured quarterly</t>
    </r>
  </si>
  <si>
    <t>PPA Cost - Green Direct Customer Usage</t>
  </si>
  <si>
    <t>Mkt Purchases for Short</t>
  </si>
  <si>
    <t>When</t>
  </si>
  <si>
    <t>Long</t>
  </si>
  <si>
    <t>Short</t>
  </si>
  <si>
    <t>Always</t>
  </si>
  <si>
    <t>Required Journal Entries based on Monthly Actual Information</t>
  </si>
  <si>
    <t>Net PCA Power Costs (this should be zero)</t>
  </si>
  <si>
    <t>Mechanism</t>
  </si>
  <si>
    <t>GD</t>
  </si>
  <si>
    <t>PCA</t>
  </si>
  <si>
    <t>Power Costs Originally Recorded</t>
  </si>
  <si>
    <t>Reclassing Short Purchases or Long Sales Out of PCA to GD</t>
  </si>
  <si>
    <t>Green Direct Short Purchases</t>
  </si>
  <si>
    <t>Green Direct Long Sales</t>
  </si>
  <si>
    <t>If generation is short for the month, move purchases out of PCA</t>
  </si>
  <si>
    <t>If generation is cumulatively long at a quarter end, bank recs; otherwise no recs to record</t>
  </si>
  <si>
    <t>In Summary:</t>
  </si>
  <si>
    <t>If generation is long for the month, move sales of excess generation out of PCA</t>
  </si>
  <si>
    <t>check:  Should equal amount of REC transactions</t>
  </si>
  <si>
    <t>Energy Costs</t>
  </si>
  <si>
    <t>PPA Rate per kWh</t>
  </si>
  <si>
    <t>Cumulative (Short)/Excess Renewable Energy Generated (kWh)</t>
  </si>
  <si>
    <t>(Short)/Excess Renewable Energy Generated (kWh)</t>
  </si>
  <si>
    <t>Renewable Energy PPAs net of losses (Generated kWhs)</t>
  </si>
  <si>
    <t>PPA Cost - Generation Above Green Direct Usage</t>
  </si>
  <si>
    <t>Sale of Excess PPA Generation</t>
  </si>
  <si>
    <t>Market Rate per kWh (Average Day Ahead Index for the Month)</t>
  </si>
  <si>
    <t>Green Direct Monthly Assumed Actual Information</t>
  </si>
  <si>
    <t>PCA period Green Direct Customers delivered load usage (kWh)</t>
  </si>
  <si>
    <t>Attachment A</t>
  </si>
  <si>
    <t>Accounting Instructions for the Treatment of the Schedule 139, Voluntary Long Term Renewable Energy Purchase Rider (“Green Direct Program”)</t>
  </si>
  <si>
    <t>G</t>
  </si>
  <si>
    <t>K</t>
  </si>
  <si>
    <t>C</t>
  </si>
  <si>
    <t>PPA RECs per Generated MWhs</t>
  </si>
  <si>
    <t xml:space="preserve">     Less reconciling difference</t>
  </si>
  <si>
    <t>PPA RECs for Green Direct Customers</t>
  </si>
  <si>
    <t>RECs purchased for Green Direct Customers*</t>
  </si>
  <si>
    <r>
      <t>RECs banked for Green Direct Customers</t>
    </r>
    <r>
      <rPr>
        <vertAlign val="superscript"/>
        <sz val="10"/>
        <rFont val="Arial"/>
        <family val="2"/>
      </rPr>
      <t>1</t>
    </r>
  </si>
  <si>
    <t>(Cumulative)</t>
  </si>
  <si>
    <t>Additional REC Costs Originally Recorded</t>
  </si>
  <si>
    <t>Green Direct Unbundled REC Purchases</t>
  </si>
  <si>
    <t xml:space="preserve">Short </t>
  </si>
  <si>
    <t>GD Excess REC Inventory Value SAP GL Acct 17400051</t>
  </si>
  <si>
    <t>GD Cumulative Excess REC Inventory Final</t>
  </si>
  <si>
    <t>GD REC Inventory:</t>
  </si>
  <si>
    <t>Incremental RECs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</si>
  <si>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</si>
  <si>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</si>
  <si>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</si>
  <si>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</si>
  <si>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</si>
  <si>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</si>
  <si>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</si>
  <si>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</si>
  <si>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</si>
  <si>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</si>
  <si>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January</t>
  </si>
  <si>
    <t>Weighted Ave REC Purchase Price</t>
  </si>
  <si>
    <t>GD Excess REC Inventory Value Per EDA Dept GD RECs</t>
  </si>
  <si>
    <t>Power Cost Totals:</t>
  </si>
  <si>
    <t>Outside Services</t>
  </si>
  <si>
    <t>C.99999.03.37.01</t>
  </si>
  <si>
    <t>Admin</t>
  </si>
  <si>
    <t>Totals</t>
  </si>
  <si>
    <t>Description</t>
  </si>
  <si>
    <t>WBS</t>
  </si>
  <si>
    <t>Work Order</t>
  </si>
  <si>
    <t>Depreciation</t>
  </si>
  <si>
    <t>Employee Labor</t>
  </si>
  <si>
    <t>Energy Purchase Rider (“Green Direct Program”)</t>
  </si>
  <si>
    <t xml:space="preserve">Reporting for the Treatment of the Schedule 139, Voluntary Long Term Renewable </t>
  </si>
  <si>
    <t>February</t>
  </si>
  <si>
    <t>Ending Balance</t>
  </si>
  <si>
    <t>Liquidated Damages Usage</t>
  </si>
  <si>
    <t>Liquidated Damages Additons</t>
  </si>
  <si>
    <t>Beginning Balance</t>
  </si>
  <si>
    <t>Reporting for the Treatment of the Schedule 139, Voluntary Long Term Renewable Energy Purchase Rider (“Green Direct Program”)</t>
  </si>
  <si>
    <t>Balance</t>
  </si>
  <si>
    <t>2022 Liquidated Damages Activity</t>
  </si>
  <si>
    <t>GD Cumulative Excess REC Inventory Prelim (prior to true-up for Lundhill lag)</t>
  </si>
  <si>
    <t>GD Cumulative True-up for Lundhill month lag</t>
  </si>
  <si>
    <t>Labor</t>
  </si>
  <si>
    <t>2022 Fixed Costs</t>
  </si>
  <si>
    <t>REDACTED VERSION</t>
  </si>
  <si>
    <t>long</t>
  </si>
  <si>
    <t>(short)</t>
  </si>
  <si>
    <t>XXXXX</t>
  </si>
  <si>
    <t>Shaded information is designated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</si>
</sst>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&quot;$&quot;#,##0.00000_);\(&quot;$&quot;#,##0.00000\);\–_);&quot;–&quot;_)"/>
    <numFmt numFmtId="167" formatCode="###,000"/>
    <numFmt numFmtId="168" formatCode="0.000000"/>
    <numFmt numFmtId="169" formatCode="&quot;$&quot;#,##0.00"/>
    <numFmt numFmtId="170" formatCode="&quot;$&quot;#,##0_);\(&quot;$&quot;#,##0\);\–_);&quot;–&quot;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color rgb="FF0066FF"/>
      <name val="Arial"/>
      <family val="2"/>
    </font>
    <font>
      <sz val="8"/>
      <color rgb="FF0000FF"/>
      <name val="Arial"/>
      <family val="2"/>
    </font>
    <font>
      <b/>
      <i/>
      <sz val="10"/>
      <name val="Arial"/>
      <family val="2"/>
    </font>
    <font>
      <b/>
      <i/>
      <sz val="10"/>
      <color rgb="FF0000FF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  <family val="2"/>
    </font>
    <font>
      <sz val="10"/>
      <color rgb="FFFF0066"/>
      <name val="Arial"/>
      <family val="2"/>
    </font>
    <font>
      <sz val="11"/>
      <name val="Calibri"/>
      <family val="2"/>
    </font>
    <font>
      <i/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A5A5A5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6" borderId="2" applyNumberFormat="0" applyAlignment="0" applyProtection="0">
      <alignment horizontal="left" vertical="center" indent="1"/>
    </xf>
    <xf numFmtId="167" fontId="20" fillId="7" borderId="2" applyNumberFormat="0" applyAlignment="0" applyProtection="0">
      <alignment horizontal="left" vertical="center" indent="1"/>
    </xf>
    <xf numFmtId="167" fontId="20" fillId="0" borderId="3" applyNumberFormat="0" applyProtection="0">
      <alignment horizontal="right" vertical="center"/>
    </xf>
    <xf numFmtId="0" fontId="15" fillId="0" borderId="0"/>
    <xf numFmtId="43" fontId="16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0" fontId="28" fillId="8" borderId="9" applyNumberFormat="0" applyAlignment="0" applyProtection="0"/>
    <xf numFmtId="168" fontId="4" fillId="0" borderId="0">
      <alignment horizontal="left" wrapText="1"/>
    </xf>
    <xf numFmtId="0" fontId="4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Continuous"/>
    </xf>
    <xf numFmtId="5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NumberFormat="1" applyFont="1" applyAlignment="1"/>
    <xf numFmtId="0" fontId="4" fillId="0" borderId="0" xfId="0" applyNumberFormat="1" applyFont="1" applyFill="1" applyAlignment="1">
      <alignment wrapText="1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17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0" fontId="4" fillId="0" borderId="0" xfId="0" quotePrefix="1" applyNumberFormat="1" applyFont="1" applyAlignment="1" applyProtection="1">
      <alignment horizontal="left"/>
      <protection locked="0"/>
    </xf>
    <xf numFmtId="164" fontId="4" fillId="0" borderId="0" xfId="1" applyNumberFormat="1" applyFont="1" applyFill="1" applyBorder="1" applyAlignment="1">
      <alignment wrapText="1"/>
    </xf>
    <xf numFmtId="164" fontId="4" fillId="0" borderId="0" xfId="0" applyNumberFormat="1" applyFont="1" applyAlignment="1"/>
    <xf numFmtId="0" fontId="4" fillId="0" borderId="0" xfId="0" applyNumberFormat="1" applyFont="1" applyAlignment="1" applyProtection="1">
      <alignment horizontal="left"/>
      <protection locked="0"/>
    </xf>
    <xf numFmtId="164" fontId="4" fillId="0" borderId="1" xfId="1" applyNumberFormat="1" applyFont="1" applyFill="1" applyBorder="1" applyAlignment="1">
      <alignment wrapText="1"/>
    </xf>
    <xf numFmtId="164" fontId="4" fillId="0" borderId="1" xfId="0" applyNumberFormat="1" applyFont="1" applyBorder="1" applyAlignment="1"/>
    <xf numFmtId="165" fontId="4" fillId="0" borderId="0" xfId="0" applyNumberFormat="1" applyFont="1" applyAlignment="1"/>
    <xf numFmtId="0" fontId="5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4" fontId="4" fillId="0" borderId="0" xfId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5" fontId="4" fillId="0" borderId="0" xfId="0" applyNumberFormat="1" applyFont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NumberFormat="1" applyFont="1" applyFill="1" applyAlignment="1"/>
    <xf numFmtId="5" fontId="4" fillId="0" borderId="0" xfId="0" applyNumberFormat="1" applyFont="1" applyFill="1" applyAlignment="1"/>
    <xf numFmtId="0" fontId="5" fillId="0" borderId="0" xfId="0" applyNumberFormat="1" applyFont="1" applyFill="1" applyAlignment="1"/>
    <xf numFmtId="5" fontId="4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4" fillId="4" borderId="0" xfId="0" applyFont="1" applyFill="1"/>
    <xf numFmtId="0" fontId="12" fillId="4" borderId="0" xfId="0" applyFont="1" applyFill="1"/>
    <xf numFmtId="0" fontId="5" fillId="4" borderId="0" xfId="0" applyFont="1" applyFill="1"/>
    <xf numFmtId="0" fontId="5" fillId="4" borderId="0" xfId="0" applyNumberFormat="1" applyFont="1" applyFill="1" applyAlignment="1">
      <alignment horizontal="center"/>
    </xf>
    <xf numFmtId="0" fontId="5" fillId="4" borderId="0" xfId="0" applyNumberFormat="1" applyFont="1" applyFill="1" applyBorder="1" applyAlignment="1">
      <alignment horizontal="centerContinuous"/>
    </xf>
    <xf numFmtId="0" fontId="6" fillId="4" borderId="0" xfId="0" applyNumberFormat="1" applyFont="1" applyFill="1" applyAlignment="1"/>
    <xf numFmtId="0" fontId="4" fillId="4" borderId="0" xfId="0" applyNumberFormat="1" applyFont="1" applyFill="1" applyAlignment="1"/>
    <xf numFmtId="17" fontId="5" fillId="4" borderId="0" xfId="0" applyNumberFormat="1" applyFont="1" applyFill="1" applyBorder="1" applyAlignment="1">
      <alignment horizontal="center"/>
    </xf>
    <xf numFmtId="0" fontId="4" fillId="4" borderId="0" xfId="0" quotePrefix="1" applyNumberFormat="1" applyFont="1" applyFill="1" applyAlignment="1" applyProtection="1">
      <alignment horizontal="left"/>
      <protection locked="0"/>
    </xf>
    <xf numFmtId="0" fontId="4" fillId="4" borderId="0" xfId="0" applyNumberFormat="1" applyFont="1" applyFill="1" applyAlignment="1">
      <alignment wrapText="1"/>
    </xf>
    <xf numFmtId="164" fontId="4" fillId="4" borderId="0" xfId="1" applyNumberFormat="1" applyFont="1" applyFill="1" applyBorder="1" applyAlignment="1">
      <alignment wrapText="1"/>
    </xf>
    <xf numFmtId="0" fontId="4" fillId="4" borderId="0" xfId="0" applyNumberFormat="1" applyFont="1" applyFill="1" applyAlignment="1" applyProtection="1">
      <alignment horizontal="left"/>
      <protection locked="0"/>
    </xf>
    <xf numFmtId="164" fontId="4" fillId="4" borderId="1" xfId="1" applyNumberFormat="1" applyFont="1" applyFill="1" applyBorder="1" applyAlignment="1">
      <alignment wrapText="1"/>
    </xf>
    <xf numFmtId="164" fontId="4" fillId="4" borderId="1" xfId="0" applyNumberFormat="1" applyFont="1" applyFill="1" applyBorder="1" applyAlignment="1"/>
    <xf numFmtId="164" fontId="4" fillId="4" borderId="0" xfId="0" applyNumberFormat="1" applyFont="1" applyFill="1" applyAlignment="1"/>
    <xf numFmtId="164" fontId="10" fillId="4" borderId="0" xfId="0" applyNumberFormat="1" applyFont="1" applyFill="1" applyAlignment="1">
      <alignment horizontal="center"/>
    </xf>
    <xf numFmtId="0" fontId="9" fillId="4" borderId="0" xfId="0" applyNumberFormat="1" applyFont="1" applyFill="1" applyAlignment="1">
      <alignment horizontal="right"/>
    </xf>
    <xf numFmtId="0" fontId="9" fillId="4" borderId="0" xfId="0" applyNumberFormat="1" applyFont="1" applyFill="1" applyAlignment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/>
    <xf numFmtId="0" fontId="6" fillId="4" borderId="0" xfId="0" applyFont="1" applyFill="1"/>
    <xf numFmtId="166" fontId="4" fillId="4" borderId="0" xfId="0" applyNumberFormat="1" applyFont="1" applyFill="1" applyAlignment="1"/>
    <xf numFmtId="165" fontId="4" fillId="4" borderId="0" xfId="0" applyNumberFormat="1" applyFont="1" applyFill="1" applyAlignment="1"/>
    <xf numFmtId="0" fontId="13" fillId="4" borderId="0" xfId="0" applyNumberFormat="1" applyFont="1" applyFill="1" applyAlignment="1">
      <alignment horizontal="center"/>
    </xf>
    <xf numFmtId="0" fontId="11" fillId="4" borderId="0" xfId="0" applyNumberFormat="1" applyFont="1" applyFill="1" applyAlignment="1"/>
    <xf numFmtId="5" fontId="4" fillId="4" borderId="0" xfId="0" applyNumberFormat="1" applyFont="1" applyFill="1" applyAlignment="1"/>
    <xf numFmtId="0" fontId="4" fillId="4" borderId="0" xfId="0" applyFont="1" applyFill="1" applyBorder="1"/>
    <xf numFmtId="0" fontId="21" fillId="4" borderId="0" xfId="0" applyNumberFormat="1" applyFont="1" applyFill="1" applyAlignment="1">
      <alignment horizontal="right" wrapText="1"/>
    </xf>
    <xf numFmtId="0" fontId="21" fillId="4" borderId="0" xfId="0" applyNumberFormat="1" applyFont="1" applyFill="1" applyBorder="1" applyAlignment="1">
      <alignment horizontal="right"/>
    </xf>
    <xf numFmtId="0" fontId="21" fillId="4" borderId="0" xfId="0" applyNumberFormat="1" applyFont="1" applyFill="1" applyAlignment="1">
      <alignment horizontal="right"/>
    </xf>
    <xf numFmtId="0" fontId="21" fillId="4" borderId="0" xfId="0" applyFont="1" applyFill="1" applyAlignment="1">
      <alignment horizontal="right"/>
    </xf>
    <xf numFmtId="0" fontId="21" fillId="0" borderId="0" xfId="0" applyFont="1"/>
    <xf numFmtId="164" fontId="16" fillId="0" borderId="0" xfId="1" applyNumberFormat="1" applyFont="1"/>
    <xf numFmtId="7" fontId="4" fillId="0" borderId="0" xfId="0" applyNumberFormat="1" applyFont="1"/>
    <xf numFmtId="0" fontId="5" fillId="4" borderId="0" xfId="0" applyNumberFormat="1" applyFont="1" applyFill="1" applyBorder="1" applyAlignment="1">
      <alignment horizontal="center"/>
    </xf>
    <xf numFmtId="164" fontId="4" fillId="0" borderId="0" xfId="1" applyNumberFormat="1" applyFont="1"/>
    <xf numFmtId="164" fontId="4" fillId="4" borderId="0" xfId="1" applyNumberFormat="1" applyFont="1" applyFill="1" applyAlignment="1"/>
    <xf numFmtId="164" fontId="4" fillId="4" borderId="4" xfId="0" applyNumberFormat="1" applyFont="1" applyFill="1" applyBorder="1" applyAlignment="1"/>
    <xf numFmtId="164" fontId="5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5" fontId="24" fillId="0" borderId="0" xfId="0" applyNumberFormat="1" applyFont="1" applyFill="1" applyAlignment="1"/>
    <xf numFmtId="8" fontId="4" fillId="0" borderId="0" xfId="0" applyNumberFormat="1" applyFont="1" applyFill="1"/>
    <xf numFmtId="43" fontId="4" fillId="4" borderId="0" xfId="0" applyNumberFormat="1" applyFont="1" applyFill="1"/>
    <xf numFmtId="5" fontId="4" fillId="4" borderId="5" xfId="0" applyNumberFormat="1" applyFont="1" applyFill="1" applyBorder="1" applyAlignment="1"/>
    <xf numFmtId="5" fontId="4" fillId="4" borderId="6" xfId="0" applyNumberFormat="1" applyFont="1" applyFill="1" applyBorder="1" applyAlignment="1"/>
    <xf numFmtId="0" fontId="25" fillId="4" borderId="0" xfId="0" applyNumberFormat="1" applyFont="1" applyFill="1" applyAlignment="1"/>
    <xf numFmtId="0" fontId="25" fillId="4" borderId="0" xfId="0" applyFont="1" applyFill="1"/>
    <xf numFmtId="164" fontId="21" fillId="4" borderId="0" xfId="0" applyNumberFormat="1" applyFont="1" applyFill="1" applyAlignment="1">
      <alignment horizontal="right"/>
    </xf>
    <xf numFmtId="164" fontId="4" fillId="0" borderId="7" xfId="0" applyNumberFormat="1" applyFont="1" applyFill="1" applyBorder="1" applyAlignment="1"/>
    <xf numFmtId="164" fontId="4" fillId="0" borderId="0" xfId="0" applyNumberFormat="1" applyFont="1" applyFill="1" applyBorder="1" applyAlignment="1"/>
    <xf numFmtId="43" fontId="14" fillId="0" borderId="0" xfId="0" applyNumberFormat="1" applyFont="1" applyFill="1" applyAlignment="1">
      <alignment horizontal="right"/>
    </xf>
    <xf numFmtId="7" fontId="4" fillId="0" borderId="0" xfId="1" applyNumberFormat="1" applyFont="1" applyFill="1" applyBorder="1" applyAlignment="1"/>
    <xf numFmtId="43" fontId="4" fillId="0" borderId="0" xfId="0" applyNumberFormat="1" applyFont="1" applyFill="1" applyBorder="1" applyAlignment="1"/>
    <xf numFmtId="5" fontId="4" fillId="0" borderId="0" xfId="0" applyNumberFormat="1" applyFont="1"/>
    <xf numFmtId="5" fontId="4" fillId="0" borderId="0" xfId="1" applyNumberFormat="1" applyFont="1" applyBorder="1"/>
    <xf numFmtId="164" fontId="4" fillId="4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7" fontId="4" fillId="0" borderId="0" xfId="1" applyNumberFormat="1" applyFont="1" applyFill="1" applyBorder="1"/>
    <xf numFmtId="0" fontId="0" fillId="0" borderId="0" xfId="0" applyBorder="1"/>
    <xf numFmtId="43" fontId="4" fillId="0" borderId="0" xfId="1" applyFont="1" applyFill="1" applyBorder="1"/>
    <xf numFmtId="5" fontId="4" fillId="0" borderId="0" xfId="0" applyNumberFormat="1" applyFont="1" applyFill="1" applyBorder="1" applyAlignment="1"/>
    <xf numFmtId="0" fontId="12" fillId="0" borderId="0" xfId="0" applyFont="1" applyFill="1" applyBorder="1"/>
    <xf numFmtId="43" fontId="14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Alignment="1">
      <alignment horizontal="right"/>
    </xf>
    <xf numFmtId="0" fontId="4" fillId="5" borderId="0" xfId="22" applyNumberFormat="1" applyFont="1" applyFill="1" applyAlignment="1"/>
    <xf numFmtId="169" fontId="0" fillId="0" borderId="0" xfId="0" applyNumberFormat="1"/>
    <xf numFmtId="169" fontId="1" fillId="0" borderId="8" xfId="0" applyNumberFormat="1" applyFont="1" applyBorder="1"/>
    <xf numFmtId="169" fontId="0" fillId="0" borderId="8" xfId="0" applyNumberFormat="1" applyBorder="1"/>
    <xf numFmtId="0" fontId="29" fillId="0" borderId="8" xfId="0" applyFont="1" applyBorder="1" applyAlignment="1">
      <alignment vertical="center"/>
    </xf>
    <xf numFmtId="0" fontId="29" fillId="0" borderId="8" xfId="0" applyFont="1" applyBorder="1" applyAlignment="1">
      <alignment horizontal="right" vertical="center"/>
    </xf>
    <xf numFmtId="0" fontId="28" fillId="8" borderId="10" xfId="21" applyBorder="1" applyAlignment="1">
      <alignment horizontal="right"/>
    </xf>
    <xf numFmtId="17" fontId="28" fillId="8" borderId="10" xfId="21" applyNumberFormat="1" applyBorder="1"/>
    <xf numFmtId="0" fontId="30" fillId="9" borderId="11" xfId="0" applyFont="1" applyFill="1" applyBorder="1" applyAlignment="1">
      <alignment vertical="center"/>
    </xf>
    <xf numFmtId="0" fontId="30" fillId="9" borderId="10" xfId="0" applyFont="1" applyFill="1" applyBorder="1" applyAlignment="1">
      <alignment vertical="center"/>
    </xf>
    <xf numFmtId="0" fontId="16" fillId="0" borderId="0" xfId="0" applyFont="1"/>
    <xf numFmtId="164" fontId="0" fillId="0" borderId="0" xfId="1" applyNumberFormat="1" applyFon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17" fillId="0" borderId="0" xfId="0" applyFont="1"/>
    <xf numFmtId="43" fontId="16" fillId="0" borderId="0" xfId="0" applyNumberFormat="1" applyFont="1"/>
    <xf numFmtId="170" fontId="0" fillId="0" borderId="0" xfId="0" applyNumberFormat="1"/>
    <xf numFmtId="170" fontId="0" fillId="0" borderId="0" xfId="1" applyNumberFormat="1" applyFont="1"/>
    <xf numFmtId="0" fontId="31" fillId="0" borderId="0" xfId="23" applyFont="1"/>
    <xf numFmtId="0" fontId="31" fillId="5" borderId="0" xfId="23" applyFont="1" applyFill="1"/>
    <xf numFmtId="49" fontId="4" fillId="10" borderId="12" xfId="0" quotePrefix="1" applyNumberFormat="1" applyFont="1" applyFill="1" applyBorder="1" applyAlignment="1">
      <alignment horizontal="center"/>
    </xf>
    <xf numFmtId="0" fontId="4" fillId="10" borderId="13" xfId="0" quotePrefix="1" applyNumberFormat="1" applyFont="1" applyFill="1" applyBorder="1" applyAlignment="1">
      <alignment horizontal="center"/>
    </xf>
    <xf numFmtId="0" fontId="4" fillId="10" borderId="13" xfId="0" applyNumberFormat="1" applyFont="1" applyFill="1" applyBorder="1" applyAlignment="1">
      <alignment horizontal="center"/>
    </xf>
    <xf numFmtId="0" fontId="4" fillId="10" borderId="14" xfId="0" applyNumberFormat="1" applyFont="1" applyFill="1" applyBorder="1" applyAlignment="1">
      <alignment horizontal="center"/>
    </xf>
    <xf numFmtId="0" fontId="32" fillId="0" borderId="0" xfId="0" applyFont="1" applyBorder="1"/>
    <xf numFmtId="0" fontId="32" fillId="0" borderId="0" xfId="0" applyFont="1" applyFill="1" applyBorder="1"/>
  </cellXfs>
  <cellStyles count="24">
    <cellStyle name="Check Cell" xfId="21" builtinId="23"/>
    <cellStyle name="Comma" xfId="1" builtinId="3"/>
    <cellStyle name="Comma 15 3 7" xfId="17" xr:uid="{00000000-0005-0000-0000-000002000000}"/>
    <cellStyle name="Comma 2" xfId="3" xr:uid="{00000000-0005-0000-0000-000003000000}"/>
    <cellStyle name="Comma 3" xfId="11" xr:uid="{00000000-0005-0000-0000-000004000000}"/>
    <cellStyle name="Comma 4" xfId="15" xr:uid="{00000000-0005-0000-0000-000005000000}"/>
    <cellStyle name="Currency 2" xfId="5" xr:uid="{00000000-0005-0000-0000-000006000000}"/>
    <cellStyle name="Currency 3" xfId="13" xr:uid="{00000000-0005-0000-0000-000007000000}"/>
    <cellStyle name="Normal" xfId="0" builtinId="0"/>
    <cellStyle name="Normal 10 2" xfId="23" xr:uid="{00000000-0005-0000-0000-000009000000}"/>
    <cellStyle name="Normal 2" xfId="4" xr:uid="{00000000-0005-0000-0000-00000A000000}"/>
    <cellStyle name="Normal 2 2" xfId="10" xr:uid="{00000000-0005-0000-0000-00000B000000}"/>
    <cellStyle name="Normal 2 3" xfId="16" xr:uid="{00000000-0005-0000-0000-00000C000000}"/>
    <cellStyle name="Normal 3" xfId="2" xr:uid="{00000000-0005-0000-0000-00000D000000}"/>
    <cellStyle name="Normal 309" xfId="19" xr:uid="{00000000-0005-0000-0000-00000E000000}"/>
    <cellStyle name="Normal 4" xfId="12" xr:uid="{00000000-0005-0000-0000-00000F000000}"/>
    <cellStyle name="Normal 4 2" xfId="22" xr:uid="{00000000-0005-0000-0000-000010000000}"/>
    <cellStyle name="Normal 5" xfId="14" xr:uid="{00000000-0005-0000-0000-000011000000}"/>
    <cellStyle name="Normal 8" xfId="18" xr:uid="{00000000-0005-0000-0000-000012000000}"/>
    <cellStyle name="Percent 2" xfId="20" xr:uid="{00000000-0005-0000-0000-000013000000}"/>
    <cellStyle name="SAPDataCell" xfId="9" xr:uid="{00000000-0005-0000-0000-000014000000}"/>
    <cellStyle name="SAPDimensionCell" xfId="7" xr:uid="{00000000-0005-0000-0000-000015000000}"/>
    <cellStyle name="SAPMemberCell" xfId="8" xr:uid="{00000000-0005-0000-0000-000016000000}"/>
    <cellStyle name="Title 2" xfId="6" xr:uid="{00000000-0005-0000-0000-000017000000}"/>
  </cellStyles>
  <dxfs count="0"/>
  <tableStyles count="0" defaultTableStyle="TableStyleMedium2" defaultPivotStyle="PivotStyleLight16"/>
  <colors>
    <mruColors>
      <color rgb="FFFFFFCC"/>
      <color rgb="FFFF0066"/>
      <color rgb="FF6600CC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16</xdr:row>
      <xdr:rowOff>104775</xdr:rowOff>
    </xdr:from>
    <xdr:to>
      <xdr:col>10</xdr:col>
      <xdr:colOff>427733</xdr:colOff>
      <xdr:row>39</xdr:row>
      <xdr:rowOff>170894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171825"/>
          <a:ext cx="7133333" cy="4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18</xdr:row>
      <xdr:rowOff>57150</xdr:rowOff>
    </xdr:from>
    <xdr:to>
      <xdr:col>4</xdr:col>
      <xdr:colOff>1761484</xdr:colOff>
      <xdr:row>43</xdr:row>
      <xdr:rowOff>113698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3295650"/>
          <a:ext cx="5123809" cy="48190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Compliance%20Filing\190529-30-PSE-WP-Cmpl-RevReq-COS-(9-23-20)(C)\190529-30-PSE-WP-SEF-18.00E-ELECTRIC-MODEL-REBUTTA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"/>
      <sheetName val="141X&amp;141Z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Impacts"/>
      <sheetName val="admin n tracking==&gt;"/>
      <sheetName val="Track diff for Impacts"/>
    </sheetNames>
    <sheetDataSet>
      <sheetData sheetId="0"/>
      <sheetData sheetId="1"/>
      <sheetData sheetId="2"/>
      <sheetData sheetId="3"/>
      <sheetData sheetId="4"/>
      <sheetData sheetId="5">
        <row r="7">
          <cell r="AA7" t="str">
            <v>RESTATING</v>
          </cell>
        </row>
      </sheetData>
      <sheetData sheetId="6"/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4:F23"/>
  <sheetViews>
    <sheetView workbookViewId="0">
      <selection activeCell="D5" sqref="D5"/>
    </sheetView>
  </sheetViews>
  <sheetFormatPr defaultRowHeight="15" x14ac:dyDescent="0.25"/>
  <cols>
    <col min="1" max="1" width="16.140625" bestFit="1" customWidth="1"/>
    <col min="2" max="2" width="48.85546875" bestFit="1" customWidth="1"/>
    <col min="3" max="3" width="6.5703125" bestFit="1" customWidth="1"/>
    <col min="4" max="4" width="15.7109375" bestFit="1" customWidth="1"/>
    <col min="6" max="6" width="32.140625" bestFit="1" customWidth="1"/>
  </cols>
  <sheetData>
    <row r="4" spans="1:6" x14ac:dyDescent="0.25">
      <c r="A4" s="2" t="s">
        <v>4</v>
      </c>
      <c r="B4" s="2" t="s">
        <v>5</v>
      </c>
      <c r="C4" s="2" t="s">
        <v>18</v>
      </c>
      <c r="D4" s="2" t="s">
        <v>6</v>
      </c>
      <c r="E4" s="2" t="s">
        <v>2</v>
      </c>
      <c r="F4" s="3" t="s">
        <v>22</v>
      </c>
    </row>
    <row r="5" spans="1:6" x14ac:dyDescent="0.25">
      <c r="A5" t="s">
        <v>0</v>
      </c>
      <c r="B5" t="s">
        <v>9</v>
      </c>
      <c r="C5" t="s">
        <v>19</v>
      </c>
      <c r="D5" t="s">
        <v>8</v>
      </c>
      <c r="E5" s="1" t="s">
        <v>3</v>
      </c>
    </row>
    <row r="6" spans="1:6" x14ac:dyDescent="0.25">
      <c r="B6" t="s">
        <v>10</v>
      </c>
      <c r="C6" t="s">
        <v>19</v>
      </c>
      <c r="D6" t="s">
        <v>11</v>
      </c>
      <c r="E6" s="1" t="s">
        <v>3</v>
      </c>
    </row>
    <row r="7" spans="1:6" x14ac:dyDescent="0.25">
      <c r="B7" t="s">
        <v>7</v>
      </c>
      <c r="C7" t="s">
        <v>21</v>
      </c>
      <c r="D7" t="s">
        <v>12</v>
      </c>
      <c r="E7" s="1" t="s">
        <v>16</v>
      </c>
      <c r="F7" t="s">
        <v>13</v>
      </c>
    </row>
    <row r="8" spans="1:6" x14ac:dyDescent="0.25">
      <c r="B8" t="s">
        <v>14</v>
      </c>
      <c r="C8" t="s">
        <v>20</v>
      </c>
      <c r="D8" t="s">
        <v>15</v>
      </c>
      <c r="E8" s="1" t="s">
        <v>16</v>
      </c>
    </row>
    <row r="9" spans="1:6" x14ac:dyDescent="0.25">
      <c r="C9" t="s">
        <v>20</v>
      </c>
      <c r="D9" t="s">
        <v>17</v>
      </c>
      <c r="E9" s="1" t="s">
        <v>3</v>
      </c>
    </row>
    <row r="10" spans="1:6" x14ac:dyDescent="0.25">
      <c r="B10" t="s">
        <v>27</v>
      </c>
      <c r="E10" s="1"/>
    </row>
    <row r="11" spans="1:6" x14ac:dyDescent="0.25">
      <c r="E11" s="1"/>
    </row>
    <row r="13" spans="1:6" x14ac:dyDescent="0.25">
      <c r="A13" t="s">
        <v>1</v>
      </c>
      <c r="B13" t="s">
        <v>9</v>
      </c>
      <c r="C13" t="s">
        <v>19</v>
      </c>
      <c r="D13" t="s">
        <v>8</v>
      </c>
      <c r="E13" s="1" t="s">
        <v>3</v>
      </c>
    </row>
    <row r="14" spans="1:6" x14ac:dyDescent="0.25">
      <c r="B14" t="s">
        <v>23</v>
      </c>
      <c r="C14" t="s">
        <v>21</v>
      </c>
      <c r="D14" t="s">
        <v>15</v>
      </c>
      <c r="E14" s="1" t="s">
        <v>16</v>
      </c>
      <c r="F14" t="s">
        <v>13</v>
      </c>
    </row>
    <row r="15" spans="1:6" x14ac:dyDescent="0.25">
      <c r="B15" t="s">
        <v>24</v>
      </c>
      <c r="C15" t="s">
        <v>20</v>
      </c>
      <c r="D15" t="s">
        <v>25</v>
      </c>
      <c r="E15" s="1" t="s">
        <v>16</v>
      </c>
    </row>
    <row r="16" spans="1:6" x14ac:dyDescent="0.25">
      <c r="C16" t="s">
        <v>20</v>
      </c>
      <c r="D16" t="s">
        <v>8</v>
      </c>
      <c r="E16" s="1" t="s">
        <v>3</v>
      </c>
    </row>
    <row r="17" spans="2:6" x14ac:dyDescent="0.25">
      <c r="B17" t="s">
        <v>26</v>
      </c>
      <c r="C17" t="s">
        <v>21</v>
      </c>
      <c r="D17" t="s">
        <v>29</v>
      </c>
      <c r="E17" s="1" t="s">
        <v>3</v>
      </c>
      <c r="F17" t="s">
        <v>28</v>
      </c>
    </row>
    <row r="23" spans="2:6" x14ac:dyDescent="0.25">
      <c r="B23" t="s">
        <v>30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1"/>
  <sheetViews>
    <sheetView zoomScale="115" zoomScaleNormal="115" workbookViewId="0">
      <selection activeCell="G14" sqref="G14"/>
    </sheetView>
  </sheetViews>
  <sheetFormatPr defaultRowHeight="15" x14ac:dyDescent="0.25"/>
  <cols>
    <col min="1" max="1" width="16.140625" bestFit="1" customWidth="1"/>
    <col min="2" max="2" width="48.85546875" bestFit="1" customWidth="1"/>
    <col min="3" max="3" width="6.5703125" bestFit="1" customWidth="1"/>
    <col min="4" max="5" width="6.5703125" customWidth="1"/>
    <col min="6" max="7" width="8.42578125" bestFit="1" customWidth="1"/>
    <col min="8" max="8" width="7.85546875" bestFit="1" customWidth="1"/>
    <col min="9" max="9" width="6.85546875" bestFit="1" customWidth="1"/>
    <col min="10" max="10" width="12.5703125" customWidth="1"/>
    <col min="11" max="11" width="42.7109375" bestFit="1" customWidth="1"/>
    <col min="13" max="13" width="17.42578125" bestFit="1" customWidth="1"/>
  </cols>
  <sheetData>
    <row r="1" spans="1:11" x14ac:dyDescent="0.25">
      <c r="A1" t="s">
        <v>64</v>
      </c>
    </row>
    <row r="2" spans="1:11" x14ac:dyDescent="0.25">
      <c r="A2" t="s">
        <v>59</v>
      </c>
    </row>
    <row r="6" spans="1:11" ht="30" x14ac:dyDescent="0.25">
      <c r="A6" s="2" t="s">
        <v>4</v>
      </c>
      <c r="B6" s="2" t="s">
        <v>5</v>
      </c>
      <c r="C6" s="6" t="s">
        <v>32</v>
      </c>
      <c r="D6" s="2" t="s">
        <v>18</v>
      </c>
      <c r="E6" s="2" t="s">
        <v>31</v>
      </c>
      <c r="F6" s="7" t="s">
        <v>36</v>
      </c>
      <c r="G6" s="7"/>
      <c r="H6" s="7" t="s">
        <v>33</v>
      </c>
      <c r="I6" s="7"/>
      <c r="J6" s="2" t="s">
        <v>2</v>
      </c>
      <c r="K6" s="3" t="s">
        <v>22</v>
      </c>
    </row>
    <row r="7" spans="1:11" x14ac:dyDescent="0.25">
      <c r="A7" t="s">
        <v>45</v>
      </c>
      <c r="B7" s="4"/>
      <c r="C7" s="4"/>
      <c r="D7" s="4"/>
      <c r="E7" s="4"/>
      <c r="F7" s="13" t="s">
        <v>34</v>
      </c>
      <c r="G7" s="13" t="s">
        <v>35</v>
      </c>
      <c r="H7" s="10" t="s">
        <v>34</v>
      </c>
      <c r="I7" s="10" t="s">
        <v>35</v>
      </c>
      <c r="J7" s="4"/>
      <c r="K7" s="5"/>
    </row>
    <row r="8" spans="1:11" x14ac:dyDescent="0.25">
      <c r="B8" s="4"/>
      <c r="C8" s="4"/>
      <c r="D8" s="4"/>
      <c r="E8" s="4"/>
      <c r="F8" s="13"/>
      <c r="G8" s="13"/>
      <c r="H8" s="10"/>
      <c r="I8" s="10"/>
      <c r="J8" s="4"/>
      <c r="K8" s="5"/>
    </row>
    <row r="9" spans="1:11" x14ac:dyDescent="0.25">
      <c r="A9" t="s">
        <v>46</v>
      </c>
      <c r="B9" s="4"/>
      <c r="C9" s="4"/>
      <c r="D9" s="4"/>
      <c r="E9" s="4"/>
      <c r="F9" s="13"/>
      <c r="G9" s="13"/>
      <c r="H9" s="10"/>
      <c r="I9" s="10"/>
      <c r="J9" s="4"/>
      <c r="K9" s="5"/>
    </row>
    <row r="10" spans="1:11" x14ac:dyDescent="0.25">
      <c r="A10" s="1" t="s">
        <v>40</v>
      </c>
      <c r="B10" t="s">
        <v>9</v>
      </c>
      <c r="C10" t="s">
        <v>19</v>
      </c>
      <c r="D10" s="8">
        <v>50</v>
      </c>
      <c r="E10">
        <v>100</v>
      </c>
      <c r="F10" s="14" t="s">
        <v>47</v>
      </c>
      <c r="G10" s="15" t="s">
        <v>39</v>
      </c>
      <c r="H10" s="11">
        <f>+E10*D10</f>
        <v>5000</v>
      </c>
      <c r="I10" s="12"/>
      <c r="J10" s="1" t="s">
        <v>3</v>
      </c>
      <c r="K10" t="s">
        <v>50</v>
      </c>
    </row>
    <row r="11" spans="1:11" x14ac:dyDescent="0.25">
      <c r="A11" s="1" t="s">
        <v>41</v>
      </c>
      <c r="B11" t="s">
        <v>10</v>
      </c>
      <c r="C11" t="s">
        <v>19</v>
      </c>
      <c r="D11" s="8">
        <v>50</v>
      </c>
      <c r="E11">
        <v>20</v>
      </c>
      <c r="F11" s="14" t="s">
        <v>37</v>
      </c>
      <c r="G11" s="15" t="s">
        <v>39</v>
      </c>
      <c r="H11" s="11">
        <f>+E11*D11</f>
        <v>1000</v>
      </c>
      <c r="I11" s="12"/>
      <c r="J11" s="1" t="s">
        <v>3</v>
      </c>
      <c r="K11" t="s">
        <v>51</v>
      </c>
    </row>
    <row r="12" spans="1:11" x14ac:dyDescent="0.25">
      <c r="A12" s="1" t="s">
        <v>42</v>
      </c>
      <c r="B12" t="s">
        <v>7</v>
      </c>
      <c r="C12" t="s">
        <v>21</v>
      </c>
      <c r="D12" s="8">
        <v>30</v>
      </c>
      <c r="E12">
        <v>20</v>
      </c>
      <c r="F12" s="15" t="s">
        <v>39</v>
      </c>
      <c r="G12" s="14" t="s">
        <v>38</v>
      </c>
      <c r="H12" s="12"/>
      <c r="I12" s="11">
        <f>-E12*D12</f>
        <v>-600</v>
      </c>
      <c r="J12" s="1" t="s">
        <v>16</v>
      </c>
      <c r="K12" t="s">
        <v>52</v>
      </c>
    </row>
    <row r="13" spans="1:11" x14ac:dyDescent="0.25">
      <c r="A13" s="1" t="s">
        <v>43</v>
      </c>
      <c r="B13" t="s">
        <v>14</v>
      </c>
      <c r="C13" t="s">
        <v>20</v>
      </c>
      <c r="D13" s="8">
        <v>30</v>
      </c>
      <c r="E13">
        <v>20</v>
      </c>
      <c r="F13" s="14" t="s">
        <v>48</v>
      </c>
      <c r="G13" s="15" t="s">
        <v>55</v>
      </c>
      <c r="H13" s="11">
        <f>+D13*E13</f>
        <v>600</v>
      </c>
      <c r="I13" s="11"/>
      <c r="J13" s="1" t="s">
        <v>16</v>
      </c>
      <c r="K13" t="s">
        <v>53</v>
      </c>
    </row>
    <row r="14" spans="1:11" x14ac:dyDescent="0.25">
      <c r="A14" s="1" t="s">
        <v>63</v>
      </c>
      <c r="B14" t="s">
        <v>49</v>
      </c>
      <c r="C14" t="str">
        <f>+C13</f>
        <v>MKT</v>
      </c>
      <c r="D14" s="8">
        <f>+D13</f>
        <v>30</v>
      </c>
      <c r="E14">
        <f>+E13</f>
        <v>20</v>
      </c>
      <c r="F14" s="15" t="s">
        <v>56</v>
      </c>
      <c r="G14" s="14" t="s">
        <v>37</v>
      </c>
      <c r="H14" s="11"/>
      <c r="I14" s="11">
        <f>-H13</f>
        <v>-600</v>
      </c>
      <c r="J14" s="1" t="str">
        <f>+J11</f>
        <v>No</v>
      </c>
      <c r="K14" t="s">
        <v>60</v>
      </c>
    </row>
    <row r="15" spans="1:11" x14ac:dyDescent="0.25">
      <c r="A15" s="1"/>
      <c r="D15" s="8"/>
      <c r="F15" s="15"/>
      <c r="G15" s="14"/>
      <c r="H15" s="11"/>
      <c r="I15" s="11"/>
      <c r="J15" s="1"/>
    </row>
    <row r="16" spans="1:11" x14ac:dyDescent="0.25">
      <c r="A16" s="1" t="s">
        <v>44</v>
      </c>
      <c r="B16" t="s">
        <v>27</v>
      </c>
      <c r="F16" s="13"/>
      <c r="G16" s="13"/>
      <c r="H16" s="10"/>
      <c r="I16" s="10"/>
      <c r="J16" s="1"/>
    </row>
    <row r="17" spans="1:11" x14ac:dyDescent="0.25">
      <c r="F17" s="13"/>
      <c r="G17" s="13"/>
      <c r="H17" s="10"/>
      <c r="I17" s="10"/>
      <c r="J17" s="1"/>
    </row>
    <row r="18" spans="1:11" x14ac:dyDescent="0.25">
      <c r="F18" s="13"/>
      <c r="G18" s="13"/>
      <c r="H18" s="10"/>
      <c r="I18" s="10"/>
    </row>
    <row r="19" spans="1:11" x14ac:dyDescent="0.25">
      <c r="A19" s="9" t="s">
        <v>54</v>
      </c>
      <c r="F19" s="13"/>
      <c r="G19" s="13"/>
      <c r="H19" s="11"/>
      <c r="I19" s="11"/>
    </row>
    <row r="20" spans="1:11" x14ac:dyDescent="0.25">
      <c r="A20" s="1" t="s">
        <v>40</v>
      </c>
      <c r="B20" t="s">
        <v>9</v>
      </c>
      <c r="C20" t="s">
        <v>19</v>
      </c>
      <c r="D20" s="8">
        <v>50</v>
      </c>
      <c r="E20">
        <v>100</v>
      </c>
      <c r="F20" s="14" t="s">
        <v>47</v>
      </c>
      <c r="G20" s="15" t="s">
        <v>39</v>
      </c>
      <c r="H20" s="11">
        <f>+E20*D20</f>
        <v>5000</v>
      </c>
      <c r="I20" s="11"/>
      <c r="J20" s="1" t="s">
        <v>3</v>
      </c>
      <c r="K20" t="s">
        <v>50</v>
      </c>
    </row>
    <row r="21" spans="1:11" x14ac:dyDescent="0.25">
      <c r="A21" s="1" t="s">
        <v>41</v>
      </c>
      <c r="B21" t="s">
        <v>23</v>
      </c>
      <c r="C21" t="s">
        <v>21</v>
      </c>
      <c r="D21" s="8">
        <v>30</v>
      </c>
      <c r="E21">
        <v>20</v>
      </c>
      <c r="F21" s="14" t="s">
        <v>48</v>
      </c>
      <c r="G21" s="15" t="s">
        <v>39</v>
      </c>
      <c r="H21" s="11">
        <f>+E21*D21</f>
        <v>600</v>
      </c>
      <c r="I21" s="11"/>
      <c r="J21" s="1" t="s">
        <v>16</v>
      </c>
      <c r="K21" t="s">
        <v>52</v>
      </c>
    </row>
    <row r="22" spans="1:11" x14ac:dyDescent="0.25">
      <c r="A22" s="1" t="s">
        <v>42</v>
      </c>
      <c r="B22" t="s">
        <v>24</v>
      </c>
      <c r="C22" t="s">
        <v>20</v>
      </c>
      <c r="D22" s="8">
        <v>30</v>
      </c>
      <c r="E22">
        <v>20</v>
      </c>
      <c r="F22" s="15" t="s">
        <v>55</v>
      </c>
      <c r="G22" s="14" t="s">
        <v>48</v>
      </c>
      <c r="H22" s="11"/>
      <c r="I22" s="11">
        <f>-E22*D22</f>
        <v>-600</v>
      </c>
      <c r="J22" s="1" t="s">
        <v>16</v>
      </c>
      <c r="K22" t="s">
        <v>62</v>
      </c>
    </row>
    <row r="23" spans="1:11" x14ac:dyDescent="0.25">
      <c r="A23" s="1" t="s">
        <v>63</v>
      </c>
      <c r="B23" t="s">
        <v>57</v>
      </c>
      <c r="C23" t="s">
        <v>20</v>
      </c>
      <c r="D23" s="8">
        <v>30</v>
      </c>
      <c r="E23">
        <v>20</v>
      </c>
      <c r="F23" s="14" t="s">
        <v>47</v>
      </c>
      <c r="G23" s="15" t="s">
        <v>56</v>
      </c>
      <c r="H23" s="11">
        <f>-I22</f>
        <v>600</v>
      </c>
      <c r="I23" s="11"/>
      <c r="J23" s="1" t="s">
        <v>3</v>
      </c>
      <c r="K23" t="s">
        <v>61</v>
      </c>
    </row>
    <row r="24" spans="1:11" x14ac:dyDescent="0.25">
      <c r="A24" s="1"/>
      <c r="D24" s="8"/>
      <c r="F24" s="14"/>
      <c r="G24" s="15"/>
      <c r="H24" s="11"/>
      <c r="I24" s="11"/>
      <c r="J24" s="1"/>
    </row>
    <row r="25" spans="1:11" x14ac:dyDescent="0.25">
      <c r="A25" s="1" t="s">
        <v>43</v>
      </c>
      <c r="B25" t="s">
        <v>58</v>
      </c>
      <c r="D25" s="8"/>
      <c r="F25" s="13"/>
      <c r="G25" s="13"/>
      <c r="H25" s="11"/>
      <c r="I25" s="11"/>
      <c r="J25" s="1" t="s">
        <v>3</v>
      </c>
      <c r="K25" t="s">
        <v>28</v>
      </c>
    </row>
    <row r="26" spans="1:11" x14ac:dyDescent="0.25">
      <c r="A26" s="1"/>
      <c r="F26" s="13"/>
      <c r="G26" s="13"/>
      <c r="H26" s="11"/>
      <c r="I26" s="11"/>
    </row>
    <row r="31" spans="1:11" x14ac:dyDescent="0.25">
      <c r="B31" t="s">
        <v>30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Q39"/>
  <sheetViews>
    <sheetView workbookViewId="0">
      <selection activeCell="E4" sqref="E4"/>
    </sheetView>
  </sheetViews>
  <sheetFormatPr defaultColWidth="9.140625" defaultRowHeight="12.75" x14ac:dyDescent="0.2"/>
  <cols>
    <col min="1" max="1" width="2.140625" style="32" customWidth="1"/>
    <col min="2" max="2" width="49.7109375" style="32" bestFit="1" customWidth="1"/>
    <col min="3" max="4" width="1.42578125" style="32" customWidth="1"/>
    <col min="5" max="5" width="11.28515625" style="32" bestFit="1" customWidth="1"/>
    <col min="6" max="6" width="10.5703125" style="32" bestFit="1" customWidth="1"/>
    <col min="7" max="14" width="10.28515625" style="32" bestFit="1" customWidth="1"/>
    <col min="15" max="16" width="10.85546875" style="32" bestFit="1" customWidth="1"/>
    <col min="17" max="17" width="11.85546875" style="32" bestFit="1" customWidth="1"/>
    <col min="18" max="16384" width="9.140625" style="32"/>
  </cols>
  <sheetData>
    <row r="1" spans="2:17" x14ac:dyDescent="0.2"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73</v>
      </c>
    </row>
    <row r="2" spans="2:17" x14ac:dyDescent="0.2">
      <c r="B2" s="22" t="s">
        <v>65</v>
      </c>
      <c r="C2" s="16"/>
      <c r="D2" s="16"/>
      <c r="E2" s="20">
        <v>43101</v>
      </c>
      <c r="F2" s="21">
        <v>43132</v>
      </c>
      <c r="G2" s="20">
        <v>43160</v>
      </c>
      <c r="H2" s="21">
        <v>43191</v>
      </c>
      <c r="I2" s="20">
        <v>43221</v>
      </c>
      <c r="J2" s="21">
        <v>43252</v>
      </c>
      <c r="K2" s="20">
        <v>43282</v>
      </c>
      <c r="L2" s="21">
        <v>43313</v>
      </c>
      <c r="M2" s="20">
        <v>43344</v>
      </c>
      <c r="N2" s="21">
        <v>43374</v>
      </c>
      <c r="O2" s="20">
        <v>43405</v>
      </c>
      <c r="P2" s="21">
        <v>43435</v>
      </c>
      <c r="Q2" s="21" t="s">
        <v>74</v>
      </c>
    </row>
    <row r="3" spans="2:17" x14ac:dyDescent="0.2">
      <c r="B3" s="23" t="s">
        <v>66</v>
      </c>
      <c r="C3" s="17"/>
      <c r="D3" s="17"/>
      <c r="E3" s="24">
        <v>2000000</v>
      </c>
      <c r="F3" s="24">
        <v>1500000</v>
      </c>
      <c r="G3" s="24">
        <v>1800000</v>
      </c>
      <c r="H3" s="24">
        <v>1500000</v>
      </c>
      <c r="I3" s="24">
        <v>1500000</v>
      </c>
      <c r="J3" s="24">
        <v>1500000</v>
      </c>
      <c r="K3" s="24">
        <v>1500000</v>
      </c>
      <c r="L3" s="24">
        <v>1500000</v>
      </c>
      <c r="M3" s="24">
        <v>1500000</v>
      </c>
      <c r="N3" s="24">
        <v>1500000</v>
      </c>
      <c r="O3" s="24">
        <v>2000000</v>
      </c>
      <c r="P3" s="24">
        <v>2500000</v>
      </c>
      <c r="Q3" s="25">
        <f>SUM(E3:P3)</f>
        <v>20300000</v>
      </c>
    </row>
    <row r="4" spans="2:17" x14ac:dyDescent="0.2">
      <c r="B4" s="26" t="s">
        <v>67</v>
      </c>
      <c r="C4" s="16"/>
      <c r="D4" s="16"/>
      <c r="E4" s="27">
        <f>20000000/12</f>
        <v>1666666.6666666667</v>
      </c>
      <c r="F4" s="27">
        <f>20000000/12</f>
        <v>1666666.6666666667</v>
      </c>
      <c r="G4" s="27">
        <f>20000000/12</f>
        <v>1666666.6666666667</v>
      </c>
      <c r="H4" s="27">
        <f t="shared" ref="H4:O4" si="0">20000000/12</f>
        <v>1666666.6666666667</v>
      </c>
      <c r="I4" s="27">
        <f t="shared" si="0"/>
        <v>1666666.6666666667</v>
      </c>
      <c r="J4" s="27">
        <f t="shared" si="0"/>
        <v>1666666.6666666667</v>
      </c>
      <c r="K4" s="27">
        <f t="shared" si="0"/>
        <v>1666666.6666666667</v>
      </c>
      <c r="L4" s="27">
        <f t="shared" si="0"/>
        <v>1666666.6666666667</v>
      </c>
      <c r="M4" s="27">
        <f t="shared" si="0"/>
        <v>1666666.6666666667</v>
      </c>
      <c r="N4" s="27">
        <f t="shared" si="0"/>
        <v>1666666.6666666667</v>
      </c>
      <c r="O4" s="27">
        <f t="shared" si="0"/>
        <v>1666666.6666666667</v>
      </c>
      <c r="P4" s="27">
        <v>2000000</v>
      </c>
      <c r="Q4" s="28">
        <f>SUM(E4:P4)</f>
        <v>20333333.333333332</v>
      </c>
    </row>
    <row r="5" spans="2:17" x14ac:dyDescent="0.2">
      <c r="B5" s="16" t="s">
        <v>68</v>
      </c>
      <c r="C5" s="16"/>
      <c r="D5" s="16"/>
      <c r="E5" s="25">
        <f>E4-E3</f>
        <v>-333333.33333333326</v>
      </c>
      <c r="F5" s="25">
        <f t="shared" ref="F5:Q5" si="1">F4-F3</f>
        <v>166666.66666666674</v>
      </c>
      <c r="G5" s="25">
        <f t="shared" si="1"/>
        <v>-133333.33333333326</v>
      </c>
      <c r="H5" s="25">
        <f t="shared" si="1"/>
        <v>166666.66666666674</v>
      </c>
      <c r="I5" s="25">
        <f t="shared" si="1"/>
        <v>166666.66666666674</v>
      </c>
      <c r="J5" s="25">
        <f t="shared" si="1"/>
        <v>166666.66666666674</v>
      </c>
      <c r="K5" s="25">
        <f t="shared" si="1"/>
        <v>166666.66666666674</v>
      </c>
      <c r="L5" s="25">
        <f t="shared" si="1"/>
        <v>166666.66666666674</v>
      </c>
      <c r="M5" s="25">
        <f t="shared" si="1"/>
        <v>166666.66666666674</v>
      </c>
      <c r="N5" s="25">
        <f t="shared" si="1"/>
        <v>166666.66666666674</v>
      </c>
      <c r="O5" s="25">
        <f t="shared" si="1"/>
        <v>-333333.33333333326</v>
      </c>
      <c r="P5" s="25">
        <f t="shared" si="1"/>
        <v>-500000</v>
      </c>
      <c r="Q5" s="25">
        <f t="shared" si="1"/>
        <v>33333.333333332092</v>
      </c>
    </row>
    <row r="6" spans="2:17" x14ac:dyDescent="0.2">
      <c r="B6" s="16"/>
      <c r="C6" s="16"/>
      <c r="D6" s="1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x14ac:dyDescent="0.2">
      <c r="B7" s="22" t="s">
        <v>92</v>
      </c>
      <c r="C7" s="16"/>
      <c r="D7" s="1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x14ac:dyDescent="0.2">
      <c r="B8" s="16" t="s">
        <v>69</v>
      </c>
      <c r="C8" s="16"/>
      <c r="D8" s="16"/>
      <c r="E8" s="25">
        <f t="shared" ref="E8:O8" si="2">E4</f>
        <v>1666666.6666666667</v>
      </c>
      <c r="F8" s="25">
        <f t="shared" si="2"/>
        <v>1666666.6666666667</v>
      </c>
      <c r="G8" s="25">
        <f t="shared" si="2"/>
        <v>1666666.6666666667</v>
      </c>
      <c r="H8" s="25">
        <f t="shared" si="2"/>
        <v>1666666.6666666667</v>
      </c>
      <c r="I8" s="25">
        <f t="shared" si="2"/>
        <v>1666666.6666666667</v>
      </c>
      <c r="J8" s="25">
        <f t="shared" si="2"/>
        <v>1666666.6666666667</v>
      </c>
      <c r="K8" s="25">
        <f t="shared" si="2"/>
        <v>1666666.6666666667</v>
      </c>
      <c r="L8" s="25">
        <f t="shared" si="2"/>
        <v>1666666.6666666667</v>
      </c>
      <c r="M8" s="25">
        <f t="shared" si="2"/>
        <v>1666666.6666666667</v>
      </c>
      <c r="N8" s="25">
        <f t="shared" si="2"/>
        <v>1666666.6666666667</v>
      </c>
      <c r="O8" s="25">
        <f t="shared" si="2"/>
        <v>1666666.6666666667</v>
      </c>
      <c r="P8" s="25">
        <f>P4-Q5</f>
        <v>1966666.6666666679</v>
      </c>
      <c r="Q8" s="25">
        <f>SUM(E8:P8)</f>
        <v>20300000</v>
      </c>
    </row>
    <row r="9" spans="2:17" x14ac:dyDescent="0.2">
      <c r="B9" s="16" t="s">
        <v>83</v>
      </c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4">
        <f>IF(Q5&lt;0, -Q5, 0)</f>
        <v>0</v>
      </c>
    </row>
    <row r="10" spans="2:17" x14ac:dyDescent="0.2">
      <c r="B10" s="16" t="s">
        <v>84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4">
        <f>IF(Q5&gt;0, Q5, 0)</f>
        <v>33333.333333332092</v>
      </c>
    </row>
    <row r="11" spans="2:17" x14ac:dyDescent="0.2">
      <c r="B11" s="1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4"/>
    </row>
    <row r="12" spans="2:17" x14ac:dyDescent="0.2">
      <c r="B12" s="37" t="s">
        <v>93</v>
      </c>
    </row>
    <row r="13" spans="2:17" x14ac:dyDescent="0.2">
      <c r="B13" s="16" t="s">
        <v>72</v>
      </c>
      <c r="E13" s="29">
        <f>45/1000</f>
        <v>4.4999999999999998E-2</v>
      </c>
      <c r="F13" s="29">
        <f t="shared" ref="F13:P13" si="3">45/1000</f>
        <v>4.4999999999999998E-2</v>
      </c>
      <c r="G13" s="29">
        <f t="shared" si="3"/>
        <v>4.4999999999999998E-2</v>
      </c>
      <c r="H13" s="29">
        <f t="shared" si="3"/>
        <v>4.4999999999999998E-2</v>
      </c>
      <c r="I13" s="29">
        <f t="shared" si="3"/>
        <v>4.4999999999999998E-2</v>
      </c>
      <c r="J13" s="29">
        <f t="shared" si="3"/>
        <v>4.4999999999999998E-2</v>
      </c>
      <c r="K13" s="29">
        <f t="shared" si="3"/>
        <v>4.4999999999999998E-2</v>
      </c>
      <c r="L13" s="29">
        <f t="shared" si="3"/>
        <v>4.4999999999999998E-2</v>
      </c>
      <c r="M13" s="29">
        <f t="shared" si="3"/>
        <v>4.4999999999999998E-2</v>
      </c>
      <c r="N13" s="29">
        <f t="shared" si="3"/>
        <v>4.4999999999999998E-2</v>
      </c>
      <c r="O13" s="29">
        <f t="shared" si="3"/>
        <v>4.4999999999999998E-2</v>
      </c>
      <c r="P13" s="29">
        <f t="shared" si="3"/>
        <v>4.4999999999999998E-2</v>
      </c>
    </row>
    <row r="14" spans="2:17" x14ac:dyDescent="0.2">
      <c r="B14" s="16" t="s">
        <v>71</v>
      </c>
      <c r="E14" s="29">
        <f>35/1000</f>
        <v>3.5000000000000003E-2</v>
      </c>
      <c r="F14" s="29">
        <f>E14+0.005</f>
        <v>0.04</v>
      </c>
      <c r="G14" s="29">
        <f>F14-0.007</f>
        <v>3.3000000000000002E-2</v>
      </c>
      <c r="H14" s="29">
        <f>G14+0.015</f>
        <v>4.8000000000000001E-2</v>
      </c>
      <c r="I14" s="29">
        <f t="shared" ref="I14:P14" si="4">35/1000</f>
        <v>3.5000000000000003E-2</v>
      </c>
      <c r="J14" s="29">
        <f t="shared" si="4"/>
        <v>3.5000000000000003E-2</v>
      </c>
      <c r="K14" s="29">
        <f t="shared" si="4"/>
        <v>3.5000000000000003E-2</v>
      </c>
      <c r="L14" s="29">
        <f t="shared" si="4"/>
        <v>3.5000000000000003E-2</v>
      </c>
      <c r="M14" s="29">
        <f t="shared" si="4"/>
        <v>3.5000000000000003E-2</v>
      </c>
      <c r="N14" s="29">
        <f t="shared" si="4"/>
        <v>3.5000000000000003E-2</v>
      </c>
      <c r="O14" s="29">
        <f t="shared" si="4"/>
        <v>3.5000000000000003E-2</v>
      </c>
      <c r="P14" s="29">
        <f t="shared" si="4"/>
        <v>3.5000000000000003E-2</v>
      </c>
    </row>
    <row r="16" spans="2:17" x14ac:dyDescent="0.2">
      <c r="B16" s="22" t="s">
        <v>94</v>
      </c>
    </row>
    <row r="17" spans="2:17" x14ac:dyDescent="0.2">
      <c r="B17" s="30" t="s">
        <v>95</v>
      </c>
    </row>
    <row r="18" spans="2:17" x14ac:dyDescent="0.2">
      <c r="B18" s="16" t="s">
        <v>75</v>
      </c>
      <c r="E18" s="25">
        <f>E5*E14</f>
        <v>-11666.666666666664</v>
      </c>
      <c r="F18" s="25">
        <f>F5*F14</f>
        <v>6666.6666666666697</v>
      </c>
      <c r="G18" s="25">
        <f>G5*G14</f>
        <v>-4399.9999999999973</v>
      </c>
      <c r="H18" s="25">
        <f>H5*H14</f>
        <v>8000.0000000000036</v>
      </c>
      <c r="I18" s="25">
        <f t="shared" ref="I18:P18" si="5">I5*I14</f>
        <v>5833.3333333333367</v>
      </c>
      <c r="J18" s="25">
        <f t="shared" si="5"/>
        <v>5833.3333333333367</v>
      </c>
      <c r="K18" s="25">
        <f t="shared" si="5"/>
        <v>5833.3333333333367</v>
      </c>
      <c r="L18" s="25">
        <f t="shared" si="5"/>
        <v>5833.3333333333367</v>
      </c>
      <c r="M18" s="25">
        <f t="shared" si="5"/>
        <v>5833.3333333333367</v>
      </c>
      <c r="N18" s="25">
        <f t="shared" si="5"/>
        <v>5833.3333333333367</v>
      </c>
      <c r="O18" s="25">
        <f t="shared" si="5"/>
        <v>-11666.666666666664</v>
      </c>
      <c r="P18" s="25">
        <f t="shared" si="5"/>
        <v>-17500</v>
      </c>
      <c r="Q18" s="25">
        <f>SUM(E18:P18)</f>
        <v>4433.3333333333649</v>
      </c>
    </row>
    <row r="19" spans="2:17" x14ac:dyDescent="0.2">
      <c r="B19" s="16" t="s">
        <v>70</v>
      </c>
      <c r="E19" s="25">
        <f>IF(E5&lt;0, -E18, 0)</f>
        <v>11666.666666666664</v>
      </c>
      <c r="F19" s="25">
        <f>IF(F5&lt;0, -F18, 0)</f>
        <v>0</v>
      </c>
      <c r="G19" s="25">
        <f>IF(G5&lt;0, -G18, 0)</f>
        <v>4399.9999999999973</v>
      </c>
      <c r="H19" s="25">
        <f>IF(H5&lt;0, -H18, 0)</f>
        <v>0</v>
      </c>
      <c r="I19" s="25">
        <f t="shared" ref="I19:P19" si="6">IF(I5&lt;0, -I18, 0)</f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  <c r="O19" s="25">
        <f t="shared" si="6"/>
        <v>11666.666666666664</v>
      </c>
      <c r="P19" s="25">
        <f t="shared" si="6"/>
        <v>17500</v>
      </c>
      <c r="Q19" s="25">
        <f>SUM(E19:P19)</f>
        <v>45233.333333333328</v>
      </c>
    </row>
    <row r="20" spans="2:17" x14ac:dyDescent="0.2">
      <c r="B20" s="16" t="s">
        <v>89</v>
      </c>
      <c r="E20" s="25">
        <f>IF(E5&gt;0, -E18, 0)</f>
        <v>0</v>
      </c>
      <c r="F20" s="25">
        <f>IF(F5&gt;0, -F18, 0)</f>
        <v>-6666.6666666666697</v>
      </c>
      <c r="G20" s="25">
        <f>IF(G5&gt;0, -G18, 0)</f>
        <v>0</v>
      </c>
      <c r="H20" s="25">
        <f>IF(H5&gt;0, -H18, 0)</f>
        <v>-8000.0000000000036</v>
      </c>
      <c r="I20" s="25">
        <f t="shared" ref="I20:P20" si="7">IF(I5&gt;0, -I18, 0)</f>
        <v>-5833.3333333333367</v>
      </c>
      <c r="J20" s="25">
        <f t="shared" si="7"/>
        <v>-5833.3333333333367</v>
      </c>
      <c r="K20" s="25">
        <f t="shared" si="7"/>
        <v>-5833.3333333333367</v>
      </c>
      <c r="L20" s="25">
        <f t="shared" si="7"/>
        <v>-5833.3333333333367</v>
      </c>
      <c r="M20" s="25">
        <f t="shared" si="7"/>
        <v>-5833.3333333333367</v>
      </c>
      <c r="N20" s="25">
        <f t="shared" si="7"/>
        <v>-5833.3333333333367</v>
      </c>
      <c r="O20" s="25">
        <f t="shared" si="7"/>
        <v>0</v>
      </c>
      <c r="P20" s="25">
        <f t="shared" si="7"/>
        <v>0</v>
      </c>
      <c r="Q20" s="25">
        <f>SUM(E20:P20)</f>
        <v>-49666.666666666693</v>
      </c>
    </row>
    <row r="21" spans="2:17" x14ac:dyDescent="0.2">
      <c r="E21" s="25"/>
      <c r="F21" s="25"/>
      <c r="G21" s="25"/>
      <c r="H21" s="25"/>
      <c r="I21" s="33"/>
      <c r="J21" s="33"/>
      <c r="K21" s="33"/>
      <c r="L21" s="33"/>
      <c r="M21" s="33"/>
      <c r="N21" s="33"/>
      <c r="O21" s="33"/>
      <c r="P21" s="33"/>
      <c r="Q21" s="33"/>
    </row>
    <row r="22" spans="2:17" x14ac:dyDescent="0.2">
      <c r="B22" s="36" t="s">
        <v>86</v>
      </c>
      <c r="E22" s="25"/>
      <c r="F22" s="25"/>
      <c r="G22" s="25"/>
      <c r="H22" s="25"/>
      <c r="I22" s="33"/>
      <c r="J22" s="33"/>
      <c r="K22" s="33"/>
      <c r="L22" s="33"/>
      <c r="M22" s="33"/>
      <c r="N22" s="33"/>
      <c r="O22" s="33"/>
      <c r="P22" s="33"/>
      <c r="Q22" s="33"/>
    </row>
    <row r="23" spans="2:17" x14ac:dyDescent="0.2">
      <c r="B23" s="16" t="s">
        <v>88</v>
      </c>
      <c r="E23" s="25">
        <f t="shared" ref="E23:P23" si="8">IF(E5&gt;0, E5*E13, 0)</f>
        <v>0</v>
      </c>
      <c r="F23" s="25">
        <f t="shared" si="8"/>
        <v>7500.0000000000036</v>
      </c>
      <c r="G23" s="25">
        <f t="shared" si="8"/>
        <v>0</v>
      </c>
      <c r="H23" s="25">
        <f t="shared" si="8"/>
        <v>7500.0000000000036</v>
      </c>
      <c r="I23" s="25">
        <f t="shared" si="8"/>
        <v>7500.0000000000036</v>
      </c>
      <c r="J23" s="25">
        <f t="shared" si="8"/>
        <v>7500.0000000000036</v>
      </c>
      <c r="K23" s="25">
        <f t="shared" si="8"/>
        <v>7500.0000000000036</v>
      </c>
      <c r="L23" s="25">
        <f t="shared" si="8"/>
        <v>7500.0000000000036</v>
      </c>
      <c r="M23" s="25">
        <f t="shared" si="8"/>
        <v>7500.0000000000036</v>
      </c>
      <c r="N23" s="25">
        <f t="shared" si="8"/>
        <v>7500.0000000000036</v>
      </c>
      <c r="O23" s="25">
        <f t="shared" si="8"/>
        <v>0</v>
      </c>
      <c r="P23" s="25">
        <f t="shared" si="8"/>
        <v>0</v>
      </c>
      <c r="Q23" s="25">
        <f t="shared" ref="Q23:Q25" si="9">SUM(E23:P23)</f>
        <v>60000.000000000015</v>
      </c>
    </row>
    <row r="24" spans="2:17" x14ac:dyDescent="0.2">
      <c r="B24" s="16" t="s">
        <v>76</v>
      </c>
      <c r="E24" s="25">
        <f t="shared" ref="E24:P24" si="10">IF(E4-E3&lt;0, E4*E13, E3*E13)</f>
        <v>75000</v>
      </c>
      <c r="F24" s="25">
        <f t="shared" si="10"/>
        <v>67500</v>
      </c>
      <c r="G24" s="25">
        <f t="shared" si="10"/>
        <v>75000</v>
      </c>
      <c r="H24" s="25">
        <f t="shared" si="10"/>
        <v>67500</v>
      </c>
      <c r="I24" s="25">
        <f t="shared" si="10"/>
        <v>67500</v>
      </c>
      <c r="J24" s="25">
        <f t="shared" si="10"/>
        <v>67500</v>
      </c>
      <c r="K24" s="25">
        <f t="shared" si="10"/>
        <v>67500</v>
      </c>
      <c r="L24" s="25">
        <f t="shared" si="10"/>
        <v>67500</v>
      </c>
      <c r="M24" s="25">
        <f t="shared" si="10"/>
        <v>67500</v>
      </c>
      <c r="N24" s="25">
        <f t="shared" si="10"/>
        <v>67500</v>
      </c>
      <c r="O24" s="25">
        <f t="shared" si="10"/>
        <v>75000</v>
      </c>
      <c r="P24" s="25">
        <f t="shared" si="10"/>
        <v>90000</v>
      </c>
      <c r="Q24" s="25">
        <f t="shared" si="9"/>
        <v>855000</v>
      </c>
    </row>
    <row r="25" spans="2:17" x14ac:dyDescent="0.2">
      <c r="B25" s="16" t="s">
        <v>79</v>
      </c>
      <c r="E25" s="25">
        <f t="shared" ref="E25:P25" si="11">IF(E5&lt;0, -E5*E14, 0)</f>
        <v>11666.666666666664</v>
      </c>
      <c r="F25" s="25">
        <f t="shared" si="11"/>
        <v>0</v>
      </c>
      <c r="G25" s="25">
        <f t="shared" si="11"/>
        <v>4399.9999999999973</v>
      </c>
      <c r="H25" s="25">
        <f t="shared" si="11"/>
        <v>0</v>
      </c>
      <c r="I25" s="25">
        <f t="shared" si="11"/>
        <v>0</v>
      </c>
      <c r="J25" s="25">
        <f t="shared" si="11"/>
        <v>0</v>
      </c>
      <c r="K25" s="25">
        <f t="shared" si="11"/>
        <v>0</v>
      </c>
      <c r="L25" s="25">
        <f t="shared" si="11"/>
        <v>0</v>
      </c>
      <c r="M25" s="25">
        <f t="shared" si="11"/>
        <v>0</v>
      </c>
      <c r="N25" s="25">
        <f t="shared" si="11"/>
        <v>0</v>
      </c>
      <c r="O25" s="25">
        <f t="shared" si="11"/>
        <v>11666.666666666664</v>
      </c>
      <c r="P25" s="25">
        <f t="shared" si="11"/>
        <v>17500</v>
      </c>
      <c r="Q25" s="25">
        <f t="shared" si="9"/>
        <v>45233.333333333328</v>
      </c>
    </row>
    <row r="26" spans="2:17" x14ac:dyDescent="0.2">
      <c r="B26" s="16" t="s">
        <v>91</v>
      </c>
      <c r="E26" s="25">
        <f t="shared" ref="E26:P26" si="12">-E20</f>
        <v>0</v>
      </c>
      <c r="F26" s="25">
        <f t="shared" si="12"/>
        <v>6666.6666666666697</v>
      </c>
      <c r="G26" s="25">
        <f t="shared" si="12"/>
        <v>0</v>
      </c>
      <c r="H26" s="25">
        <f t="shared" si="12"/>
        <v>8000.0000000000036</v>
      </c>
      <c r="I26" s="25">
        <f t="shared" si="12"/>
        <v>5833.3333333333367</v>
      </c>
      <c r="J26" s="25">
        <f t="shared" si="12"/>
        <v>5833.3333333333367</v>
      </c>
      <c r="K26" s="25">
        <f t="shared" si="12"/>
        <v>5833.3333333333367</v>
      </c>
      <c r="L26" s="25">
        <f t="shared" si="12"/>
        <v>5833.3333333333367</v>
      </c>
      <c r="M26" s="25">
        <f t="shared" si="12"/>
        <v>5833.3333333333367</v>
      </c>
      <c r="N26" s="25">
        <f t="shared" si="12"/>
        <v>5833.3333333333367</v>
      </c>
      <c r="O26" s="25">
        <f t="shared" si="12"/>
        <v>0</v>
      </c>
      <c r="P26" s="25">
        <f t="shared" si="12"/>
        <v>0</v>
      </c>
      <c r="Q26" s="25">
        <f>SUM(E26:P26)</f>
        <v>49666.666666666693</v>
      </c>
    </row>
    <row r="27" spans="2:17" x14ac:dyDescent="0.2">
      <c r="B27" s="1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30" t="s">
        <v>96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32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f t="shared" ref="Q29:Q37" si="13">SUM(E29:P29)</f>
        <v>0</v>
      </c>
    </row>
    <row r="30" spans="2:17" x14ac:dyDescent="0.2">
      <c r="B30" s="32" t="s">
        <v>82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f t="shared" si="13"/>
        <v>0</v>
      </c>
    </row>
    <row r="31" spans="2:17" x14ac:dyDescent="0.2"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36" t="s">
        <v>87</v>
      </c>
      <c r="E32" s="25"/>
      <c r="F32" s="25"/>
      <c r="G32" s="25"/>
      <c r="H32" s="25"/>
      <c r="I32" s="33"/>
      <c r="J32" s="33"/>
      <c r="K32" s="33"/>
      <c r="L32" s="33"/>
      <c r="M32" s="33"/>
      <c r="N32" s="33"/>
      <c r="O32" s="33"/>
      <c r="P32" s="33"/>
      <c r="Q32" s="33"/>
    </row>
    <row r="33" spans="2:17" x14ac:dyDescent="0.2">
      <c r="B33" s="16" t="s">
        <v>90</v>
      </c>
      <c r="E33" s="25">
        <f t="shared" ref="E33:P33" si="14">E20+E23</f>
        <v>0</v>
      </c>
      <c r="F33" s="25">
        <f t="shared" si="14"/>
        <v>833.33333333333394</v>
      </c>
      <c r="G33" s="25">
        <f t="shared" si="14"/>
        <v>0</v>
      </c>
      <c r="H33" s="25">
        <f t="shared" si="14"/>
        <v>-500</v>
      </c>
      <c r="I33" s="25">
        <f t="shared" si="14"/>
        <v>1666.666666666667</v>
      </c>
      <c r="J33" s="25">
        <f t="shared" si="14"/>
        <v>1666.666666666667</v>
      </c>
      <c r="K33" s="25">
        <f t="shared" si="14"/>
        <v>1666.666666666667</v>
      </c>
      <c r="L33" s="25">
        <f t="shared" si="14"/>
        <v>1666.666666666667</v>
      </c>
      <c r="M33" s="25">
        <f t="shared" si="14"/>
        <v>1666.666666666667</v>
      </c>
      <c r="N33" s="25">
        <f t="shared" si="14"/>
        <v>1666.666666666667</v>
      </c>
      <c r="O33" s="25">
        <f t="shared" si="14"/>
        <v>0</v>
      </c>
      <c r="P33" s="25">
        <f t="shared" si="14"/>
        <v>0</v>
      </c>
      <c r="Q33" s="25">
        <f t="shared" si="13"/>
        <v>10333.333333333336</v>
      </c>
    </row>
    <row r="34" spans="2:17" x14ac:dyDescent="0.2">
      <c r="B34" s="16" t="s">
        <v>77</v>
      </c>
      <c r="E34" s="33">
        <f t="shared" ref="E34:P34" si="15">E19+E24</f>
        <v>86666.666666666657</v>
      </c>
      <c r="F34" s="33">
        <f t="shared" si="15"/>
        <v>67500</v>
      </c>
      <c r="G34" s="33">
        <f t="shared" si="15"/>
        <v>79400</v>
      </c>
      <c r="H34" s="33">
        <f t="shared" si="15"/>
        <v>67500</v>
      </c>
      <c r="I34" s="33">
        <f t="shared" si="15"/>
        <v>67500</v>
      </c>
      <c r="J34" s="33">
        <f t="shared" si="15"/>
        <v>67500</v>
      </c>
      <c r="K34" s="33">
        <f t="shared" si="15"/>
        <v>67500</v>
      </c>
      <c r="L34" s="33">
        <f t="shared" si="15"/>
        <v>67500</v>
      </c>
      <c r="M34" s="33">
        <f t="shared" si="15"/>
        <v>67500</v>
      </c>
      <c r="N34" s="33">
        <f t="shared" si="15"/>
        <v>67500</v>
      </c>
      <c r="O34" s="33">
        <f t="shared" si="15"/>
        <v>86666.666666666657</v>
      </c>
      <c r="P34" s="33">
        <f t="shared" si="15"/>
        <v>107500</v>
      </c>
      <c r="Q34" s="25">
        <f t="shared" si="13"/>
        <v>900233.33333333326</v>
      </c>
    </row>
    <row r="35" spans="2:17" x14ac:dyDescent="0.2">
      <c r="B35" s="16" t="s">
        <v>78</v>
      </c>
      <c r="E35" s="33">
        <f>E25+E18</f>
        <v>0</v>
      </c>
      <c r="F35" s="33">
        <f t="shared" ref="F35:P35" si="16">F25+F18-F26</f>
        <v>0</v>
      </c>
      <c r="G35" s="33">
        <f t="shared" si="16"/>
        <v>0</v>
      </c>
      <c r="H35" s="33">
        <f t="shared" si="16"/>
        <v>0</v>
      </c>
      <c r="I35" s="33">
        <f t="shared" si="16"/>
        <v>0</v>
      </c>
      <c r="J35" s="33">
        <f t="shared" si="16"/>
        <v>0</v>
      </c>
      <c r="K35" s="33">
        <f t="shared" si="16"/>
        <v>0</v>
      </c>
      <c r="L35" s="33">
        <f t="shared" si="16"/>
        <v>0</v>
      </c>
      <c r="M35" s="33">
        <f t="shared" si="16"/>
        <v>0</v>
      </c>
      <c r="N35" s="33">
        <f t="shared" si="16"/>
        <v>0</v>
      </c>
      <c r="O35" s="33">
        <f t="shared" si="16"/>
        <v>0</v>
      </c>
      <c r="P35" s="33">
        <f t="shared" si="16"/>
        <v>0</v>
      </c>
      <c r="Q35" s="25">
        <f t="shared" si="13"/>
        <v>0</v>
      </c>
    </row>
    <row r="36" spans="2:17" x14ac:dyDescent="0.2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2:17" x14ac:dyDescent="0.2">
      <c r="B37" s="31" t="s">
        <v>80</v>
      </c>
      <c r="E37" s="33">
        <f>IF(E5&lt;0, (E4*E13)+(-E5*E14)-SUM(E33:E35), (E4*E13)-SUM(E33:E35))-E26</f>
        <v>0</v>
      </c>
      <c r="F37" s="33">
        <f>IF(F5&lt;0, (F4*F13)+(-F5*F14)-SUM(F33:F35), (F4*F13)-SUM(F33:F35))-F26</f>
        <v>0</v>
      </c>
      <c r="G37" s="33">
        <f t="shared" ref="G37:P37" si="17">IF(G5&lt;0, (G4*G13)+(-G5*G14)-SUM(G33:G35), (G4*G13)-SUM(G33:G35))-G26</f>
        <v>0</v>
      </c>
      <c r="H37" s="33">
        <f t="shared" si="17"/>
        <v>0</v>
      </c>
      <c r="I37" s="33">
        <f t="shared" si="17"/>
        <v>-8.1854523159563541E-12</v>
      </c>
      <c r="J37" s="33">
        <f t="shared" si="17"/>
        <v>-8.1854523159563541E-12</v>
      </c>
      <c r="K37" s="33">
        <f t="shared" si="17"/>
        <v>-8.1854523159563541E-12</v>
      </c>
      <c r="L37" s="33">
        <f t="shared" si="17"/>
        <v>-8.1854523159563541E-12</v>
      </c>
      <c r="M37" s="33">
        <f t="shared" si="17"/>
        <v>-8.1854523159563541E-12</v>
      </c>
      <c r="N37" s="33">
        <f t="shared" si="17"/>
        <v>-8.1854523159563541E-12</v>
      </c>
      <c r="O37" s="33">
        <f t="shared" si="17"/>
        <v>0</v>
      </c>
      <c r="P37" s="33">
        <f t="shared" si="17"/>
        <v>0</v>
      </c>
      <c r="Q37" s="25">
        <f t="shared" si="13"/>
        <v>-4.9112713895738125E-11</v>
      </c>
    </row>
    <row r="39" spans="2:17" x14ac:dyDescent="0.2">
      <c r="B39" s="32" t="s">
        <v>85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1:B14"/>
  <sheetViews>
    <sheetView workbookViewId="0">
      <selection activeCell="M7" sqref="M7"/>
    </sheetView>
  </sheetViews>
  <sheetFormatPr defaultColWidth="8.85546875" defaultRowHeight="12.75" x14ac:dyDescent="0.2"/>
  <cols>
    <col min="1" max="16384" width="8.85546875" style="114"/>
  </cols>
  <sheetData>
    <row r="11" spans="1:2" x14ac:dyDescent="0.2">
      <c r="A11" s="114" t="s">
        <v>187</v>
      </c>
    </row>
    <row r="14" spans="1:2" ht="26.25" x14ac:dyDescent="0.4">
      <c r="B14" s="1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</sheetPr>
  <dimension ref="B1:Z62"/>
  <sheetViews>
    <sheetView tabSelected="1" zoomScale="85" zoomScaleNormal="85" workbookViewId="0">
      <pane xSplit="3" ySplit="21" topLeftCell="D31" activePane="bottomRight" state="frozen"/>
      <selection activeCell="H15" sqref="H15"/>
      <selection pane="topRight" activeCell="H15" sqref="H15"/>
      <selection pane="bottomLeft" activeCell="H15" sqref="H15"/>
      <selection pane="bottomRight" activeCell="G20" sqref="G20"/>
    </sheetView>
  </sheetViews>
  <sheetFormatPr defaultColWidth="9.140625" defaultRowHeight="12.75" x14ac:dyDescent="0.2"/>
  <cols>
    <col min="1" max="1" width="2.140625" style="32" customWidth="1"/>
    <col min="2" max="2" width="3" style="32" bestFit="1" customWidth="1"/>
    <col min="3" max="3" width="60.5703125" style="32" customWidth="1"/>
    <col min="4" max="4" width="13.7109375" style="32" customWidth="1"/>
    <col min="5" max="5" width="11.5703125" style="32" customWidth="1"/>
    <col min="6" max="6" width="13.140625" style="32" bestFit="1" customWidth="1"/>
    <col min="7" max="9" width="11.85546875" style="32" customWidth="1"/>
    <col min="10" max="18" width="12.85546875" style="32" customWidth="1"/>
    <col min="19" max="19" width="5.85546875" style="32" customWidth="1"/>
    <col min="20" max="20" width="12.5703125" style="32" bestFit="1" customWidth="1"/>
    <col min="21" max="21" width="13.5703125" style="32" bestFit="1" customWidth="1"/>
    <col min="22" max="22" width="12.42578125" style="32" customWidth="1"/>
    <col min="23" max="24" width="9.140625" style="32"/>
    <col min="25" max="25" width="12.85546875" style="32" bestFit="1" customWidth="1"/>
    <col min="26" max="26" width="10.7109375" style="83" bestFit="1" customWidth="1"/>
    <col min="27" max="16384" width="9.140625" style="32"/>
  </cols>
  <sheetData>
    <row r="1" spans="2:26" ht="18.75" customHeight="1" x14ac:dyDescent="0.2">
      <c r="B1" s="36" t="s">
        <v>128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2:26" ht="26.25" x14ac:dyDescent="0.4">
      <c r="B2" s="32" t="s">
        <v>129</v>
      </c>
      <c r="I2" s="131" t="s">
        <v>183</v>
      </c>
      <c r="J2" s="137"/>
      <c r="K2" s="138"/>
      <c r="L2" s="137"/>
      <c r="M2" s="137"/>
    </row>
    <row r="4" spans="2:26" ht="15" x14ac:dyDescent="0.25">
      <c r="B4" s="48">
        <v>4</v>
      </c>
      <c r="C4" s="49" t="s">
        <v>126</v>
      </c>
      <c r="D4" s="49"/>
      <c r="E4" s="48"/>
      <c r="F4" s="48"/>
      <c r="G4" s="51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48"/>
      <c r="T4" s="82" t="s">
        <v>73</v>
      </c>
      <c r="X4"/>
      <c r="Y4"/>
      <c r="Z4"/>
    </row>
    <row r="5" spans="2:26" ht="15" x14ac:dyDescent="0.25">
      <c r="B5" s="48">
        <v>5</v>
      </c>
      <c r="C5" s="53" t="s">
        <v>118</v>
      </c>
      <c r="D5" s="53"/>
      <c r="E5" s="54"/>
      <c r="F5" s="55">
        <v>44531</v>
      </c>
      <c r="G5" s="55">
        <v>44562</v>
      </c>
      <c r="H5" s="55">
        <v>44593</v>
      </c>
      <c r="I5" s="55">
        <v>44621</v>
      </c>
      <c r="J5" s="55">
        <v>44652</v>
      </c>
      <c r="K5" s="55">
        <v>44682</v>
      </c>
      <c r="L5" s="55">
        <v>44713</v>
      </c>
      <c r="M5" s="55">
        <v>44743</v>
      </c>
      <c r="N5" s="55">
        <v>44774</v>
      </c>
      <c r="O5" s="55">
        <v>44805</v>
      </c>
      <c r="P5" s="55">
        <v>44835</v>
      </c>
      <c r="Q5" s="55">
        <v>44866</v>
      </c>
      <c r="R5" s="55">
        <v>44896</v>
      </c>
      <c r="S5" s="48"/>
      <c r="T5" s="55" t="s">
        <v>74</v>
      </c>
      <c r="W5" s="79"/>
      <c r="X5"/>
      <c r="Y5"/>
      <c r="Z5"/>
    </row>
    <row r="6" spans="2:26" ht="15" x14ac:dyDescent="0.25">
      <c r="B6" s="48">
        <v>6</v>
      </c>
      <c r="C6" s="56" t="s">
        <v>127</v>
      </c>
      <c r="D6" s="56"/>
      <c r="E6" s="57"/>
      <c r="F6" s="58">
        <v>57773650.962999992</v>
      </c>
      <c r="G6" s="58">
        <v>59824971.527999997</v>
      </c>
      <c r="H6" s="58">
        <v>57882649.841000006</v>
      </c>
      <c r="I6" s="58">
        <v>47025842.986999989</v>
      </c>
      <c r="J6" s="58">
        <v>49323544.295000002</v>
      </c>
      <c r="K6" s="58">
        <v>70408187.816</v>
      </c>
      <c r="L6" s="58">
        <v>60846884.684</v>
      </c>
      <c r="M6" s="58">
        <v>53387061.530999996</v>
      </c>
      <c r="N6" s="58">
        <v>68858349.339000002</v>
      </c>
      <c r="O6" s="58">
        <v>74977387.178000018</v>
      </c>
      <c r="P6" s="58">
        <v>57602439.980999999</v>
      </c>
      <c r="Q6" s="58">
        <v>57013811.565000005</v>
      </c>
      <c r="R6" s="58">
        <v>62174827.069000006</v>
      </c>
      <c r="S6" s="75" t="s">
        <v>132</v>
      </c>
      <c r="T6" s="58">
        <v>719325957.81400001</v>
      </c>
      <c r="U6"/>
      <c r="V6"/>
      <c r="X6"/>
      <c r="Y6"/>
      <c r="Z6"/>
    </row>
    <row r="7" spans="2:26" ht="15" x14ac:dyDescent="0.25">
      <c r="B7" s="48">
        <v>7</v>
      </c>
      <c r="C7" s="59" t="s">
        <v>122</v>
      </c>
      <c r="D7" s="59"/>
      <c r="E7" s="54"/>
      <c r="F7" s="58">
        <v>73793566.469999999</v>
      </c>
      <c r="G7" s="60">
        <v>45925185.850000001</v>
      </c>
      <c r="H7" s="60">
        <v>47700918.659999996</v>
      </c>
      <c r="I7" s="60">
        <v>62557318.649999999</v>
      </c>
      <c r="J7" s="60">
        <v>64049473.079999998</v>
      </c>
      <c r="K7" s="60">
        <v>66707416.07</v>
      </c>
      <c r="L7" s="60">
        <v>51929044.640000001</v>
      </c>
      <c r="M7" s="60">
        <v>49510495.350000001</v>
      </c>
      <c r="N7" s="60">
        <v>60998875.189999998</v>
      </c>
      <c r="O7" s="60">
        <v>62576359.494211294</v>
      </c>
      <c r="P7" s="60">
        <v>55267597.989999995</v>
      </c>
      <c r="Q7" s="60">
        <v>42595119.049999997</v>
      </c>
      <c r="R7" s="60">
        <v>48876113.68</v>
      </c>
      <c r="S7" s="76" t="s">
        <v>130</v>
      </c>
      <c r="T7" s="61">
        <v>658693917.70421124</v>
      </c>
      <c r="U7"/>
      <c r="V7"/>
      <c r="X7"/>
      <c r="Y7"/>
      <c r="Z7"/>
    </row>
    <row r="8" spans="2:26" ht="15" x14ac:dyDescent="0.25">
      <c r="B8" s="48">
        <v>8</v>
      </c>
      <c r="C8" s="54" t="s">
        <v>121</v>
      </c>
      <c r="D8" s="54"/>
      <c r="E8" s="54"/>
      <c r="F8" s="103"/>
      <c r="G8" s="62">
        <v>-13899785.677999996</v>
      </c>
      <c r="H8" s="62">
        <v>-10181731.181000009</v>
      </c>
      <c r="I8" s="62">
        <v>15531475.66300001</v>
      </c>
      <c r="J8" s="62">
        <v>14725928.784999996</v>
      </c>
      <c r="K8" s="62">
        <v>-3700771.7459999993</v>
      </c>
      <c r="L8" s="62">
        <v>-8917840.0439999998</v>
      </c>
      <c r="M8" s="62">
        <v>-3876566.1809999943</v>
      </c>
      <c r="N8" s="62">
        <v>-7859474.1490000039</v>
      </c>
      <c r="O8" s="62">
        <v>-12401027.683788724</v>
      </c>
      <c r="P8" s="62">
        <v>-2334841.9910000041</v>
      </c>
      <c r="Q8" s="62">
        <v>-14418692.515000008</v>
      </c>
      <c r="R8" s="62">
        <v>-13298713.389000006</v>
      </c>
      <c r="S8" s="77"/>
      <c r="T8" s="62">
        <v>-60632040.109788775</v>
      </c>
      <c r="X8"/>
      <c r="Y8"/>
      <c r="Z8"/>
    </row>
    <row r="9" spans="2:26" ht="15" x14ac:dyDescent="0.25">
      <c r="B9" s="48">
        <v>9</v>
      </c>
      <c r="C9" s="54"/>
      <c r="D9" s="54"/>
      <c r="E9" s="54"/>
      <c r="F9" s="63" t="s">
        <v>184</v>
      </c>
      <c r="G9" s="63" t="s">
        <v>185</v>
      </c>
      <c r="H9" s="63" t="s">
        <v>185</v>
      </c>
      <c r="I9" s="63" t="s">
        <v>184</v>
      </c>
      <c r="J9" s="63" t="s">
        <v>184</v>
      </c>
      <c r="K9" s="63" t="s">
        <v>185</v>
      </c>
      <c r="L9" s="63" t="s">
        <v>185</v>
      </c>
      <c r="M9" s="63" t="s">
        <v>185</v>
      </c>
      <c r="N9" s="63" t="s">
        <v>185</v>
      </c>
      <c r="O9" s="63" t="s">
        <v>185</v>
      </c>
      <c r="P9" s="63" t="s">
        <v>185</v>
      </c>
      <c r="Q9" s="63" t="s">
        <v>185</v>
      </c>
      <c r="R9" s="63" t="s">
        <v>185</v>
      </c>
      <c r="S9" s="78"/>
      <c r="T9" s="63"/>
      <c r="X9"/>
      <c r="Y9"/>
      <c r="Z9"/>
    </row>
    <row r="10" spans="2:26" ht="15" x14ac:dyDescent="0.25">
      <c r="B10" s="48">
        <v>10</v>
      </c>
      <c r="C10" s="54" t="s">
        <v>120</v>
      </c>
      <c r="D10" s="54"/>
      <c r="E10" s="54"/>
      <c r="F10" s="62">
        <v>0</v>
      </c>
      <c r="G10" s="62">
        <v>-13899785.677999996</v>
      </c>
      <c r="H10" s="62">
        <v>-24081516.859000005</v>
      </c>
      <c r="I10" s="62">
        <v>-8550041.1959999949</v>
      </c>
      <c r="J10" s="62">
        <v>6175887.5890000015</v>
      </c>
      <c r="K10" s="62">
        <v>2475115.8430000022</v>
      </c>
      <c r="L10" s="62">
        <v>-6442724.2009999976</v>
      </c>
      <c r="M10" s="62">
        <v>-10319290.381999992</v>
      </c>
      <c r="N10" s="62">
        <v>-18178764.530999996</v>
      </c>
      <c r="O10" s="62">
        <v>-30579792.21478872</v>
      </c>
      <c r="P10" s="62">
        <v>-32914634.205788724</v>
      </c>
      <c r="Q10" s="62">
        <v>-47333326.720788732</v>
      </c>
      <c r="R10" s="62">
        <v>-60632040.109788738</v>
      </c>
      <c r="S10" s="77"/>
      <c r="T10" s="62"/>
      <c r="X10"/>
      <c r="Y10"/>
      <c r="Z10"/>
    </row>
    <row r="11" spans="2:26" ht="15" x14ac:dyDescent="0.25">
      <c r="B11" s="48">
        <v>11</v>
      </c>
      <c r="C11" s="64"/>
      <c r="D11" s="64"/>
      <c r="E11" s="65"/>
      <c r="F11" s="63" t="s">
        <v>184</v>
      </c>
      <c r="G11" s="63" t="s">
        <v>185</v>
      </c>
      <c r="H11" s="63" t="s">
        <v>185</v>
      </c>
      <c r="I11" s="63" t="s">
        <v>185</v>
      </c>
      <c r="J11" s="63" t="s">
        <v>184</v>
      </c>
      <c r="K11" s="63" t="s">
        <v>184</v>
      </c>
      <c r="L11" s="63" t="s">
        <v>185</v>
      </c>
      <c r="M11" s="63" t="s">
        <v>185</v>
      </c>
      <c r="N11" s="63" t="s">
        <v>185</v>
      </c>
      <c r="O11" s="63" t="s">
        <v>185</v>
      </c>
      <c r="P11" s="63" t="s">
        <v>185</v>
      </c>
      <c r="Q11" s="63" t="s">
        <v>185</v>
      </c>
      <c r="R11" s="63" t="s">
        <v>185</v>
      </c>
      <c r="S11" s="77"/>
      <c r="T11" s="62"/>
      <c r="X11"/>
      <c r="Y11"/>
      <c r="Z11"/>
    </row>
    <row r="12" spans="2:26" ht="15" x14ac:dyDescent="0.25">
      <c r="B12" s="48">
        <v>12</v>
      </c>
      <c r="C12" s="53" t="s">
        <v>92</v>
      </c>
      <c r="D12" s="53"/>
      <c r="E12" s="65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77"/>
      <c r="T12" s="62"/>
      <c r="X12"/>
      <c r="Y12"/>
      <c r="Z12"/>
    </row>
    <row r="13" spans="2:26" ht="15" x14ac:dyDescent="0.25">
      <c r="B13" s="48">
        <v>13</v>
      </c>
      <c r="C13" s="54" t="s">
        <v>133</v>
      </c>
      <c r="D13" s="54"/>
      <c r="E13" s="65"/>
      <c r="F13" s="84"/>
      <c r="G13" s="84">
        <v>-13899.785677999993</v>
      </c>
      <c r="H13" s="84">
        <v>-10181.73118100001</v>
      </c>
      <c r="I13" s="84">
        <v>15531.475663000012</v>
      </c>
      <c r="J13" s="84">
        <v>14725.928784999996</v>
      </c>
      <c r="K13" s="84">
        <v>-3700.7717459999985</v>
      </c>
      <c r="L13" s="84">
        <v>-8917.8400439999969</v>
      </c>
      <c r="M13" s="84">
        <v>-3876.5661809999947</v>
      </c>
      <c r="N13" s="84">
        <v>-7859.4741490000088</v>
      </c>
      <c r="O13" s="84">
        <v>-12401.027683788729</v>
      </c>
      <c r="P13" s="84">
        <v>-2334.8419910000011</v>
      </c>
      <c r="Q13" s="84">
        <v>-14418.69251500001</v>
      </c>
      <c r="R13" s="84">
        <v>-13298.713389000004</v>
      </c>
      <c r="S13" s="84"/>
      <c r="T13" s="62"/>
      <c r="X13"/>
      <c r="Y13"/>
      <c r="Z13"/>
    </row>
    <row r="14" spans="2:26" ht="15" x14ac:dyDescent="0.25">
      <c r="B14" s="48">
        <v>14</v>
      </c>
      <c r="C14" s="54" t="s">
        <v>134</v>
      </c>
      <c r="D14" s="54"/>
      <c r="E14" s="65"/>
      <c r="F14" s="58"/>
      <c r="G14" s="62"/>
      <c r="H14" s="62"/>
      <c r="I14" s="62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2"/>
      <c r="X14"/>
      <c r="Y14"/>
      <c r="Z14"/>
    </row>
    <row r="15" spans="2:26" ht="15" x14ac:dyDescent="0.25">
      <c r="B15" s="48">
        <v>15</v>
      </c>
      <c r="C15" s="54" t="s">
        <v>135</v>
      </c>
      <c r="D15" s="54"/>
      <c r="E15" s="65"/>
      <c r="F15" s="103"/>
      <c r="G15" s="85">
        <v>-13899.785677999993</v>
      </c>
      <c r="H15" s="85">
        <v>-10181.73118100001</v>
      </c>
      <c r="I15" s="85">
        <v>15531.475663000012</v>
      </c>
      <c r="J15" s="85">
        <v>14725.928784999996</v>
      </c>
      <c r="K15" s="85">
        <v>-3700.7717459999985</v>
      </c>
      <c r="L15" s="85">
        <v>-8917.8400439999969</v>
      </c>
      <c r="M15" s="85">
        <v>-3876.5661809999947</v>
      </c>
      <c r="N15" s="85">
        <v>-7859.4741490000088</v>
      </c>
      <c r="O15" s="85">
        <v>-12401.027683788729</v>
      </c>
      <c r="P15" s="85">
        <v>-2334.8419910000011</v>
      </c>
      <c r="Q15" s="85">
        <v>-14418.69251500001</v>
      </c>
      <c r="R15" s="85">
        <v>-13298.713389000004</v>
      </c>
      <c r="S15" s="85"/>
      <c r="T15" s="62"/>
      <c r="X15"/>
      <c r="Y15"/>
      <c r="Z15"/>
    </row>
    <row r="16" spans="2:26" ht="15" x14ac:dyDescent="0.25">
      <c r="B16" s="48">
        <v>16</v>
      </c>
      <c r="C16" s="54" t="s">
        <v>136</v>
      </c>
      <c r="D16" s="54"/>
      <c r="E16" s="65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2"/>
      <c r="X16"/>
      <c r="Y16"/>
      <c r="Z16"/>
    </row>
    <row r="17" spans="2:26" ht="15" x14ac:dyDescent="0.25">
      <c r="B17" s="48">
        <v>17</v>
      </c>
      <c r="C17" s="54" t="s">
        <v>137</v>
      </c>
      <c r="D17" s="87" t="s">
        <v>138</v>
      </c>
      <c r="E17" s="65"/>
      <c r="F17" s="86">
        <v>227905.65311799996</v>
      </c>
      <c r="G17" s="86">
        <v>214005.86743999997</v>
      </c>
      <c r="H17" s="86">
        <v>203824.13625899996</v>
      </c>
      <c r="I17" s="86">
        <v>219355.61192199998</v>
      </c>
      <c r="J17" s="86">
        <v>234081.54070699998</v>
      </c>
      <c r="K17" s="86">
        <v>230380.76896099997</v>
      </c>
      <c r="L17" s="86">
        <v>221462.92891699995</v>
      </c>
      <c r="M17" s="86">
        <v>217586.36273599995</v>
      </c>
      <c r="N17" s="86">
        <v>209726.88858699994</v>
      </c>
      <c r="O17" s="86">
        <v>197325.8609032112</v>
      </c>
      <c r="P17" s="86">
        <v>194991.01891221121</v>
      </c>
      <c r="Q17" s="86">
        <v>180572.3263972112</v>
      </c>
      <c r="R17" s="86">
        <v>167273.61300821119</v>
      </c>
      <c r="S17" s="86"/>
      <c r="T17" s="62"/>
      <c r="X17"/>
      <c r="Y17"/>
      <c r="Z17"/>
    </row>
    <row r="18" spans="2:26" ht="15" x14ac:dyDescent="0.25">
      <c r="B18" s="48">
        <v>18</v>
      </c>
      <c r="C18" s="64"/>
      <c r="D18" s="64"/>
      <c r="E18" s="9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77"/>
      <c r="T18" s="62"/>
      <c r="V18" s="101"/>
      <c r="X18"/>
      <c r="Y18"/>
      <c r="Z18"/>
    </row>
    <row r="19" spans="2:26" ht="15.75" thickBot="1" x14ac:dyDescent="0.3">
      <c r="B19" s="48">
        <v>19</v>
      </c>
      <c r="C19" s="68" t="s">
        <v>93</v>
      </c>
      <c r="D19" s="68"/>
      <c r="E19" s="94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95"/>
      <c r="T19" s="48"/>
      <c r="V19" s="101"/>
      <c r="X19"/>
      <c r="Y19"/>
      <c r="Z19"/>
    </row>
    <row r="20" spans="2:26" ht="16.5" thickTop="1" thickBot="1" x14ac:dyDescent="0.3">
      <c r="B20" s="48">
        <v>20</v>
      </c>
      <c r="C20" s="54" t="s">
        <v>119</v>
      </c>
      <c r="D20" s="54"/>
      <c r="E20" s="48"/>
      <c r="F20" s="48"/>
      <c r="G20" s="133" t="s">
        <v>186</v>
      </c>
      <c r="H20" s="134" t="s">
        <v>186</v>
      </c>
      <c r="I20" s="135" t="s">
        <v>186</v>
      </c>
      <c r="J20" s="135" t="s">
        <v>186</v>
      </c>
      <c r="K20" s="135" t="s">
        <v>186</v>
      </c>
      <c r="L20" s="135" t="s">
        <v>186</v>
      </c>
      <c r="M20" s="135" t="s">
        <v>186</v>
      </c>
      <c r="N20" s="135" t="s">
        <v>186</v>
      </c>
      <c r="O20" s="135" t="s">
        <v>186</v>
      </c>
      <c r="P20" s="135" t="s">
        <v>186</v>
      </c>
      <c r="Q20" s="135" t="s">
        <v>186</v>
      </c>
      <c r="R20" s="136" t="s">
        <v>186</v>
      </c>
      <c r="S20" s="78" t="s">
        <v>130</v>
      </c>
      <c r="T20" s="70"/>
      <c r="V20" s="101"/>
      <c r="X20"/>
      <c r="Y20"/>
      <c r="Z20"/>
    </row>
    <row r="21" spans="2:26" ht="15.75" thickTop="1" x14ac:dyDescent="0.25">
      <c r="B21" s="48">
        <v>21</v>
      </c>
      <c r="C21" s="54" t="s">
        <v>125</v>
      </c>
      <c r="D21" s="54"/>
      <c r="E21" s="48"/>
      <c r="F21" s="48"/>
      <c r="G21" s="69">
        <v>3.9190000000000003E-2</v>
      </c>
      <c r="H21" s="69">
        <v>3.7260000000000001E-2</v>
      </c>
      <c r="I21" s="69">
        <v>3.3689999999999998E-2</v>
      </c>
      <c r="J21" s="69">
        <v>7.2300000000000003E-2</v>
      </c>
      <c r="K21" s="69">
        <v>5.5599999999999997E-2</v>
      </c>
      <c r="L21" s="69">
        <v>2.2589999999999999E-2</v>
      </c>
      <c r="M21" s="69">
        <v>5.3940000000000002E-2</v>
      </c>
      <c r="N21" s="69">
        <v>9.1670000000000001E-2</v>
      </c>
      <c r="O21" s="69">
        <v>0.15164</v>
      </c>
      <c r="P21" s="69">
        <v>6.8080000000000002E-2</v>
      </c>
      <c r="Q21" s="69">
        <v>8.9380000000000001E-2</v>
      </c>
      <c r="R21" s="69">
        <v>0.26268000000000002</v>
      </c>
      <c r="S21" s="78" t="s">
        <v>131</v>
      </c>
      <c r="T21" s="48"/>
      <c r="V21" s="101"/>
      <c r="X21"/>
      <c r="Y21"/>
      <c r="Z21"/>
    </row>
    <row r="22" spans="2:26" ht="15" x14ac:dyDescent="0.25">
      <c r="B22" s="48">
        <v>22</v>
      </c>
      <c r="C22" s="54"/>
      <c r="D22" s="54"/>
      <c r="E22" s="71"/>
      <c r="F22" s="4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48"/>
      <c r="T22" s="48"/>
      <c r="X22"/>
      <c r="Y22"/>
      <c r="Z22"/>
    </row>
    <row r="23" spans="2:26" ht="15" x14ac:dyDescent="0.25">
      <c r="B23" s="48">
        <v>23</v>
      </c>
      <c r="C23" s="53" t="s">
        <v>109</v>
      </c>
      <c r="D23" s="71" t="s">
        <v>106</v>
      </c>
      <c r="E23" s="71" t="s">
        <v>100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71"/>
      <c r="T23" s="48"/>
      <c r="X23"/>
      <c r="Y23"/>
      <c r="Z23"/>
    </row>
    <row r="24" spans="2:26" ht="15.75" thickBot="1" x14ac:dyDescent="0.3">
      <c r="B24" s="48">
        <v>24</v>
      </c>
      <c r="C24" s="50" t="s">
        <v>86</v>
      </c>
      <c r="D24" s="72"/>
      <c r="E24" s="72"/>
      <c r="F24" s="48"/>
      <c r="G24" s="62"/>
      <c r="H24" s="62"/>
      <c r="I24" s="62"/>
      <c r="J24" s="62"/>
      <c r="K24" s="67"/>
      <c r="L24" s="67"/>
      <c r="M24" s="67"/>
      <c r="N24" s="67"/>
      <c r="O24" s="67"/>
      <c r="P24" s="67"/>
      <c r="Q24" s="67"/>
      <c r="R24" s="67"/>
      <c r="S24" s="72"/>
      <c r="T24" s="67"/>
      <c r="X24"/>
      <c r="Y24"/>
      <c r="Z24"/>
    </row>
    <row r="25" spans="2:26" ht="15" x14ac:dyDescent="0.25">
      <c r="B25" s="48">
        <v>25</v>
      </c>
      <c r="C25" s="54" t="s">
        <v>98</v>
      </c>
      <c r="D25" s="66" t="s">
        <v>107</v>
      </c>
      <c r="E25" s="66" t="s">
        <v>103</v>
      </c>
      <c r="F25" s="48"/>
      <c r="G25" s="73">
        <v>1950295.9166732277</v>
      </c>
      <c r="H25" s="73">
        <v>2015158.914088896</v>
      </c>
      <c r="I25" s="73">
        <v>1994943.5066460557</v>
      </c>
      <c r="J25" s="73">
        <v>2045467.7278756716</v>
      </c>
      <c r="K25" s="73">
        <v>2762927.6364805866</v>
      </c>
      <c r="L25" s="73">
        <v>2043229.0214110243</v>
      </c>
      <c r="M25" s="73">
        <v>1995061.4042583697</v>
      </c>
      <c r="N25" s="73">
        <v>2567320.6528968322</v>
      </c>
      <c r="O25" s="73">
        <v>2462291.4133081525</v>
      </c>
      <c r="P25" s="73">
        <v>2580410.9785407865</v>
      </c>
      <c r="Q25" s="73">
        <v>1865011.6381575109</v>
      </c>
      <c r="R25" s="73">
        <v>2202822.924371697</v>
      </c>
      <c r="S25" s="66"/>
      <c r="T25" s="91">
        <v>26484941.734708808</v>
      </c>
      <c r="X25"/>
      <c r="Y25"/>
      <c r="Z25"/>
    </row>
    <row r="26" spans="2:26" ht="15.75" thickBot="1" x14ac:dyDescent="0.3">
      <c r="B26" s="48">
        <v>26</v>
      </c>
      <c r="C26" s="54" t="s">
        <v>123</v>
      </c>
      <c r="D26" s="66" t="s">
        <v>107</v>
      </c>
      <c r="E26" s="66" t="s">
        <v>101</v>
      </c>
      <c r="F26" s="48"/>
      <c r="G26" s="73">
        <v>0</v>
      </c>
      <c r="H26" s="73">
        <v>0</v>
      </c>
      <c r="I26" s="73">
        <v>658880.61870785744</v>
      </c>
      <c r="J26" s="73">
        <v>610690.34115957364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66"/>
      <c r="T26" s="92">
        <v>1269570.9598674311</v>
      </c>
      <c r="X26"/>
      <c r="Y26"/>
      <c r="Z26"/>
    </row>
    <row r="27" spans="2:26" ht="15" x14ac:dyDescent="0.25">
      <c r="B27" s="48">
        <v>27</v>
      </c>
      <c r="C27" s="54" t="s">
        <v>124</v>
      </c>
      <c r="D27" s="66" t="s">
        <v>108</v>
      </c>
      <c r="E27" s="66" t="s">
        <v>101</v>
      </c>
      <c r="F27" s="48"/>
      <c r="G27" s="73">
        <v>0</v>
      </c>
      <c r="H27" s="73">
        <v>0</v>
      </c>
      <c r="I27" s="73">
        <v>-523255.41508647031</v>
      </c>
      <c r="J27" s="73">
        <v>-1064684.6511554997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66"/>
      <c r="T27" s="73">
        <v>-1587940.0662419701</v>
      </c>
      <c r="X27"/>
      <c r="Y27"/>
      <c r="Z27"/>
    </row>
    <row r="28" spans="2:26" ht="15" x14ac:dyDescent="0.25">
      <c r="B28" s="48">
        <v>28</v>
      </c>
      <c r="C28" s="54" t="s">
        <v>99</v>
      </c>
      <c r="D28" s="66" t="s">
        <v>108</v>
      </c>
      <c r="E28" s="66" t="s">
        <v>102</v>
      </c>
      <c r="F28" s="48"/>
      <c r="G28" s="73">
        <v>544732.6007208199</v>
      </c>
      <c r="H28" s="73">
        <v>379371.30380406033</v>
      </c>
      <c r="I28" s="73">
        <v>0</v>
      </c>
      <c r="J28" s="73">
        <v>0</v>
      </c>
      <c r="K28" s="73">
        <v>205762.90907759996</v>
      </c>
      <c r="L28" s="73">
        <v>201454.00659395999</v>
      </c>
      <c r="M28" s="73">
        <v>209101.97980313969</v>
      </c>
      <c r="N28" s="73">
        <v>720477.99523883034</v>
      </c>
      <c r="O28" s="73">
        <v>1880491.837969722</v>
      </c>
      <c r="P28" s="73">
        <v>158956.04274728027</v>
      </c>
      <c r="Q28" s="73">
        <v>1288742.7369907007</v>
      </c>
      <c r="R28" s="73">
        <v>3493306.033022522</v>
      </c>
      <c r="S28" s="66"/>
      <c r="T28" s="73">
        <v>9082397.4459686354</v>
      </c>
      <c r="X28"/>
      <c r="Y28"/>
      <c r="Z28"/>
    </row>
    <row r="29" spans="2:26" ht="15" x14ac:dyDescent="0.25">
      <c r="B29" s="48">
        <v>29</v>
      </c>
      <c r="C29" s="48"/>
      <c r="D29" s="66"/>
      <c r="E29" s="66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66"/>
      <c r="T29" s="48"/>
      <c r="V29" s="81"/>
      <c r="X29"/>
      <c r="Y29"/>
      <c r="Z29"/>
    </row>
    <row r="30" spans="2:26" ht="15" x14ac:dyDescent="0.25">
      <c r="B30" s="48">
        <v>30</v>
      </c>
      <c r="C30" s="53" t="s">
        <v>139</v>
      </c>
      <c r="D30" s="66"/>
      <c r="E30" s="66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66"/>
      <c r="T30" s="48"/>
      <c r="V30" s="81"/>
      <c r="X30"/>
      <c r="Y30"/>
      <c r="Z30"/>
    </row>
    <row r="31" spans="2:26" ht="15" x14ac:dyDescent="0.25">
      <c r="B31" s="48">
        <v>31</v>
      </c>
      <c r="C31" s="48" t="s">
        <v>140</v>
      </c>
      <c r="D31" s="66" t="s">
        <v>107</v>
      </c>
      <c r="E31" s="66" t="s">
        <v>141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90"/>
      <c r="S31" s="66"/>
      <c r="T31" s="48"/>
      <c r="V31" s="81"/>
      <c r="X31"/>
      <c r="Y31"/>
      <c r="Z31"/>
    </row>
    <row r="32" spans="2:26" ht="15" x14ac:dyDescent="0.25">
      <c r="B32" s="48">
        <v>32</v>
      </c>
      <c r="C32" s="48"/>
      <c r="D32" s="66"/>
      <c r="E32" s="66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90"/>
      <c r="S32" s="66"/>
      <c r="T32" s="48"/>
      <c r="V32" s="81"/>
      <c r="X32"/>
      <c r="Y32"/>
      <c r="Z32"/>
    </row>
    <row r="33" spans="2:26" ht="15" x14ac:dyDescent="0.25">
      <c r="B33" s="48">
        <v>33</v>
      </c>
      <c r="C33" s="48"/>
      <c r="D33" s="66"/>
      <c r="E33" s="6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90"/>
      <c r="S33" s="66"/>
      <c r="T33" s="48"/>
      <c r="V33" s="81"/>
      <c r="X33"/>
      <c r="Y33"/>
      <c r="Z33"/>
    </row>
    <row r="34" spans="2:26" ht="15" x14ac:dyDescent="0.25">
      <c r="B34" s="48">
        <v>34</v>
      </c>
      <c r="C34" s="48" t="s">
        <v>85</v>
      </c>
      <c r="D34" s="48"/>
      <c r="E34" s="48"/>
      <c r="F34" s="4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48"/>
      <c r="T34" s="48"/>
      <c r="X34"/>
      <c r="Y34"/>
      <c r="Z34"/>
    </row>
    <row r="35" spans="2:26" ht="15" x14ac:dyDescent="0.25">
      <c r="B35" s="48">
        <v>35</v>
      </c>
      <c r="C35" s="74" t="s">
        <v>97</v>
      </c>
      <c r="D35" s="74"/>
      <c r="E35" s="48"/>
      <c r="F35" s="48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48"/>
      <c r="T35" s="48"/>
      <c r="X35"/>
      <c r="Y35"/>
      <c r="Z35"/>
    </row>
    <row r="36" spans="2:26" ht="15" x14ac:dyDescent="0.25">
      <c r="B36" s="35">
        <v>36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X36"/>
      <c r="Y36"/>
      <c r="Z36"/>
    </row>
    <row r="37" spans="2:26" ht="15" x14ac:dyDescent="0.25">
      <c r="B37" s="35">
        <v>37</v>
      </c>
      <c r="C37" s="40" t="s">
        <v>104</v>
      </c>
      <c r="D37" s="40"/>
      <c r="E37" s="35"/>
      <c r="X37"/>
      <c r="Y37"/>
      <c r="Z37"/>
    </row>
    <row r="38" spans="2:26" ht="15" x14ac:dyDescent="0.25">
      <c r="B38" s="35">
        <v>38</v>
      </c>
      <c r="C38" s="45" t="s">
        <v>95</v>
      </c>
      <c r="D38" s="45"/>
      <c r="E38" s="35"/>
      <c r="X38"/>
      <c r="Y38"/>
      <c r="Z38"/>
    </row>
    <row r="39" spans="2:26" ht="15" x14ac:dyDescent="0.25">
      <c r="B39" s="35">
        <v>39</v>
      </c>
      <c r="C39" s="43" t="s">
        <v>110</v>
      </c>
      <c r="D39" s="43"/>
      <c r="E39" s="41" t="s">
        <v>108</v>
      </c>
      <c r="F39" s="35"/>
      <c r="G39" s="44">
        <v>-544732.6007208199</v>
      </c>
      <c r="H39" s="44">
        <v>-379371.30380406033</v>
      </c>
      <c r="I39" s="44">
        <v>523255.41508647031</v>
      </c>
      <c r="J39" s="44">
        <v>1064684.6511554997</v>
      </c>
      <c r="K39" s="44">
        <v>-205762.90907759996</v>
      </c>
      <c r="L39" s="44">
        <v>-201454.00659395999</v>
      </c>
      <c r="M39" s="44">
        <v>-209101.97980313969</v>
      </c>
      <c r="N39" s="44">
        <v>-720477.99523883034</v>
      </c>
      <c r="O39" s="44">
        <v>-1880491.837969722</v>
      </c>
      <c r="P39" s="44">
        <v>-158956.04274728027</v>
      </c>
      <c r="Q39" s="44">
        <v>-1288742.7369907007</v>
      </c>
      <c r="R39" s="44">
        <v>-3493306.033022522</v>
      </c>
      <c r="S39" s="35"/>
      <c r="T39" s="44">
        <v>-7494457.3797266651</v>
      </c>
      <c r="X39"/>
      <c r="Y39"/>
      <c r="Z39"/>
    </row>
    <row r="40" spans="2:26" ht="15" x14ac:dyDescent="0.25">
      <c r="B40" s="35">
        <v>40</v>
      </c>
      <c r="C40" s="43" t="s">
        <v>111</v>
      </c>
      <c r="D40" s="43"/>
      <c r="E40" s="41" t="s">
        <v>107</v>
      </c>
      <c r="F40" s="35"/>
      <c r="G40" s="44">
        <v>544732.6007208199</v>
      </c>
      <c r="H40" s="44">
        <v>379371.30380406033</v>
      </c>
      <c r="I40" s="44">
        <v>0</v>
      </c>
      <c r="J40" s="44">
        <v>0</v>
      </c>
      <c r="K40" s="44">
        <v>205762.90907759996</v>
      </c>
      <c r="L40" s="44">
        <v>201454.00659395999</v>
      </c>
      <c r="M40" s="44">
        <v>209101.97980313969</v>
      </c>
      <c r="N40" s="44">
        <v>720477.99523883034</v>
      </c>
      <c r="O40" s="44">
        <v>1880491.837969722</v>
      </c>
      <c r="P40" s="44">
        <v>158956.04274728027</v>
      </c>
      <c r="Q40" s="44">
        <v>1288742.7369907007</v>
      </c>
      <c r="R40" s="44">
        <v>3493306.033022522</v>
      </c>
      <c r="S40" s="35"/>
      <c r="T40" s="44">
        <v>9082397.4459686354</v>
      </c>
      <c r="X40"/>
      <c r="Y40"/>
      <c r="Z40"/>
    </row>
    <row r="41" spans="2:26" ht="15" x14ac:dyDescent="0.25">
      <c r="B41" s="35">
        <v>41</v>
      </c>
      <c r="C41" s="43" t="s">
        <v>112</v>
      </c>
      <c r="D41" s="43"/>
      <c r="E41" s="41" t="s">
        <v>107</v>
      </c>
      <c r="F41" s="35"/>
      <c r="G41" s="44">
        <v>0</v>
      </c>
      <c r="H41" s="44">
        <v>0</v>
      </c>
      <c r="I41" s="44">
        <v>-523255.41508647031</v>
      </c>
      <c r="J41" s="44">
        <v>-1064684.6511554997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35"/>
      <c r="T41" s="44">
        <v>-1587940.0662419701</v>
      </c>
      <c r="X41"/>
      <c r="Y41"/>
      <c r="Z41"/>
    </row>
    <row r="42" spans="2:26" ht="15" x14ac:dyDescent="0.25">
      <c r="B42" s="35">
        <v>42</v>
      </c>
      <c r="C42" s="43"/>
      <c r="D42" s="43"/>
      <c r="E42" s="41"/>
      <c r="F42" s="35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35"/>
      <c r="T42" s="44"/>
      <c r="X42"/>
      <c r="Y42"/>
      <c r="Z42"/>
    </row>
    <row r="43" spans="2:26" ht="15" x14ac:dyDescent="0.25">
      <c r="B43" s="35">
        <v>43</v>
      </c>
      <c r="C43" s="42" t="s">
        <v>159</v>
      </c>
      <c r="D43" s="42"/>
      <c r="E43" s="89"/>
      <c r="F43" s="35"/>
      <c r="G43" s="44"/>
      <c r="H43" s="44"/>
      <c r="I43" s="44"/>
      <c r="J43" s="44"/>
      <c r="K43" s="46"/>
      <c r="L43" s="46"/>
      <c r="M43" s="46"/>
      <c r="N43" s="46"/>
      <c r="O43" s="46"/>
      <c r="P43" s="46"/>
      <c r="Q43" s="46"/>
      <c r="R43" s="46"/>
      <c r="S43" s="35"/>
      <c r="T43" s="46"/>
      <c r="Y43"/>
      <c r="Z43"/>
    </row>
    <row r="44" spans="2:26" ht="15" x14ac:dyDescent="0.25">
      <c r="B44" s="35">
        <v>44</v>
      </c>
      <c r="C44" s="43" t="s">
        <v>77</v>
      </c>
      <c r="D44" s="43"/>
      <c r="E44" s="35"/>
      <c r="F44" s="35"/>
      <c r="G44" s="46">
        <v>2495028.5173940477</v>
      </c>
      <c r="H44" s="46">
        <v>2394530.2178929565</v>
      </c>
      <c r="I44" s="46">
        <v>2130568.7102674432</v>
      </c>
      <c r="J44" s="46">
        <v>1591473.4178797454</v>
      </c>
      <c r="K44" s="46">
        <v>2968690.5455581867</v>
      </c>
      <c r="L44" s="46">
        <v>2244683.0280049844</v>
      </c>
      <c r="M44" s="46">
        <v>2204163.3840615093</v>
      </c>
      <c r="N44" s="46">
        <v>3287798.6481356625</v>
      </c>
      <c r="O44" s="46">
        <v>4342783.2512778742</v>
      </c>
      <c r="P44" s="46">
        <v>2739367.0212880666</v>
      </c>
      <c r="Q44" s="46">
        <v>3153754.3751482116</v>
      </c>
      <c r="R44" s="46">
        <v>5696128.957394219</v>
      </c>
      <c r="S44" s="35"/>
      <c r="T44" s="44">
        <v>35248970.074302904</v>
      </c>
      <c r="Y44"/>
      <c r="Z44"/>
    </row>
    <row r="45" spans="2:26" ht="15" x14ac:dyDescent="0.25">
      <c r="B45" s="35">
        <v>45</v>
      </c>
      <c r="C45" s="43" t="s">
        <v>105</v>
      </c>
      <c r="D45" s="43"/>
      <c r="E45" s="35"/>
      <c r="F45" s="35"/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35"/>
      <c r="T45" s="44">
        <v>0</v>
      </c>
      <c r="Y45"/>
      <c r="Z45"/>
    </row>
    <row r="46" spans="2:26" ht="15" x14ac:dyDescent="0.25">
      <c r="B46" s="35">
        <v>46</v>
      </c>
      <c r="C46" s="35"/>
      <c r="D46" s="35"/>
      <c r="E46" s="35"/>
      <c r="F46" s="35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35"/>
      <c r="T46" s="46"/>
      <c r="Y46"/>
      <c r="Z46"/>
    </row>
    <row r="47" spans="2:26" ht="15" x14ac:dyDescent="0.25">
      <c r="B47" s="35">
        <v>47</v>
      </c>
      <c r="C47" s="113" t="s">
        <v>117</v>
      </c>
      <c r="D47" s="47"/>
      <c r="E47" s="35"/>
      <c r="F47" s="35"/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35"/>
      <c r="T47" s="44">
        <v>0</v>
      </c>
      <c r="Y47"/>
      <c r="Z47"/>
    </row>
    <row r="48" spans="2:26" ht="15" x14ac:dyDescent="0.25">
      <c r="B48" s="35">
        <v>48</v>
      </c>
      <c r="C48" s="40" t="s">
        <v>115</v>
      </c>
      <c r="D48" s="40"/>
      <c r="E48" s="35"/>
      <c r="F48" s="35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35"/>
      <c r="T48" s="46"/>
      <c r="Y48"/>
      <c r="Z48"/>
    </row>
    <row r="49" spans="2:26" ht="15" x14ac:dyDescent="0.25">
      <c r="B49" s="35">
        <v>49</v>
      </c>
      <c r="C49" s="40" t="s">
        <v>113</v>
      </c>
      <c r="D49" s="40"/>
      <c r="E49" s="35"/>
      <c r="F49" s="35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35"/>
      <c r="T49" s="46"/>
      <c r="Y49"/>
      <c r="Z49"/>
    </row>
    <row r="50" spans="2:26" s="35" customFormat="1" ht="15" x14ac:dyDescent="0.25">
      <c r="B50" s="35">
        <v>50</v>
      </c>
      <c r="C50" s="40" t="s">
        <v>116</v>
      </c>
      <c r="D50" s="40"/>
      <c r="E50" s="38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8"/>
      <c r="T50" s="39"/>
      <c r="Y50"/>
      <c r="Z50"/>
    </row>
    <row r="51" spans="2:26" ht="15" x14ac:dyDescent="0.25">
      <c r="B51" s="35">
        <v>51</v>
      </c>
      <c r="C51" s="40" t="s">
        <v>114</v>
      </c>
      <c r="D51" s="40"/>
      <c r="Y51"/>
      <c r="Z51"/>
    </row>
    <row r="52" spans="2:26" ht="15" x14ac:dyDescent="0.25">
      <c r="B52" s="35">
        <v>52</v>
      </c>
      <c r="C52" s="43"/>
      <c r="D52" s="43"/>
      <c r="E52"/>
      <c r="F52" s="98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T52" s="102"/>
      <c r="U52" s="88"/>
      <c r="W52"/>
      <c r="Y52"/>
      <c r="Z52"/>
    </row>
    <row r="53" spans="2:26" ht="15" x14ac:dyDescent="0.25">
      <c r="B53" s="35">
        <v>53</v>
      </c>
      <c r="C53" s="111" t="s">
        <v>144</v>
      </c>
      <c r="D53" s="104"/>
      <c r="E53" s="105"/>
      <c r="F53" s="106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06"/>
      <c r="T53" s="110"/>
      <c r="X53"/>
    </row>
    <row r="54" spans="2:26" ht="15" x14ac:dyDescent="0.25">
      <c r="B54" s="35">
        <v>54</v>
      </c>
      <c r="C54" s="104" t="s">
        <v>179</v>
      </c>
      <c r="D54" s="104"/>
      <c r="E54" s="105"/>
      <c r="F54" s="106"/>
      <c r="G54" s="97">
        <v>214005.86743999997</v>
      </c>
      <c r="H54" s="97">
        <v>203824.13625899996</v>
      </c>
      <c r="I54" s="97">
        <v>219355.61192199998</v>
      </c>
      <c r="J54" s="97">
        <v>234081.54070699998</v>
      </c>
      <c r="K54" s="97">
        <v>230380.76896099997</v>
      </c>
      <c r="L54" s="97">
        <v>221462.92891699995</v>
      </c>
      <c r="M54" s="97">
        <v>217586.36273599995</v>
      </c>
      <c r="N54" s="97">
        <v>209726.88858699994</v>
      </c>
      <c r="O54" s="97">
        <v>197325.8609032112</v>
      </c>
      <c r="P54" s="97">
        <v>194991.01891221121</v>
      </c>
      <c r="Q54" s="97">
        <v>180572.3263972112</v>
      </c>
      <c r="R54" s="97">
        <v>167273.61300821119</v>
      </c>
      <c r="S54" s="106"/>
      <c r="T54" s="97"/>
      <c r="X54"/>
    </row>
    <row r="55" spans="2:26" ht="15" x14ac:dyDescent="0.25">
      <c r="B55" s="35">
        <v>55</v>
      </c>
      <c r="C55" s="104" t="s">
        <v>180</v>
      </c>
      <c r="D55" s="104"/>
      <c r="E55" s="105"/>
      <c r="F55" s="106"/>
      <c r="G55" s="97">
        <v>-1490.7599999999998</v>
      </c>
      <c r="H55" s="97">
        <v>516.47000000000025</v>
      </c>
      <c r="I55" s="97">
        <v>4721.3200000000006</v>
      </c>
      <c r="J55" s="97">
        <v>2671.3400000000006</v>
      </c>
      <c r="K55" s="97">
        <v>384.30000000000064</v>
      </c>
      <c r="L55" s="97">
        <v>-3836.1299999999997</v>
      </c>
      <c r="M55" s="97">
        <v>-8318.2099999999991</v>
      </c>
      <c r="N55" s="97">
        <v>-9866.1022699999958</v>
      </c>
      <c r="O55" s="97">
        <v>-10051.037614211291</v>
      </c>
      <c r="P55" s="97">
        <v>-8805.3876142112913</v>
      </c>
      <c r="Q55" s="97">
        <v>-9060.6476142112915</v>
      </c>
      <c r="R55" s="97">
        <v>-8077.7476142112919</v>
      </c>
      <c r="S55" s="106"/>
      <c r="T55" s="97"/>
      <c r="X55"/>
    </row>
    <row r="56" spans="2:26" ht="15.75" thickBot="1" x14ac:dyDescent="0.3">
      <c r="B56" s="35">
        <v>56</v>
      </c>
      <c r="C56" s="104" t="s">
        <v>143</v>
      </c>
      <c r="D56" s="104"/>
      <c r="E56" s="105"/>
      <c r="F56" s="96">
        <v>228747.31285799996</v>
      </c>
      <c r="G56" s="96">
        <v>212515.10743999996</v>
      </c>
      <c r="H56" s="96">
        <v>204340.60625899996</v>
      </c>
      <c r="I56" s="96">
        <v>224076.93192199999</v>
      </c>
      <c r="J56" s="96">
        <v>236752.88070699997</v>
      </c>
      <c r="K56" s="96">
        <v>230765.06896099995</v>
      </c>
      <c r="L56" s="96">
        <v>217626.79891699995</v>
      </c>
      <c r="M56" s="96">
        <v>209268.15273599996</v>
      </c>
      <c r="N56" s="96">
        <v>199860.78631699993</v>
      </c>
      <c r="O56" s="96">
        <v>187274.82328899991</v>
      </c>
      <c r="P56" s="96">
        <v>186185.63129799991</v>
      </c>
      <c r="Q56" s="96">
        <v>171511.67878299992</v>
      </c>
      <c r="R56" s="96">
        <v>159195.86539399991</v>
      </c>
      <c r="S56" s="106"/>
      <c r="T56" s="97"/>
      <c r="X56"/>
    </row>
    <row r="57" spans="2:26" ht="15.75" thickTop="1" x14ac:dyDescent="0.25">
      <c r="B57" s="35">
        <v>57</v>
      </c>
      <c r="C57" s="104" t="s">
        <v>157</v>
      </c>
      <c r="D57" s="104"/>
      <c r="E57" s="105"/>
      <c r="F57" s="107">
        <v>9.320621301338269</v>
      </c>
      <c r="G57" s="99">
        <v>11.6559375108026</v>
      </c>
      <c r="H57" s="99">
        <v>11.482146133470138</v>
      </c>
      <c r="I57" s="99">
        <v>17.18875783026462</v>
      </c>
      <c r="J57" s="99">
        <v>18.771009587044315</v>
      </c>
      <c r="K57" s="99">
        <v>20.785732354289649</v>
      </c>
      <c r="L57" s="99">
        <v>19.997103815212014</v>
      </c>
      <c r="M57" s="99">
        <v>6.9077216993934245</v>
      </c>
      <c r="N57" s="99">
        <v>5.615945948678891</v>
      </c>
      <c r="O57" s="99">
        <v>4.9664410057047066</v>
      </c>
      <c r="P57" s="99">
        <v>13.207525676106496</v>
      </c>
      <c r="Q57" s="99">
        <v>14.30403650291449</v>
      </c>
      <c r="R57" s="99">
        <v>12.335363723101713</v>
      </c>
      <c r="S57" s="106"/>
      <c r="T57" s="97"/>
      <c r="X57"/>
    </row>
    <row r="58" spans="2:26" ht="15" x14ac:dyDescent="0.25">
      <c r="B58" s="35">
        <v>58</v>
      </c>
      <c r="C58" s="104"/>
      <c r="D58" s="104"/>
      <c r="E58" s="108"/>
      <c r="F58" s="106"/>
      <c r="G58" s="97"/>
      <c r="H58" s="97"/>
      <c r="I58" s="97"/>
      <c r="J58" s="97"/>
      <c r="K58" s="100"/>
      <c r="L58" s="97"/>
      <c r="M58" s="97"/>
      <c r="N58" s="97"/>
      <c r="O58" s="97"/>
      <c r="P58" s="97"/>
      <c r="Q58" s="97"/>
      <c r="R58" s="97"/>
      <c r="S58" s="106"/>
      <c r="T58" s="97"/>
      <c r="X58"/>
    </row>
    <row r="59" spans="2:26" ht="15" x14ac:dyDescent="0.25">
      <c r="B59" s="35">
        <v>59</v>
      </c>
      <c r="C59" s="104" t="s">
        <v>158</v>
      </c>
      <c r="D59" s="105" t="s">
        <v>107</v>
      </c>
      <c r="E59" s="108"/>
      <c r="F59" s="109">
        <v>3715730.6135950061</v>
      </c>
      <c r="G59" s="110">
        <v>3452057.5594976805</v>
      </c>
      <c r="H59" s="110">
        <v>3319272.4180697426</v>
      </c>
      <c r="I59" s="110">
        <v>3658515.340350287</v>
      </c>
      <c r="J59" s="110">
        <v>3896455.6965184044</v>
      </c>
      <c r="K59" s="110">
        <v>3797908.8779212702</v>
      </c>
      <c r="L59" s="110">
        <v>3581680.5177743211</v>
      </c>
      <c r="M59" s="110">
        <v>3444114.7385116559</v>
      </c>
      <c r="N59" s="110">
        <v>3289289.2244013865</v>
      </c>
      <c r="O59" s="110">
        <v>3082150.6789688081</v>
      </c>
      <c r="P59" s="110">
        <v>3064224.8639786774</v>
      </c>
      <c r="Q59" s="110">
        <v>2822722.3923011627</v>
      </c>
      <c r="R59" s="110">
        <v>2620029.9431384611</v>
      </c>
      <c r="S59"/>
      <c r="T59"/>
      <c r="U59"/>
      <c r="V59"/>
      <c r="W59"/>
      <c r="X59"/>
    </row>
    <row r="60" spans="2:26" ht="15" x14ac:dyDescent="0.25">
      <c r="B60" s="35">
        <v>60</v>
      </c>
      <c r="C60" s="104" t="s">
        <v>145</v>
      </c>
      <c r="D60" s="105"/>
      <c r="E60" s="108"/>
      <c r="F60" s="106"/>
      <c r="G60" s="97">
        <v>0</v>
      </c>
      <c r="H60" s="97">
        <v>0</v>
      </c>
      <c r="I60" s="97">
        <v>19736.325663000025</v>
      </c>
      <c r="J60" s="97">
        <v>12675.948784999986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/>
      <c r="T60"/>
      <c r="U60"/>
      <c r="V60"/>
      <c r="W60"/>
      <c r="X60"/>
    </row>
    <row r="61" spans="2:26" ht="15" x14ac:dyDescent="0.25">
      <c r="B61" s="35">
        <v>61</v>
      </c>
      <c r="C61" s="104" t="s">
        <v>142</v>
      </c>
      <c r="D61" s="104"/>
      <c r="E61" s="108"/>
      <c r="F61" s="112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/>
      <c r="T61"/>
      <c r="U61"/>
      <c r="V61"/>
      <c r="W61"/>
      <c r="X61"/>
    </row>
    <row r="62" spans="2:26" ht="15" x14ac:dyDescent="0.25">
      <c r="S62"/>
      <c r="T62"/>
      <c r="U62"/>
      <c r="V62"/>
      <c r="W62"/>
      <c r="X62"/>
    </row>
  </sheetData>
  <printOptions horizontalCentered="1"/>
  <pageMargins left="0.2" right="0.2" top="0.6" bottom="0.75" header="0.3" footer="0.2"/>
  <pageSetup scale="92" orientation="landscape" r:id="rId1"/>
  <headerFooter>
    <oddFooter>&amp;L&amp;9&amp;Z&amp;F</oddFooter>
  </headerFooter>
  <customProperties>
    <customPr name="_pios_id" r:id="rId2"/>
    <customPr name="CofWorksheetType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workbookViewId="0">
      <pane xSplit="2" ySplit="2" topLeftCell="C3" activePane="bottomRight" state="frozen"/>
      <selection activeCell="H15" sqref="H15"/>
      <selection pane="topRight" activeCell="H15" sqref="H15"/>
      <selection pane="bottomLeft" activeCell="H15" sqref="H15"/>
      <selection pane="bottomRight" activeCell="K12" sqref="K12"/>
    </sheetView>
  </sheetViews>
  <sheetFormatPr defaultRowHeight="15" x14ac:dyDescent="0.25"/>
  <cols>
    <col min="1" max="1" width="4.85546875" customWidth="1"/>
    <col min="2" max="2" width="15.5703125" bestFit="1" customWidth="1"/>
    <col min="3" max="4" width="15.85546875" bestFit="1" customWidth="1"/>
    <col min="11" max="12" width="9.85546875" bestFit="1" customWidth="1"/>
    <col min="16" max="17" width="10.140625" bestFit="1" customWidth="1"/>
  </cols>
  <sheetData>
    <row r="1" spans="1:17" x14ac:dyDescent="0.25">
      <c r="A1" s="36" t="s">
        <v>170</v>
      </c>
      <c r="B1" s="124"/>
    </row>
    <row r="2" spans="1:17" x14ac:dyDescent="0.25">
      <c r="A2" s="36" t="s">
        <v>169</v>
      </c>
      <c r="B2" s="124"/>
    </row>
    <row r="3" spans="1:17" x14ac:dyDescent="0.25">
      <c r="A3" s="32" t="s">
        <v>182</v>
      </c>
      <c r="B3" s="124"/>
    </row>
    <row r="5" spans="1:17" x14ac:dyDescent="0.25">
      <c r="B5" t="s">
        <v>168</v>
      </c>
      <c r="C5" s="115">
        <v>19449.009999999998</v>
      </c>
    </row>
    <row r="6" spans="1:17" x14ac:dyDescent="0.25">
      <c r="B6" t="s">
        <v>167</v>
      </c>
      <c r="C6" s="129">
        <v>113868.48000000001</v>
      </c>
    </row>
    <row r="9" spans="1:17" ht="15.75" thickBot="1" x14ac:dyDescent="0.3">
      <c r="B9" t="s">
        <v>181</v>
      </c>
    </row>
    <row r="10" spans="1:17" ht="15.75" thickTop="1" x14ac:dyDescent="0.25">
      <c r="B10" s="123" t="s">
        <v>166</v>
      </c>
      <c r="C10" s="122" t="s">
        <v>165</v>
      </c>
      <c r="D10" s="122" t="s">
        <v>164</v>
      </c>
      <c r="E10" s="121">
        <v>44197</v>
      </c>
      <c r="F10" s="121">
        <v>44228</v>
      </c>
      <c r="G10" s="121">
        <v>44256</v>
      </c>
      <c r="H10" s="121">
        <v>44287</v>
      </c>
      <c r="I10" s="121">
        <v>44317</v>
      </c>
      <c r="J10" s="121">
        <v>44348</v>
      </c>
      <c r="K10" s="121">
        <v>44378</v>
      </c>
      <c r="L10" s="121">
        <v>44409</v>
      </c>
      <c r="M10" s="121">
        <v>44440</v>
      </c>
      <c r="N10" s="121">
        <v>44470</v>
      </c>
      <c r="O10" s="121">
        <v>44501</v>
      </c>
      <c r="P10" s="121">
        <v>44531</v>
      </c>
      <c r="Q10" s="120" t="s">
        <v>163</v>
      </c>
    </row>
    <row r="11" spans="1:17" x14ac:dyDescent="0.25">
      <c r="B11" s="119">
        <v>92001233</v>
      </c>
      <c r="C11" s="118" t="s">
        <v>161</v>
      </c>
      <c r="D11" s="118" t="s">
        <v>162</v>
      </c>
      <c r="E11" s="117">
        <v>0</v>
      </c>
      <c r="F11" s="117">
        <v>0</v>
      </c>
      <c r="G11" s="117">
        <v>3322.13</v>
      </c>
      <c r="H11" s="117">
        <v>6090.51</v>
      </c>
      <c r="I11" s="117">
        <v>4983.1499999999996</v>
      </c>
      <c r="J11" s="117">
        <v>5536.83</v>
      </c>
      <c r="K11" s="117">
        <v>0</v>
      </c>
      <c r="L11" s="117">
        <v>-8443.61</v>
      </c>
      <c r="M11" s="117">
        <v>0</v>
      </c>
      <c r="N11" s="117">
        <v>0</v>
      </c>
      <c r="O11" s="117">
        <v>0</v>
      </c>
      <c r="P11" s="117">
        <v>0</v>
      </c>
      <c r="Q11" s="116">
        <v>11489.009999999998</v>
      </c>
    </row>
    <row r="12" spans="1:17" x14ac:dyDescent="0.25">
      <c r="B12" s="119">
        <v>92301153</v>
      </c>
      <c r="C12" s="118" t="s">
        <v>161</v>
      </c>
      <c r="D12" s="118" t="s">
        <v>160</v>
      </c>
      <c r="E12" s="117">
        <v>0</v>
      </c>
      <c r="F12" s="117">
        <v>0</v>
      </c>
      <c r="G12" s="117">
        <v>7960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6">
        <v>7960</v>
      </c>
    </row>
    <row r="13" spans="1:17" x14ac:dyDescent="0.25">
      <c r="Q13" s="115">
        <v>19449.009999999998</v>
      </c>
    </row>
    <row r="15" spans="1:17" x14ac:dyDescent="0.25">
      <c r="B15" t="s">
        <v>167</v>
      </c>
      <c r="C15" s="130">
        <v>9489.0400000000009</v>
      </c>
      <c r="D15" s="130">
        <v>113868.48000000001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"/>
  <sheetViews>
    <sheetView workbookViewId="0">
      <selection activeCell="G31" sqref="G31"/>
    </sheetView>
  </sheetViews>
  <sheetFormatPr defaultRowHeight="15" x14ac:dyDescent="0.25"/>
  <cols>
    <col min="3" max="3" width="18.5703125" bestFit="1" customWidth="1"/>
    <col min="4" max="4" width="28.7109375" bestFit="1" customWidth="1"/>
    <col min="5" max="5" width="26.42578125" bestFit="1" customWidth="1"/>
    <col min="6" max="6" width="15.42578125" bestFit="1" customWidth="1"/>
  </cols>
  <sheetData>
    <row r="1" spans="1:8" x14ac:dyDescent="0.25">
      <c r="A1" s="36" t="s">
        <v>176</v>
      </c>
      <c r="B1" s="124"/>
      <c r="C1" s="124"/>
      <c r="D1" s="124"/>
      <c r="E1" s="124"/>
      <c r="F1" s="124"/>
      <c r="G1" s="124"/>
      <c r="H1" s="124"/>
    </row>
    <row r="2" spans="1:8" x14ac:dyDescent="0.25">
      <c r="A2" s="32" t="s">
        <v>178</v>
      </c>
      <c r="B2" s="124"/>
      <c r="C2" s="124"/>
      <c r="D2" s="124"/>
      <c r="E2" s="124"/>
      <c r="F2" s="124"/>
      <c r="G2" s="124"/>
      <c r="H2" s="124"/>
    </row>
    <row r="3" spans="1:8" x14ac:dyDescent="0.25">
      <c r="A3" s="124"/>
      <c r="B3" s="124"/>
      <c r="C3" s="124"/>
      <c r="D3" s="124"/>
      <c r="E3" s="124"/>
      <c r="F3" s="124"/>
      <c r="G3" s="124"/>
      <c r="H3" s="124"/>
    </row>
    <row r="4" spans="1:8" x14ac:dyDescent="0.25">
      <c r="A4" s="124"/>
      <c r="B4" s="127" t="s">
        <v>73</v>
      </c>
      <c r="C4" s="127" t="s">
        <v>175</v>
      </c>
      <c r="D4" s="127" t="s">
        <v>174</v>
      </c>
      <c r="E4" s="127" t="s">
        <v>173</v>
      </c>
      <c r="F4" s="127" t="s">
        <v>172</v>
      </c>
      <c r="G4" s="124"/>
      <c r="H4" s="124"/>
    </row>
    <row r="5" spans="1:8" x14ac:dyDescent="0.25">
      <c r="A5" s="124"/>
      <c r="B5" s="127" t="s">
        <v>177</v>
      </c>
      <c r="C5" s="127"/>
      <c r="D5" s="127"/>
      <c r="E5" s="127"/>
      <c r="F5" s="128">
        <v>-13193615.789999999</v>
      </c>
      <c r="G5" s="124"/>
      <c r="H5" s="124"/>
    </row>
    <row r="6" spans="1:8" x14ac:dyDescent="0.25">
      <c r="A6" s="124"/>
      <c r="B6" s="124" t="s">
        <v>156</v>
      </c>
      <c r="C6" s="125">
        <v>109521.78</v>
      </c>
      <c r="D6" s="80"/>
      <c r="E6" s="125">
        <v>109521.78</v>
      </c>
      <c r="F6" s="128">
        <v>-13084094.01</v>
      </c>
      <c r="G6" s="124"/>
      <c r="H6" s="124"/>
    </row>
    <row r="7" spans="1:8" x14ac:dyDescent="0.25">
      <c r="A7" s="124"/>
      <c r="B7" s="124" t="s">
        <v>171</v>
      </c>
      <c r="C7" s="125">
        <v>116186.26</v>
      </c>
      <c r="D7" s="80"/>
      <c r="E7" s="125">
        <v>116186.26</v>
      </c>
      <c r="F7" s="128">
        <v>-12967907.75</v>
      </c>
      <c r="G7" s="124"/>
      <c r="H7" s="124"/>
    </row>
    <row r="8" spans="1:8" x14ac:dyDescent="0.25">
      <c r="A8" s="124"/>
      <c r="B8" s="124" t="s">
        <v>155</v>
      </c>
      <c r="C8" s="125">
        <v>85939.03</v>
      </c>
      <c r="D8" s="126"/>
      <c r="E8" s="125">
        <v>85939.03</v>
      </c>
      <c r="F8" s="128">
        <v>-12881968.720000001</v>
      </c>
      <c r="G8" s="124"/>
      <c r="H8" s="124"/>
    </row>
    <row r="9" spans="1:8" x14ac:dyDescent="0.25">
      <c r="A9" s="124"/>
      <c r="B9" s="124" t="s">
        <v>154</v>
      </c>
      <c r="C9" s="125">
        <v>95699.23</v>
      </c>
      <c r="D9" s="80"/>
      <c r="E9" s="125">
        <v>95699.23</v>
      </c>
      <c r="F9" s="128">
        <v>-12786269.49</v>
      </c>
      <c r="G9" s="124"/>
      <c r="H9" s="124"/>
    </row>
    <row r="10" spans="1:8" x14ac:dyDescent="0.25">
      <c r="A10" s="124"/>
      <c r="B10" s="124" t="s">
        <v>153</v>
      </c>
      <c r="C10" s="125">
        <v>131137.42000000001</v>
      </c>
      <c r="D10" s="80"/>
      <c r="E10" s="125">
        <v>131137.42000000001</v>
      </c>
      <c r="F10" s="128">
        <v>-12655132.07</v>
      </c>
      <c r="G10" s="124"/>
      <c r="H10" s="124"/>
    </row>
    <row r="11" spans="1:8" x14ac:dyDescent="0.25">
      <c r="A11" s="124"/>
      <c r="B11" s="124" t="s">
        <v>152</v>
      </c>
      <c r="C11" s="125">
        <v>114726.77</v>
      </c>
      <c r="D11" s="80"/>
      <c r="E11" s="125">
        <v>114726.77</v>
      </c>
      <c r="F11" s="128">
        <v>-12540405.300000001</v>
      </c>
      <c r="G11" s="124"/>
      <c r="H11" s="124"/>
    </row>
    <row r="12" spans="1:8" x14ac:dyDescent="0.25">
      <c r="A12" s="124"/>
      <c r="B12" s="124" t="s">
        <v>151</v>
      </c>
      <c r="C12" s="125">
        <v>94802.78</v>
      </c>
      <c r="D12" s="80"/>
      <c r="E12" s="125">
        <v>94802.78</v>
      </c>
      <c r="F12" s="128">
        <v>-12445602.520000001</v>
      </c>
      <c r="G12" s="124"/>
      <c r="H12" s="124"/>
    </row>
    <row r="13" spans="1:8" x14ac:dyDescent="0.25">
      <c r="A13" s="124"/>
      <c r="B13" s="124" t="s">
        <v>150</v>
      </c>
      <c r="C13" s="125">
        <v>127586.64</v>
      </c>
      <c r="D13" s="80"/>
      <c r="E13" s="125">
        <v>127586.64</v>
      </c>
      <c r="F13" s="128">
        <v>-12318015.880000001</v>
      </c>
      <c r="G13" s="124"/>
      <c r="H13" s="124"/>
    </row>
    <row r="14" spans="1:8" x14ac:dyDescent="0.25">
      <c r="A14" s="124"/>
      <c r="B14" s="124" t="s">
        <v>149</v>
      </c>
      <c r="C14" s="125">
        <v>148911.63</v>
      </c>
      <c r="D14" s="80"/>
      <c r="E14" s="125">
        <v>148911.63</v>
      </c>
      <c r="F14" s="128">
        <v>-12169104.25</v>
      </c>
      <c r="G14" s="124"/>
      <c r="H14" s="124"/>
    </row>
    <row r="15" spans="1:8" x14ac:dyDescent="0.25">
      <c r="A15" s="124"/>
      <c r="B15" s="124" t="s">
        <v>148</v>
      </c>
      <c r="C15" s="125">
        <v>107948.27</v>
      </c>
      <c r="D15" s="80"/>
      <c r="E15" s="125">
        <v>107948.27</v>
      </c>
      <c r="F15" s="128">
        <v>-12061155.98</v>
      </c>
      <c r="G15" s="124"/>
      <c r="H15" s="124"/>
    </row>
    <row r="16" spans="1:8" x14ac:dyDescent="0.25">
      <c r="A16" s="124"/>
      <c r="B16" s="124" t="s">
        <v>147</v>
      </c>
      <c r="C16" s="125">
        <v>110208.64</v>
      </c>
      <c r="D16" s="80"/>
      <c r="E16" s="125">
        <v>110208.64</v>
      </c>
      <c r="F16" s="128">
        <v>-11950947.34</v>
      </c>
      <c r="G16" s="124"/>
      <c r="H16" s="124"/>
    </row>
    <row r="17" spans="1:8" x14ac:dyDescent="0.25">
      <c r="A17" s="124"/>
      <c r="B17" s="124" t="s">
        <v>146</v>
      </c>
      <c r="C17" s="125">
        <v>114398.39999999999</v>
      </c>
      <c r="D17" s="80"/>
      <c r="E17" s="125">
        <v>114398.39999999999</v>
      </c>
      <c r="F17" s="128">
        <v>-11836548.939999999</v>
      </c>
      <c r="G17" s="124"/>
      <c r="H17" s="124"/>
    </row>
    <row r="18" spans="1:8" x14ac:dyDescent="0.25">
      <c r="A18" s="124"/>
      <c r="B18" s="124"/>
      <c r="C18" s="124"/>
      <c r="D18" s="124"/>
      <c r="E18" s="124"/>
      <c r="F18" s="124"/>
      <c r="G18" s="124"/>
      <c r="H18" s="124"/>
    </row>
    <row r="19" spans="1:8" x14ac:dyDescent="0.25">
      <c r="A19" s="124"/>
      <c r="B19" s="124"/>
      <c r="C19" s="124"/>
      <c r="D19" s="124"/>
      <c r="E19" s="124"/>
      <c r="F19" s="124"/>
      <c r="G19" s="124"/>
      <c r="H19" s="124"/>
    </row>
    <row r="20" spans="1:8" x14ac:dyDescent="0.25">
      <c r="A20" s="124"/>
      <c r="B20" s="124"/>
      <c r="C20" s="124"/>
      <c r="D20" s="124"/>
      <c r="E20" s="124"/>
      <c r="F20" s="124"/>
      <c r="G20" s="124"/>
      <c r="H20" s="124"/>
    </row>
    <row r="21" spans="1:8" x14ac:dyDescent="0.25">
      <c r="A21" s="124"/>
      <c r="B21" s="124"/>
      <c r="C21" s="124"/>
      <c r="D21" s="124"/>
      <c r="E21" s="124"/>
      <c r="F21" s="124"/>
      <c r="G21" s="124"/>
      <c r="H21" s="12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5EB62C3599C34FA53F9242800ADA21" ma:contentTypeVersion="24" ma:contentTypeDescription="" ma:contentTypeScope="" ma:versionID="b9d4c3a66ec1e5e6874fb7d5774d6c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2023-04-28T07:00:00+00:00</OpenedDate>
    <SignificantOrder xmlns="dc463f71-b30c-4ab2-9473-d307f9d35888">false</SignificantOrder>
    <Date1 xmlns="dc463f71-b30c-4ab2-9473-d307f9d35888">2023-04-28T07:00:00+00:00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083F9A-E2AC-4F43-922C-0B75F2E6A362}"/>
</file>

<file path=customXml/itemProps2.xml><?xml version="1.0" encoding="utf-8"?>
<ds:datastoreItem xmlns:ds="http://schemas.openxmlformats.org/officeDocument/2006/customXml" ds:itemID="{2DCED333-C3F3-404D-A865-BCFB3A8B9293}"/>
</file>

<file path=customXml/itemProps3.xml><?xml version="1.0" encoding="utf-8"?>
<ds:datastoreItem xmlns:ds="http://schemas.openxmlformats.org/officeDocument/2006/customXml" ds:itemID="{08276973-7F59-4DB8-8BE0-68659A24CA9A}"/>
</file>

<file path=customXml/itemProps4.xml><?xml version="1.0" encoding="utf-8"?>
<ds:datastoreItem xmlns:ds="http://schemas.openxmlformats.org/officeDocument/2006/customXml" ds:itemID="{E59054FB-F6D8-442D-B41B-99F512906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</vt:lpstr>
      <vt:lpstr>play</vt:lpstr>
      <vt:lpstr>Reporting- SEF 31</vt:lpstr>
      <vt:lpstr>Redacted</vt:lpstr>
      <vt:lpstr>Exh. SEF-4 p 1 PPA Costs (R)</vt:lpstr>
      <vt:lpstr>Exh. SEF-4 p 2 Fixed Costs</vt:lpstr>
      <vt:lpstr>Exh. SEF-4 p 3 Liq Damages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Barnett, Donna L. (BEL)</cp:lastModifiedBy>
  <cp:lastPrinted>2023-01-05T22:46:39Z</cp:lastPrinted>
  <dcterms:created xsi:type="dcterms:W3CDTF">2020-08-12T17:38:12Z</dcterms:created>
  <dcterms:modified xsi:type="dcterms:W3CDTF">2023-04-25T16:35:47Z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0x0101006E56B4D1795A2E4DB2F0B01679ED314A00875EB62C3599C34FA53F9242800ADA21</vt:lpwstr>
  </property>
  <property fmtid="{D5CDD505-2E9C-101B-9397-08002B2CF9AE}" pid="3" name="_docset_NoMedatataSyncRequired">
    <vt:lpwstr>False</vt:lpwstr>
  </property>
</Properties>
</file>