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WWP CBR\WWP 2019-12 CBR\"/>
    </mc:Choice>
  </mc:AlternateContent>
  <bookViews>
    <workbookView xWindow="0" yWindow="0" windowWidth="28800" windowHeight="12690" activeTab="8"/>
  </bookViews>
  <sheets>
    <sheet name="CF WA Elec" sheetId="1" r:id="rId1"/>
    <sheet name="CF WA Gas" sheetId="2" r:id="rId2"/>
    <sheet name="CF ID Elec" sheetId="3" r:id="rId3"/>
    <sheet name="CF ID Gas" sheetId="4" r:id="rId4"/>
    <sheet name="C-UE-1" sheetId="21" r:id="rId5"/>
    <sheet name="C-UE-2" sheetId="19" r:id="rId6"/>
    <sheet name="C-UE-3" sheetId="20" r:id="rId7"/>
    <sheet name="Acerno_Cache_XXXXX" sheetId="22" state="veryHidden" r:id="rId8"/>
    <sheet name="SharedInputs" sheetId="8" r:id="rId9"/>
  </sheets>
  <externalReferences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29" i="2" l="1"/>
  <c r="D42" i="1"/>
  <c r="G41" i="21" l="1"/>
  <c r="G43" i="21"/>
  <c r="C70" i="21"/>
  <c r="H27" i="19"/>
  <c r="H26" i="19"/>
  <c r="G42" i="21"/>
  <c r="E41" i="21"/>
  <c r="E11" i="21"/>
  <c r="C68" i="21" l="1"/>
  <c r="G50" i="21" s="1"/>
  <c r="G48" i="21" s="1"/>
  <c r="E48" i="21" l="1"/>
  <c r="L13" i="8" l="1"/>
  <c r="E13" i="8" l="1"/>
  <c r="C13" i="8"/>
  <c r="M11" i="19" l="1"/>
  <c r="AF10" i="20"/>
  <c r="V10" i="20"/>
  <c r="J10" i="20"/>
  <c r="H19" i="20" l="1"/>
  <c r="H20" i="20"/>
  <c r="AD18" i="20"/>
  <c r="AD17" i="20"/>
  <c r="AD16" i="20"/>
  <c r="AD15" i="20"/>
  <c r="AD14" i="20"/>
  <c r="AD13" i="20"/>
  <c r="AD12" i="20"/>
  <c r="AD11" i="20"/>
  <c r="AD10" i="20"/>
  <c r="AN11" i="20"/>
  <c r="AN12" i="20"/>
  <c r="AN13" i="20"/>
  <c r="AN14" i="20"/>
  <c r="AN15" i="20"/>
  <c r="AN16" i="20"/>
  <c r="AN17" i="20"/>
  <c r="AN18" i="20"/>
  <c r="AN19" i="20"/>
  <c r="AN20" i="20"/>
  <c r="AN21" i="20"/>
  <c r="AN10" i="20"/>
  <c r="AD19" i="20"/>
  <c r="AD20" i="20"/>
  <c r="AD21" i="20"/>
  <c r="T11" i="20"/>
  <c r="T12" i="20"/>
  <c r="T13" i="20"/>
  <c r="T14" i="20"/>
  <c r="T15" i="20"/>
  <c r="T16" i="20"/>
  <c r="T17" i="20"/>
  <c r="T18" i="20"/>
  <c r="T19" i="20"/>
  <c r="T20" i="20"/>
  <c r="T21" i="20"/>
  <c r="T10" i="20"/>
  <c r="C22" i="20"/>
  <c r="D22" i="20"/>
  <c r="E22" i="20"/>
  <c r="F22" i="20"/>
  <c r="G22" i="20"/>
  <c r="B22" i="20"/>
  <c r="H11" i="20"/>
  <c r="H12" i="20"/>
  <c r="H13" i="20"/>
  <c r="H14" i="20"/>
  <c r="H15" i="20"/>
  <c r="H16" i="20"/>
  <c r="H17" i="20"/>
  <c r="H18" i="20"/>
  <c r="H21" i="20"/>
  <c r="H10" i="20"/>
  <c r="H22" i="20" l="1"/>
  <c r="C17" i="21" l="1"/>
  <c r="A3" i="21" l="1"/>
  <c r="A3" i="19"/>
  <c r="A3" i="20"/>
  <c r="J3" i="20" s="1"/>
  <c r="V3" i="20" s="1"/>
  <c r="AF3" i="20" s="1"/>
  <c r="C41" i="21" l="1"/>
  <c r="B14" i="8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AF11" i="20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V11" i="20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J11" i="20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O23" i="19"/>
  <c r="C23" i="21" s="1"/>
  <c r="N23" i="19"/>
  <c r="C13" i="21" s="1"/>
  <c r="K23" i="19"/>
  <c r="J23" i="19"/>
  <c r="I23" i="19"/>
  <c r="H23" i="19"/>
  <c r="G23" i="19"/>
  <c r="F23" i="19"/>
  <c r="E23" i="19"/>
  <c r="D23" i="19"/>
  <c r="C23" i="19"/>
  <c r="B23" i="19"/>
  <c r="M12" i="19"/>
  <c r="M13" i="19" s="1"/>
  <c r="M14" i="19" s="1"/>
  <c r="M15" i="19" s="1"/>
  <c r="M16" i="19" s="1"/>
  <c r="M17" i="19" s="1"/>
  <c r="M18" i="19" s="1"/>
  <c r="M19" i="19" s="1"/>
  <c r="M20" i="19" s="1"/>
  <c r="M21" i="19" s="1"/>
  <c r="M22" i="19" s="1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M13" i="8"/>
  <c r="D24" i="8" s="1"/>
  <c r="A3" i="2"/>
  <c r="A3" i="3"/>
  <c r="A3" i="4"/>
  <c r="D33" i="4"/>
  <c r="D28" i="2"/>
  <c r="D34" i="3"/>
  <c r="E13" i="3"/>
  <c r="C49" i="3" s="1"/>
  <c r="D42" i="3"/>
  <c r="D44" i="3"/>
  <c r="B21" i="3"/>
  <c r="D29" i="1"/>
  <c r="E11" i="1"/>
  <c r="D37" i="1"/>
  <c r="A1" i="3"/>
  <c r="A51" i="3"/>
  <c r="A39" i="3"/>
  <c r="A3" i="1"/>
  <c r="D41" i="4"/>
  <c r="D43" i="4"/>
  <c r="E13" i="4"/>
  <c r="C48" i="4" s="1"/>
  <c r="A1" i="4"/>
  <c r="A50" i="4"/>
  <c r="A38" i="4"/>
  <c r="B21" i="4"/>
  <c r="A1" i="1"/>
  <c r="A34" i="1"/>
  <c r="B20" i="1"/>
  <c r="A1" i="2"/>
  <c r="A33" i="2"/>
  <c r="D36" i="2"/>
  <c r="B20" i="2"/>
  <c r="E11" i="2"/>
  <c r="D44" i="4" l="1"/>
  <c r="D45" i="3"/>
  <c r="C65" i="21"/>
  <c r="C60" i="21"/>
  <c r="C63" i="21" s="1"/>
  <c r="G13" i="21"/>
  <c r="C27" i="21"/>
  <c r="AD22" i="20"/>
  <c r="C14" i="8" s="1"/>
  <c r="AN22" i="20"/>
  <c r="T22" i="20"/>
  <c r="C48" i="21" s="1"/>
  <c r="D45" i="4"/>
  <c r="D46" i="4" s="1"/>
  <c r="D46" i="3"/>
  <c r="E23" i="21"/>
  <c r="G23" i="21"/>
  <c r="E13" i="21"/>
  <c r="D47" i="3" l="1"/>
  <c r="G52" i="21"/>
  <c r="C42" i="21"/>
  <c r="C43" i="21" s="1"/>
  <c r="E14" i="8"/>
  <c r="C49" i="21"/>
  <c r="C50" i="21" s="1"/>
  <c r="E49" i="21" s="1"/>
  <c r="D14" i="8"/>
  <c r="E70" i="21" l="1"/>
  <c r="C52" i="21"/>
  <c r="E50" i="21"/>
  <c r="G11" i="21"/>
  <c r="E15" i="21"/>
  <c r="G49" i="21" l="1"/>
  <c r="G21" i="21" s="1"/>
  <c r="D27" i="1"/>
  <c r="E30" i="1" s="1"/>
  <c r="E9" i="1" s="1"/>
  <c r="E42" i="21"/>
  <c r="E43" i="21" s="1"/>
  <c r="E21" i="21"/>
  <c r="D26" i="2" s="1"/>
  <c r="C40" i="2" s="1"/>
  <c r="D40" i="2" s="1"/>
  <c r="E41" i="2" s="1"/>
  <c r="E13" i="2" s="1"/>
  <c r="G15" i="21"/>
  <c r="D32" i="3"/>
  <c r="E35" i="3" s="1"/>
  <c r="C11" i="21"/>
  <c r="C15" i="21" s="1"/>
  <c r="D31" i="4" l="1"/>
  <c r="E34" i="4" s="1"/>
  <c r="C21" i="21"/>
  <c r="G25" i="21"/>
  <c r="C42" i="1"/>
  <c r="E43" i="1" s="1"/>
  <c r="E13" i="1" s="1"/>
  <c r="E16" i="1" s="1"/>
  <c r="E18" i="1" s="1"/>
  <c r="E20" i="1" s="1"/>
  <c r="E22" i="1" s="1"/>
  <c r="C25" i="21"/>
  <c r="E9" i="2"/>
  <c r="E16" i="2" s="1"/>
  <c r="E18" i="2" s="1"/>
  <c r="E20" i="2" s="1"/>
  <c r="E22" i="2" s="1"/>
  <c r="E25" i="21"/>
  <c r="E11" i="4"/>
  <c r="C47" i="4"/>
  <c r="D48" i="4" s="1"/>
  <c r="E11" i="3"/>
  <c r="C48" i="3"/>
  <c r="D49" i="3" s="1"/>
  <c r="E50" i="3" l="1"/>
  <c r="E15" i="3" s="1"/>
  <c r="E17" i="3" s="1"/>
  <c r="E19" i="3" s="1"/>
  <c r="E21" i="3" s="1"/>
  <c r="E23" i="3" s="1"/>
  <c r="A50" i="3"/>
  <c r="A49" i="4"/>
  <c r="E49" i="4"/>
  <c r="E15" i="4" s="1"/>
  <c r="E17" i="4" s="1"/>
  <c r="E19" i="4" s="1"/>
  <c r="E21" i="4" s="1"/>
  <c r="E23" i="4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>
  <authors>
    <author>rzk7kq</author>
    <author>kznwdg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D22" authorId="1" shapeId="0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<sst xmlns="http://schemas.openxmlformats.org/spreadsheetml/2006/main" count="348" uniqueCount="165">
  <si>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</si>
  <si>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</si>
  <si>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</si>
  <si>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</si>
  <si>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</si>
  <si>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</si>
  <si>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</si>
  <si>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</si>
  <si>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</si>
  <si>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</si>
  <si>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</si>
  <si>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</si>
  <si>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</si>
  <si>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</si>
  <si>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</si>
  <si>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</si>
  <si>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</si>
  <si>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</si>
  <si>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</si>
  <si>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</si>
  <si>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</si>
  <si>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</si>
  <si>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</si>
  <si>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</si>
  <si>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</si>
  <si>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</si>
  <si>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</si>
  <si>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</si>
  <si>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</si>
  <si>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</si>
  <si>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</si>
  <si>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</si>
  <si>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</si>
  <si>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</si>
  <si>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</si>
  <si>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</si>
  <si>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</si>
  <si>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</si>
  <si>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</si>
  <si>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</si>
  <si>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</si>
  <si>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</si>
  <si>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</si>
  <si>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</si>
  <si>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</si>
  <si>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</si>
  <si>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</si>
  <si>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</si>
  <si>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</si>
  <si>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</si>
  <si>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</si>
  <si>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</si>
  <si>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</si>
  <si>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</si>
  <si>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</si>
  <si>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</si>
  <si>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</si>
  <si>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</si>
  <si>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</si>
  <si>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</si>
  <si>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</si>
  <si>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</si>
  <si>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</si>
  <si>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</si>
  <si>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</si>
  <si>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</si>
  <si>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</si>
  <si>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</si>
  <si>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</si>
  <si>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</si>
  <si>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</si>
  <si>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</si>
  <si>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</si>
  <si>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</si>
  <si>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</si>
  <si>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</si>
  <si>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</si>
  <si>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</si>
  <si>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</si>
  <si>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</si>
  <si>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</si>
  <si>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</si>
  <si>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</si>
  <si>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</si>
  <si>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</si>
  <si>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</si>
  <si>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</si>
  <si>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</si>
  <si>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</si>
  <si>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</si>
  <si>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</si>
  <si>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</si>
  <si>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</si>
  <si>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</si>
  <si>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</si>
  <si>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>ED</t>
  </si>
  <si>
    <t>GD</t>
  </si>
  <si>
    <t>OR</t>
  </si>
  <si>
    <t>Shared Inputs</t>
  </si>
  <si>
    <t>Idaho Share of System Revenues</t>
  </si>
  <si>
    <t>Total</t>
  </si>
  <si>
    <t>Idaho Share of System Net Income</t>
  </si>
  <si>
    <t>Idaho Effective Tax Rate</t>
  </si>
  <si>
    <t>(2) IPUC fees rate per Regulatory Fee Calculation; Assessment rate is .002275  ID, Order No. 33741; dated 04/21/2017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</si>
  <si>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</si>
  <si>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</si>
  <si>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</si>
  <si>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</si>
  <si>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</si>
  <si>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</si>
  <si>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</si>
  <si>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</si>
  <si>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</si>
  <si>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</si>
  <si>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</si>
  <si>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</si>
  <si>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</si>
  <si>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</si>
  <si>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</si>
  <si>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</si>
  <si>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</si>
  <si>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</si>
  <si>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</si>
  <si>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</si>
  <si>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</si>
  <si>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Reinstatements WA</t>
  </si>
  <si>
    <t>Recoveries WA</t>
  </si>
  <si>
    <t>Idaho</t>
  </si>
  <si>
    <t>Write-Offs ID</t>
  </si>
  <si>
    <t>Reinstatements ID</t>
  </si>
  <si>
    <t>Recoveries ID</t>
  </si>
  <si>
    <t>check</t>
  </si>
  <si>
    <t>ACTUAL</t>
  </si>
  <si>
    <t>ACCRUAL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</si>
  <si>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</si>
  <si>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</si>
  <si>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</si>
  <si>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</si>
  <si>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</si>
  <si>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</si>
  <si>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</si>
  <si>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</si>
  <si>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</si>
  <si>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</si>
  <si>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</si>
  <si>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(note:  Even though write-offs are recorded as WA electric and gas and ID electric and gas, this allocation can not be used.</t>
  </si>
  <si>
    <t>Per duscussion with Tami Judge and Karen Doran, the customer service reps can not distinquish which service is being written off for combined electric and gas customers.</t>
  </si>
  <si>
    <t>Therefore, the write-offs for each state will be combined and allocated to service using sales, as has been done for years (prior to the new CC&amp;B system.)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</si>
  <si>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</si>
  <si>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</si>
  <si>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</si>
  <si>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</si>
  <si>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</si>
  <si>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</si>
  <si>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</si>
  <si>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</si>
  <si>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</si>
  <si>
    <t xml:space="preserve">No Change in Rate </t>
  </si>
  <si>
    <t>(2) WUTC fees rate per Regulatory Fee Calculation Schedule, Annual Report Year 2017 (Order No. A 140166) dated 04/06/2018</t>
  </si>
  <si>
    <t xml:space="preserve">     *** From 2017 Form 42 - Idaho Corporation Income Tax (unaudited)</t>
  </si>
  <si>
    <t>Idaho Apportionment Rate from 2017 ID State Return</t>
  </si>
  <si>
    <t>Allocation Note 2:  Customers</t>
  </si>
  <si>
    <t>Allocation Note 2: Customers</t>
  </si>
  <si>
    <t>TWELVE MONTHS ENDED DECEMBER 31, 2019</t>
  </si>
  <si>
    <t>JAA 03/11/19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</si>
</sst>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00"/>
    <numFmt numFmtId="165" formatCode="#,##0.00000_);\(#,##0.00000\)"/>
    <numFmt numFmtId="166" formatCode="#,##0\ ;\(#,##0\)"/>
    <numFmt numFmtId="167" formatCode="0.000%"/>
    <numFmt numFmtId="168" formatCode="#,##0.00\ ;\(#,##0.00\)"/>
    <numFmt numFmtId="169" formatCode="_(* #,##0.000000_);_(* \(#,##0.000000\);_(* &quot;-&quot;??_);_(@_)"/>
    <numFmt numFmtId="170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68" fontId="5" fillId="0" borderId="0" xfId="5" applyNumberFormat="1" applyFont="1"/>
    <xf numFmtId="168" fontId="2" fillId="0" borderId="0" xfId="5" applyNumberFormat="1" applyFont="1"/>
    <xf numFmtId="168" fontId="6" fillId="0" borderId="0" xfId="5" applyNumberFormat="1" applyFont="1" applyBorder="1" applyAlignment="1">
      <alignment horizontal="center"/>
    </xf>
    <xf numFmtId="168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0" fontId="17" fillId="0" borderId="0" xfId="0" applyFont="1" applyFill="1"/>
    <xf numFmtId="168" fontId="2" fillId="0" borderId="0" xfId="5" applyNumberFormat="1" applyFont="1" applyFill="1"/>
    <xf numFmtId="168" fontId="17" fillId="0" borderId="0" xfId="5" applyNumberFormat="1" applyFont="1"/>
    <xf numFmtId="0" fontId="17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8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0" fontId="18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7" fillId="0" borderId="0" xfId="5" applyNumberFormat="1" applyFont="1"/>
    <xf numFmtId="167" fontId="19" fillId="0" borderId="0" xfId="6" applyNumberFormat="1" applyFont="1" applyBorder="1"/>
    <xf numFmtId="167" fontId="19" fillId="0" borderId="0" xfId="6" applyNumberFormat="1" applyFont="1"/>
    <xf numFmtId="0" fontId="2" fillId="0" borderId="0" xfId="5" applyFont="1"/>
    <xf numFmtId="168" fontId="2" fillId="0" borderId="5" xfId="5" applyNumberFormat="1" applyFont="1" applyBorder="1" applyAlignment="1">
      <alignment horizontal="center"/>
    </xf>
    <xf numFmtId="168" fontId="2" fillId="0" borderId="6" xfId="5" applyNumberFormat="1" applyFont="1" applyBorder="1" applyAlignment="1">
      <alignment horizontal="center"/>
    </xf>
    <xf numFmtId="168" fontId="2" fillId="0" borderId="7" xfId="5" applyNumberFormat="1" applyFont="1" applyBorder="1" applyAlignment="1">
      <alignment horizontal="center"/>
    </xf>
    <xf numFmtId="167" fontId="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37" fontId="2" fillId="0" borderId="0" xfId="5" applyNumberFormat="1" applyFont="1" applyFill="1" applyBorder="1"/>
    <xf numFmtId="167" fontId="20" fillId="0" borderId="0" xfId="5" applyNumberFormat="1" applyFont="1" applyAlignment="1">
      <alignment horizontal="center"/>
    </xf>
    <xf numFmtId="167" fontId="20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68" fontId="6" fillId="0" borderId="0" xfId="5" applyNumberFormat="1" applyFont="1" applyAlignment="1">
      <alignment horizontal="center"/>
    </xf>
    <xf numFmtId="168" fontId="6" fillId="0" borderId="0" xfId="5" applyNumberFormat="1" applyFont="1" applyAlignment="1">
      <alignment horizontal="right"/>
    </xf>
    <xf numFmtId="168" fontId="6" fillId="0" borderId="0" xfId="5" applyNumberFormat="1" applyFont="1"/>
    <xf numFmtId="166" fontId="2" fillId="0" borderId="0" xfId="5" applyNumberFormat="1" applyFont="1" applyAlignment="1">
      <alignment horizontal="center"/>
    </xf>
    <xf numFmtId="166" fontId="2" fillId="0" borderId="0" xfId="1" applyNumberFormat="1" applyFont="1" applyFill="1"/>
    <xf numFmtId="0" fontId="21" fillId="0" borderId="0" xfId="0" applyFont="1"/>
    <xf numFmtId="166" fontId="2" fillId="0" borderId="0" xfId="5" applyNumberFormat="1" applyFont="1" applyFill="1"/>
    <xf numFmtId="166" fontId="2" fillId="0" borderId="3" xfId="5" applyNumberFormat="1" applyFont="1" applyBorder="1"/>
    <xf numFmtId="166" fontId="2" fillId="0" borderId="0" xfId="5" applyNumberFormat="1" applyFont="1"/>
    <xf numFmtId="0" fontId="11" fillId="0" borderId="0" xfId="0" applyFont="1"/>
    <xf numFmtId="0" fontId="24" fillId="0" borderId="0" xfId="0" applyFont="1" applyAlignment="1">
      <alignment horizontal="center"/>
    </xf>
    <xf numFmtId="170" fontId="0" fillId="0" borderId="0" xfId="1" applyNumberFormat="1" applyFont="1"/>
    <xf numFmtId="170" fontId="0" fillId="0" borderId="12" xfId="0" applyNumberFormat="1" applyBorder="1"/>
    <xf numFmtId="0" fontId="18" fillId="0" borderId="0" xfId="5" applyFont="1" applyBorder="1" applyAlignment="1">
      <alignment horizontal="center"/>
    </xf>
    <xf numFmtId="17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0" fontId="1" fillId="0" borderId="0" xfId="0" applyNumberFormat="1" applyFont="1"/>
    <xf numFmtId="0" fontId="24" fillId="0" borderId="0" xfId="0" applyFont="1"/>
    <xf numFmtId="1" fontId="24" fillId="0" borderId="0" xfId="0" applyNumberFormat="1" applyFont="1" applyAlignment="1">
      <alignment horizontal="center"/>
    </xf>
    <xf numFmtId="37" fontId="19" fillId="0" borderId="0" xfId="0" applyNumberFormat="1" applyFont="1"/>
    <xf numFmtId="0" fontId="0" fillId="0" borderId="0" xfId="0" applyAlignment="1">
      <alignment shrinkToFit="1"/>
    </xf>
    <xf numFmtId="170" fontId="0" fillId="0" borderId="0" xfId="1" applyNumberFormat="1" applyFont="1" applyFill="1"/>
    <xf numFmtId="164" fontId="12" fillId="0" borderId="0" xfId="0" applyNumberFormat="1" applyFont="1" applyFill="1"/>
    <xf numFmtId="37" fontId="25" fillId="0" borderId="0" xfId="1" applyNumberFormat="1" applyFont="1" applyFill="1"/>
    <xf numFmtId="37" fontId="25" fillId="0" borderId="0" xfId="0" applyNumberFormat="1" applyFont="1" applyFill="1"/>
    <xf numFmtId="37" fontId="25" fillId="0" borderId="13" xfId="0" applyNumberFormat="1" applyFont="1" applyBorder="1" applyAlignment="1">
      <alignment horizontal="right" vertical="top"/>
    </xf>
    <xf numFmtId="37" fontId="25" fillId="0" borderId="0" xfId="0" applyNumberFormat="1" applyFont="1"/>
    <xf numFmtId="37" fontId="25" fillId="0" borderId="16" xfId="0" applyNumberFormat="1" applyFont="1" applyBorder="1" applyAlignment="1">
      <alignment horizontal="right" vertical="top"/>
    </xf>
    <xf numFmtId="37" fontId="25" fillId="0" borderId="15" xfId="0" applyNumberFormat="1" applyFont="1" applyBorder="1" applyAlignment="1">
      <alignment horizontal="right" vertical="top"/>
    </xf>
    <xf numFmtId="37" fontId="25" fillId="0" borderId="2" xfId="0" applyNumberFormat="1" applyFont="1" applyBorder="1"/>
    <xf numFmtId="37" fontId="25" fillId="0" borderId="2" xfId="0" applyNumberFormat="1" applyFont="1" applyFill="1" applyBorder="1"/>
    <xf numFmtId="37" fontId="25" fillId="0" borderId="14" xfId="1" applyNumberFormat="1" applyFont="1" applyBorder="1"/>
    <xf numFmtId="37" fontId="25" fillId="0" borderId="0" xfId="1" applyNumberFormat="1" applyFont="1"/>
    <xf numFmtId="37" fontId="25" fillId="0" borderId="12" xfId="1" applyNumberFormat="1" applyFont="1" applyBorder="1"/>
    <xf numFmtId="37" fontId="25" fillId="0" borderId="2" xfId="1" applyNumberFormat="1" applyFont="1" applyFill="1" applyBorder="1"/>
    <xf numFmtId="37" fontId="25" fillId="0" borderId="2" xfId="1" applyNumberFormat="1" applyFont="1" applyBorder="1"/>
    <xf numFmtId="167" fontId="19" fillId="0" borderId="0" xfId="6" applyNumberFormat="1" applyFont="1" applyFill="1" applyBorder="1"/>
    <xf numFmtId="37" fontId="17" fillId="0" borderId="2" xfId="5" applyNumberFormat="1" applyFont="1" applyFill="1" applyBorder="1"/>
    <xf numFmtId="169" fontId="12" fillId="0" borderId="0" xfId="1" applyNumberFormat="1" applyFont="1" applyFill="1"/>
    <xf numFmtId="164" fontId="2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168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2" borderId="0" xfId="0" applyNumberFormat="1" applyFont="1" applyFill="1" applyAlignment="1">
      <alignment horizontal="left" wrapText="1"/>
    </xf>
    <xf numFmtId="164" fontId="26" fillId="0" borderId="0" xfId="0" applyNumberFormat="1" applyFont="1" applyFill="1"/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Normal_uncollectcalc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workbookViewId="0">
      <selection activeCell="C42" sqref="C42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9.7109375" style="2" customWidth="1"/>
    <col min="4" max="4" width="15.140625" style="2" customWidth="1"/>
    <col min="5" max="5" width="12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">
      <c r="A2" s="22" t="s">
        <v>78</v>
      </c>
      <c r="B2" s="22"/>
      <c r="C2" s="22"/>
      <c r="D2" s="22"/>
      <c r="E2" s="25"/>
      <c r="F2" s="22"/>
    </row>
    <row r="3" spans="1:11" s="24" customFormat="1" x14ac:dyDescent="0.2">
      <c r="A3" s="22" t="str">
        <f>SharedInputs!B2</f>
        <v>TWELVE MONTHS ENDED DECEMBER 31, 2019</v>
      </c>
      <c r="B3" s="22"/>
      <c r="C3" s="22"/>
      <c r="D3" s="22"/>
      <c r="E3" s="22"/>
      <c r="F3" s="22"/>
    </row>
    <row r="4" spans="1:11" x14ac:dyDescent="0.2">
      <c r="A4" s="1"/>
      <c r="B4" s="1"/>
      <c r="C4" s="1"/>
      <c r="E4" s="1"/>
      <c r="F4" s="1"/>
    </row>
    <row r="5" spans="1:11" x14ac:dyDescent="0.2">
      <c r="A5" s="1" t="s">
        <v>0</v>
      </c>
      <c r="B5" s="1"/>
      <c r="C5" s="1"/>
      <c r="E5" s="1">
        <v>1</v>
      </c>
      <c r="F5" s="1"/>
    </row>
    <row r="6" spans="1:11" x14ac:dyDescent="0.2">
      <c r="A6" s="1"/>
      <c r="B6" s="1"/>
      <c r="C6" s="1"/>
      <c r="E6" s="1"/>
      <c r="F6" s="1"/>
    </row>
    <row r="7" spans="1:11" x14ac:dyDescent="0.2">
      <c r="A7" s="1" t="s">
        <v>1</v>
      </c>
      <c r="B7" s="1"/>
      <c r="C7" s="1"/>
      <c r="E7" s="1"/>
      <c r="F7" s="1"/>
    </row>
    <row r="8" spans="1:11" x14ac:dyDescent="0.2">
      <c r="A8" s="1"/>
      <c r="B8" s="1"/>
      <c r="C8" s="1"/>
      <c r="E8" s="1"/>
      <c r="F8" s="1"/>
    </row>
    <row r="9" spans="1:11" x14ac:dyDescent="0.2">
      <c r="A9" s="1" t="s">
        <v>2</v>
      </c>
      <c r="B9" s="1"/>
      <c r="C9" s="1"/>
      <c r="E9" s="1">
        <f>E30</f>
        <v>2.996062889736461E-3</v>
      </c>
      <c r="F9" s="1"/>
    </row>
    <row r="10" spans="1:11" x14ac:dyDescent="0.2">
      <c r="A10" s="1"/>
      <c r="B10" s="1"/>
      <c r="C10" s="1"/>
      <c r="E10" s="1"/>
      <c r="F10" s="1"/>
    </row>
    <row r="11" spans="1:11" x14ac:dyDescent="0.2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">
      <c r="A12" s="1"/>
      <c r="B12" s="1"/>
      <c r="C12" s="1"/>
      <c r="E12" s="1"/>
      <c r="F12" s="1"/>
    </row>
    <row r="13" spans="1:11" x14ac:dyDescent="0.2">
      <c r="A13" s="1" t="s">
        <v>4</v>
      </c>
      <c r="B13" s="1"/>
      <c r="C13" s="1"/>
      <c r="E13" s="1">
        <f>E43</f>
        <v>3.8617950500028947E-2</v>
      </c>
      <c r="F13" s="1"/>
    </row>
    <row r="14" spans="1:11" x14ac:dyDescent="0.2">
      <c r="A14" s="1"/>
      <c r="B14" s="1"/>
      <c r="C14" s="1"/>
      <c r="E14" s="1"/>
      <c r="F14" s="1"/>
    </row>
    <row r="15" spans="1:11" x14ac:dyDescent="0.2">
      <c r="A15" s="1"/>
      <c r="B15" s="1"/>
      <c r="C15" s="1"/>
      <c r="E15" s="1"/>
    </row>
    <row r="16" spans="1:11" x14ac:dyDescent="0.2">
      <c r="A16" s="1" t="s">
        <v>5</v>
      </c>
      <c r="B16" s="1"/>
      <c r="C16" s="1"/>
      <c r="E16" s="3">
        <f>SUM(E8:E14)</f>
        <v>4.3614013389765408E-2</v>
      </c>
      <c r="F16" s="1"/>
      <c r="K16" s="47"/>
    </row>
    <row r="17" spans="1:6" x14ac:dyDescent="0.2">
      <c r="A17" s="1"/>
      <c r="B17" s="1"/>
      <c r="C17" s="1"/>
      <c r="E17" s="1"/>
    </row>
    <row r="18" spans="1:6" x14ac:dyDescent="0.2">
      <c r="A18" s="1" t="s">
        <v>6</v>
      </c>
      <c r="B18" s="1"/>
      <c r="C18" s="1"/>
      <c r="E18" s="1">
        <f>E5-E16</f>
        <v>0.95638598661023455</v>
      </c>
      <c r="F18" s="1"/>
    </row>
    <row r="19" spans="1:6" x14ac:dyDescent="0.2">
      <c r="A19" s="1"/>
      <c r="B19" s="1"/>
      <c r="C19" s="1"/>
      <c r="E19" s="1"/>
      <c r="F19" s="1"/>
    </row>
    <row r="20" spans="1:6" x14ac:dyDescent="0.2">
      <c r="A20" s="1" t="s">
        <v>7</v>
      </c>
      <c r="B20" s="4">
        <f>SharedInputs!B10</f>
        <v>0.21</v>
      </c>
      <c r="C20" s="60" t="s">
        <v>98</v>
      </c>
      <c r="E20" s="1">
        <f>E18*$B$20</f>
        <v>0.20084105718814924</v>
      </c>
      <c r="F20" s="1"/>
    </row>
    <row r="21" spans="1:6" x14ac:dyDescent="0.2">
      <c r="A21" s="1"/>
      <c r="B21" s="1"/>
      <c r="C21" s="1"/>
      <c r="E21" s="1"/>
      <c r="F21" s="1"/>
    </row>
    <row r="22" spans="1:6" x14ac:dyDescent="0.2">
      <c r="A22" s="1" t="s">
        <v>8</v>
      </c>
      <c r="B22" s="1"/>
      <c r="C22" s="1"/>
      <c r="E22" s="3">
        <f>E18-E20</f>
        <v>0.75554492942208529</v>
      </c>
      <c r="F22" s="1"/>
    </row>
    <row r="23" spans="1:6" x14ac:dyDescent="0.2">
      <c r="A23" s="1"/>
      <c r="B23" s="1"/>
      <c r="C23" s="1"/>
      <c r="E23" s="1"/>
      <c r="F23" s="1"/>
    </row>
    <row r="24" spans="1:6" x14ac:dyDescent="0.2">
      <c r="A24" s="1"/>
      <c r="B24" s="1"/>
      <c r="C24" s="1"/>
      <c r="E24" s="1"/>
      <c r="F24" s="1"/>
    </row>
    <row r="25" spans="1:6" x14ac:dyDescent="0.2">
      <c r="A25" s="1" t="s">
        <v>9</v>
      </c>
      <c r="B25" s="1"/>
      <c r="C25" s="1"/>
      <c r="E25" s="1"/>
      <c r="F25" s="1"/>
    </row>
    <row r="26" spans="1:6" x14ac:dyDescent="0.2">
      <c r="A26" s="1" t="s">
        <v>10</v>
      </c>
      <c r="B26" s="1"/>
      <c r="C26" s="1"/>
      <c r="E26" s="1"/>
      <c r="F26" s="1"/>
    </row>
    <row r="27" spans="1:6" x14ac:dyDescent="0.2">
      <c r="A27" s="1" t="s">
        <v>11</v>
      </c>
      <c r="B27" s="1"/>
      <c r="C27" s="58" t="s">
        <v>94</v>
      </c>
      <c r="D27" s="17">
        <f>'C-UE-1'!E11</f>
        <v>1641174</v>
      </c>
      <c r="E27" s="5"/>
      <c r="F27" s="1"/>
    </row>
    <row r="28" spans="1:6" x14ac:dyDescent="0.2">
      <c r="A28" s="1" t="s">
        <v>12</v>
      </c>
      <c r="B28" s="1"/>
      <c r="C28" s="1"/>
      <c r="D28" s="17"/>
      <c r="E28" s="5"/>
      <c r="F28" s="1"/>
    </row>
    <row r="29" spans="1:6" x14ac:dyDescent="0.2">
      <c r="A29" s="1" t="s">
        <v>13</v>
      </c>
      <c r="B29" s="1"/>
      <c r="C29" s="58" t="s">
        <v>98</v>
      </c>
      <c r="D29" s="59">
        <f>SharedInputs!B13</f>
        <v>547776886</v>
      </c>
      <c r="E29" s="5"/>
      <c r="F29" s="1"/>
    </row>
    <row r="30" spans="1:6" x14ac:dyDescent="0.2">
      <c r="A30" s="1" t="s">
        <v>14</v>
      </c>
      <c r="B30" s="1"/>
      <c r="C30" s="1"/>
      <c r="E30" s="3">
        <f>D27/D29</f>
        <v>2.996062889736461E-3</v>
      </c>
      <c r="F30" s="1"/>
    </row>
    <row r="31" spans="1:6" x14ac:dyDescent="0.2">
      <c r="A31" s="1" t="s">
        <v>15</v>
      </c>
      <c r="B31" s="1"/>
      <c r="C31" s="1"/>
      <c r="E31" s="1"/>
      <c r="F31" s="1"/>
    </row>
    <row r="32" spans="1:6" x14ac:dyDescent="0.2">
      <c r="A32" s="1" t="s">
        <v>16</v>
      </c>
      <c r="B32" s="1"/>
      <c r="E32" s="1"/>
      <c r="F32" s="1"/>
    </row>
    <row r="33" spans="1:6" x14ac:dyDescent="0.2">
      <c r="A33" s="1"/>
      <c r="B33" s="1"/>
      <c r="C33" s="1"/>
      <c r="E33" s="1"/>
      <c r="F33" s="1"/>
    </row>
    <row r="34" spans="1:6" s="38" customFormat="1" ht="24" customHeight="1" x14ac:dyDescent="0.2">
      <c r="A34" s="126" t="str">
        <f>SharedInputs!C7</f>
        <v>(2) WUTC fees rate per Regulatory Fee Calculation Schedule, Annual Report Year 2017 (Order No. A 140166) dated 04/06/2018</v>
      </c>
      <c r="B34" s="126"/>
      <c r="C34" s="126"/>
      <c r="D34" s="126"/>
      <c r="E34" s="126"/>
      <c r="F34" s="50"/>
    </row>
    <row r="35" spans="1:6" x14ac:dyDescent="0.2">
      <c r="A35" s="1"/>
      <c r="B35" s="1"/>
      <c r="C35" s="1"/>
      <c r="E35" s="1"/>
      <c r="F35" s="1"/>
    </row>
    <row r="36" spans="1:6" x14ac:dyDescent="0.2">
      <c r="A36" s="1" t="s">
        <v>17</v>
      </c>
      <c r="B36" s="1"/>
      <c r="C36" s="1"/>
      <c r="E36" s="1"/>
      <c r="F36" s="1"/>
    </row>
    <row r="37" spans="1:6" x14ac:dyDescent="0.2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">
      <c r="A38" s="1" t="s">
        <v>19</v>
      </c>
      <c r="B38" s="1"/>
      <c r="C38" s="1"/>
      <c r="D38" s="1"/>
      <c r="E38" s="1"/>
      <c r="F38" s="1"/>
    </row>
    <row r="39" spans="1:6" x14ac:dyDescent="0.2">
      <c r="A39" s="1" t="s">
        <v>20</v>
      </c>
      <c r="B39" s="1"/>
      <c r="C39" s="1"/>
      <c r="D39" s="1"/>
      <c r="E39" s="1"/>
      <c r="F39" s="1"/>
    </row>
    <row r="40" spans="1:6" x14ac:dyDescent="0.2">
      <c r="A40" s="1" t="s">
        <v>21</v>
      </c>
      <c r="C40" s="1">
        <v>1</v>
      </c>
      <c r="D40" s="1"/>
      <c r="E40" s="1"/>
      <c r="F40" s="1"/>
    </row>
    <row r="41" spans="1:6" x14ac:dyDescent="0.2">
      <c r="A41" s="1" t="s">
        <v>22</v>
      </c>
      <c r="C41" s="1"/>
      <c r="D41" s="1"/>
      <c r="E41" s="1"/>
      <c r="F41" s="1"/>
    </row>
    <row r="42" spans="1:6" x14ac:dyDescent="0.2">
      <c r="A42" s="1" t="s">
        <v>23</v>
      </c>
      <c r="C42" s="6">
        <f>E30</f>
        <v>2.996062889736461E-3</v>
      </c>
      <c r="D42" s="6">
        <f>C40-C42</f>
        <v>0.99700393711026358</v>
      </c>
      <c r="E42" s="6"/>
      <c r="F42" s="1"/>
    </row>
    <row r="43" spans="1:6" x14ac:dyDescent="0.2">
      <c r="A43" s="1" t="s">
        <v>24</v>
      </c>
      <c r="B43" s="1"/>
      <c r="C43" s="1"/>
      <c r="D43" s="1"/>
      <c r="E43" s="6">
        <f>D37*D42</f>
        <v>3.8617950500028947E-2</v>
      </c>
      <c r="F43" s="1"/>
    </row>
    <row r="44" spans="1:6" x14ac:dyDescent="0.2">
      <c r="A44" s="1" t="s">
        <v>25</v>
      </c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workbookViewId="0">
      <selection activeCell="E30" sqref="E30"/>
    </sheetView>
  </sheetViews>
  <sheetFormatPr defaultColWidth="9.140625" defaultRowHeight="12.75" x14ac:dyDescent="0.2"/>
  <cols>
    <col min="1" max="1" width="30.85546875" style="2" customWidth="1"/>
    <col min="2" max="3" width="9.140625" style="2" customWidth="1"/>
    <col min="4" max="4" width="16.5703125" style="2" customWidth="1"/>
    <col min="5" max="5" width="16.140625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">
      <c r="A2" s="22" t="s">
        <v>79</v>
      </c>
      <c r="B2" s="22"/>
      <c r="C2" s="22"/>
      <c r="E2" s="25"/>
    </row>
    <row r="3" spans="1:11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</row>
    <row r="4" spans="1:11" x14ac:dyDescent="0.2">
      <c r="A4" s="1"/>
      <c r="B4" s="1"/>
      <c r="C4" s="1"/>
      <c r="D4" s="1"/>
      <c r="E4" s="1"/>
    </row>
    <row r="5" spans="1:11" x14ac:dyDescent="0.2">
      <c r="A5" s="1" t="s">
        <v>26</v>
      </c>
      <c r="B5" s="1"/>
      <c r="C5" s="1"/>
      <c r="D5" s="1"/>
      <c r="E5" s="1">
        <v>1</v>
      </c>
    </row>
    <row r="6" spans="1:11" x14ac:dyDescent="0.2">
      <c r="A6" s="1"/>
      <c r="B6" s="1"/>
      <c r="C6" s="1"/>
      <c r="D6" s="1"/>
      <c r="E6" s="1"/>
    </row>
    <row r="7" spans="1:11" x14ac:dyDescent="0.2">
      <c r="A7" s="1" t="s">
        <v>1</v>
      </c>
      <c r="B7" s="1"/>
      <c r="C7" s="1"/>
      <c r="D7" s="1"/>
      <c r="E7" s="1"/>
    </row>
    <row r="8" spans="1:11" x14ac:dyDescent="0.2">
      <c r="A8" s="1"/>
      <c r="B8" s="1"/>
      <c r="C8" s="1"/>
      <c r="D8" s="1"/>
      <c r="E8" s="1"/>
    </row>
    <row r="9" spans="1:11" x14ac:dyDescent="0.2">
      <c r="A9" s="1" t="s">
        <v>2</v>
      </c>
      <c r="B9" s="1"/>
      <c r="C9" s="1"/>
      <c r="D9" s="1"/>
      <c r="E9" s="1">
        <f>E29</f>
        <v>2.9958510435937236E-3</v>
      </c>
    </row>
    <row r="10" spans="1:11" x14ac:dyDescent="0.2">
      <c r="A10" s="1"/>
      <c r="B10" s="1"/>
      <c r="C10" s="1"/>
      <c r="D10" s="1"/>
      <c r="E10" s="1"/>
    </row>
    <row r="11" spans="1:11" x14ac:dyDescent="0.2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">
      <c r="A12" s="1"/>
      <c r="B12" s="1"/>
      <c r="C12" s="1"/>
      <c r="D12" s="1"/>
      <c r="E12" s="1"/>
    </row>
    <row r="13" spans="1:11" x14ac:dyDescent="0.2">
      <c r="A13" s="1" t="s">
        <v>4</v>
      </c>
      <c r="B13" s="1"/>
      <c r="C13" s="1"/>
      <c r="D13" s="1"/>
      <c r="E13" s="1">
        <f>E41</f>
        <v>3.8404599817800769E-2</v>
      </c>
    </row>
    <row r="14" spans="1:11" x14ac:dyDescent="0.2">
      <c r="A14" s="1"/>
      <c r="B14" s="1"/>
      <c r="C14" s="1"/>
      <c r="D14" s="1"/>
      <c r="E14" s="1"/>
    </row>
    <row r="15" spans="1:11" x14ac:dyDescent="0.2">
      <c r="A15" s="1"/>
      <c r="B15" s="1"/>
      <c r="C15" s="1"/>
      <c r="D15" s="1"/>
    </row>
    <row r="16" spans="1:11" x14ac:dyDescent="0.2">
      <c r="A16" s="1" t="s">
        <v>5</v>
      </c>
      <c r="B16" s="1"/>
      <c r="C16" s="1"/>
      <c r="D16" s="1"/>
      <c r="E16" s="3">
        <f>SUM(E8:E14)</f>
        <v>4.3400450861394491E-2</v>
      </c>
      <c r="K16" s="47"/>
    </row>
    <row r="17" spans="1:5" x14ac:dyDescent="0.2">
      <c r="A17" s="1"/>
      <c r="B17" s="1"/>
      <c r="C17" s="1"/>
      <c r="D17" s="1"/>
      <c r="E17" s="1"/>
    </row>
    <row r="18" spans="1:5" x14ac:dyDescent="0.2">
      <c r="A18" s="1" t="s">
        <v>6</v>
      </c>
      <c r="C18" s="1"/>
      <c r="D18" s="1"/>
      <c r="E18" s="1">
        <f>E5-E16</f>
        <v>0.95659954913860545</v>
      </c>
    </row>
    <row r="19" spans="1:5" x14ac:dyDescent="0.2">
      <c r="A19" s="1"/>
      <c r="B19" s="1"/>
      <c r="C19" s="1"/>
      <c r="D19" s="1"/>
      <c r="E19" s="1"/>
    </row>
    <row r="20" spans="1:5" x14ac:dyDescent="0.2">
      <c r="A20" s="1" t="s">
        <v>7</v>
      </c>
      <c r="B20" s="19">
        <f>SharedInputs!B10</f>
        <v>0.21</v>
      </c>
      <c r="C20" s="60" t="s">
        <v>98</v>
      </c>
      <c r="D20" s="1"/>
      <c r="E20" s="1">
        <f>E18*$B$20</f>
        <v>0.20088590531910713</v>
      </c>
    </row>
    <row r="21" spans="1:5" x14ac:dyDescent="0.2">
      <c r="A21" s="1"/>
      <c r="B21" s="1"/>
      <c r="C21" s="1"/>
      <c r="E21" s="1"/>
    </row>
    <row r="22" spans="1:5" x14ac:dyDescent="0.2">
      <c r="A22" s="1" t="s">
        <v>8</v>
      </c>
      <c r="B22" s="1"/>
      <c r="C22" s="1"/>
      <c r="E22" s="3">
        <f>E18-E20</f>
        <v>0.75571364381949835</v>
      </c>
    </row>
    <row r="23" spans="1:5" x14ac:dyDescent="0.2">
      <c r="A23" s="1"/>
      <c r="B23" s="1"/>
      <c r="C23" s="1"/>
      <c r="E23" s="1"/>
    </row>
    <row r="24" spans="1:5" x14ac:dyDescent="0.2">
      <c r="A24" s="1" t="s">
        <v>9</v>
      </c>
      <c r="B24" s="1"/>
      <c r="C24" s="1"/>
      <c r="E24" s="1"/>
    </row>
    <row r="25" spans="1:5" x14ac:dyDescent="0.2">
      <c r="A25" s="1" t="s">
        <v>28</v>
      </c>
      <c r="B25" s="1"/>
      <c r="C25" s="1"/>
      <c r="E25" s="1"/>
    </row>
    <row r="26" spans="1:5" x14ac:dyDescent="0.2">
      <c r="A26" s="1" t="s">
        <v>11</v>
      </c>
      <c r="B26" s="1"/>
      <c r="C26" s="58" t="s">
        <v>94</v>
      </c>
      <c r="D26" s="17">
        <f>'C-UE-1'!E21</f>
        <v>442592</v>
      </c>
      <c r="E26" s="1"/>
    </row>
    <row r="27" spans="1:5" x14ac:dyDescent="0.2">
      <c r="A27" s="1" t="s">
        <v>12</v>
      </c>
      <c r="B27" s="1"/>
      <c r="C27" s="1"/>
      <c r="D27" s="20"/>
      <c r="E27" s="1"/>
    </row>
    <row r="28" spans="1:5" x14ac:dyDescent="0.2">
      <c r="A28" s="1" t="s">
        <v>29</v>
      </c>
      <c r="B28" s="1"/>
      <c r="C28" s="58" t="s">
        <v>98</v>
      </c>
      <c r="D28" s="59">
        <f>SharedInputs!C13</f>
        <v>147734982</v>
      </c>
      <c r="E28" s="1"/>
    </row>
    <row r="29" spans="1:5" x14ac:dyDescent="0.2">
      <c r="A29" s="1" t="s">
        <v>14</v>
      </c>
      <c r="B29" s="1"/>
      <c r="C29" s="1"/>
      <c r="E29" s="3">
        <f>D26/D28</f>
        <v>2.9958510435937236E-3</v>
      </c>
    </row>
    <row r="30" spans="1:5" x14ac:dyDescent="0.2">
      <c r="A30" s="1" t="s">
        <v>30</v>
      </c>
      <c r="B30" s="1"/>
      <c r="C30" s="1"/>
      <c r="E30" s="1"/>
    </row>
    <row r="31" spans="1:5" x14ac:dyDescent="0.2">
      <c r="A31" s="1" t="s">
        <v>31</v>
      </c>
      <c r="B31" s="1"/>
      <c r="C31" s="1"/>
      <c r="E31" s="1"/>
    </row>
    <row r="32" spans="1:5" x14ac:dyDescent="0.2">
      <c r="A32" s="1"/>
      <c r="B32" s="1"/>
      <c r="E32" s="1"/>
    </row>
    <row r="33" spans="1:5" s="38" customFormat="1" x14ac:dyDescent="0.2">
      <c r="A33" s="126" t="str">
        <f>SharedInputs!C7</f>
        <v>(2) WUTC fees rate per Regulatory Fee Calculation Schedule, Annual Report Year 2017 (Order No. A 140166) dated 04/06/2018</v>
      </c>
      <c r="B33" s="126"/>
      <c r="C33" s="126"/>
      <c r="D33" s="126"/>
      <c r="E33" s="126"/>
    </row>
    <row r="34" spans="1:5" x14ac:dyDescent="0.2">
      <c r="A34" s="1"/>
      <c r="B34" s="1"/>
      <c r="C34" s="1"/>
      <c r="E34" s="1"/>
    </row>
    <row r="35" spans="1:5" x14ac:dyDescent="0.2">
      <c r="A35" s="1" t="s">
        <v>32</v>
      </c>
      <c r="B35" s="1"/>
      <c r="C35" s="1"/>
      <c r="E35" s="1"/>
    </row>
    <row r="36" spans="1:5" x14ac:dyDescent="0.2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">
      <c r="A37" s="1" t="s">
        <v>19</v>
      </c>
      <c r="B37" s="1"/>
      <c r="C37" s="1"/>
      <c r="D37" s="1"/>
      <c r="E37" s="1"/>
    </row>
    <row r="38" spans="1:5" x14ac:dyDescent="0.2">
      <c r="A38" s="1" t="s">
        <v>20</v>
      </c>
      <c r="B38" s="1"/>
      <c r="C38" s="1"/>
      <c r="D38" s="1"/>
      <c r="E38" s="1"/>
    </row>
    <row r="39" spans="1:5" x14ac:dyDescent="0.2">
      <c r="A39" s="1" t="s">
        <v>21</v>
      </c>
      <c r="C39" s="1">
        <v>1</v>
      </c>
      <c r="D39" s="1"/>
      <c r="E39" s="1"/>
    </row>
    <row r="40" spans="1:5" x14ac:dyDescent="0.2">
      <c r="A40" s="1" t="s">
        <v>34</v>
      </c>
      <c r="C40" s="6">
        <f>E29</f>
        <v>2.9958510435937236E-3</v>
      </c>
      <c r="D40" s="6">
        <f>C39-C40</f>
        <v>0.99700414895640632</v>
      </c>
      <c r="E40" s="6"/>
    </row>
    <row r="41" spans="1:5" x14ac:dyDescent="0.2">
      <c r="A41" s="1" t="s">
        <v>24</v>
      </c>
      <c r="B41" s="1"/>
      <c r="C41" s="1"/>
      <c r="D41" s="1"/>
      <c r="E41" s="6">
        <f>D36*D40</f>
        <v>3.8404599817800769E-2</v>
      </c>
    </row>
    <row r="42" spans="1:5" x14ac:dyDescent="0.2">
      <c r="A42" s="1" t="s">
        <v>25</v>
      </c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2"/>
  <sheetViews>
    <sheetView workbookViewId="0"/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5.140625" style="2" customWidth="1"/>
    <col min="4" max="4" width="14.28515625" style="2" customWidth="1"/>
    <col min="5" max="5" width="10.57031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35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F5" s="1"/>
    </row>
    <row r="6" spans="1:6" x14ac:dyDescent="0.2">
      <c r="A6" s="1"/>
      <c r="B6" s="1"/>
      <c r="C6" s="1"/>
      <c r="E6" s="1"/>
      <c r="F6" s="1"/>
    </row>
    <row r="7" spans="1:6" x14ac:dyDescent="0.2">
      <c r="A7" s="1" t="s">
        <v>0</v>
      </c>
      <c r="B7" s="1"/>
      <c r="C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2</v>
      </c>
      <c r="B11" s="1"/>
      <c r="C11" s="1"/>
      <c r="E11" s="1">
        <f>ROUND(E35,6)</f>
        <v>-9.990000000000001E-4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3</v>
      </c>
      <c r="B13" s="1"/>
      <c r="C13" s="1"/>
      <c r="E13" s="18">
        <f>SharedInputs!B8</f>
        <v>2.529E-3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ROUND(E50,6)</f>
        <v>4.6976999999999998E-2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4.8506999999999995E-2</v>
      </c>
      <c r="F17" s="1"/>
      <c r="K17" s="47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0.95149300000000003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0.19981352999999999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0.75167947000000002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/>
      <c r="B29" s="1"/>
      <c r="C29" s="1"/>
      <c r="E29" s="1"/>
      <c r="F29" s="1"/>
    </row>
    <row r="30" spans="1:11" x14ac:dyDescent="0.2">
      <c r="A30" s="1" t="s">
        <v>9</v>
      </c>
      <c r="B30" s="1"/>
      <c r="C30" s="1"/>
      <c r="E30" s="1"/>
      <c r="F30" s="1"/>
    </row>
    <row r="31" spans="1:11" x14ac:dyDescent="0.2">
      <c r="A31" s="1" t="s">
        <v>10</v>
      </c>
      <c r="B31" s="1"/>
      <c r="C31" s="1"/>
      <c r="E31" s="1"/>
      <c r="F31" s="1"/>
    </row>
    <row r="32" spans="1:11" x14ac:dyDescent="0.2">
      <c r="A32" s="1" t="s">
        <v>11</v>
      </c>
      <c r="B32" s="1"/>
      <c r="C32" s="58" t="s">
        <v>94</v>
      </c>
      <c r="D32" s="20">
        <f>'C-UE-1'!G11</f>
        <v>-262179</v>
      </c>
      <c r="E32" s="5"/>
      <c r="F32" s="1"/>
    </row>
    <row r="33" spans="1:6" x14ac:dyDescent="0.2">
      <c r="A33" s="1" t="s">
        <v>12</v>
      </c>
      <c r="B33" s="1"/>
      <c r="C33" s="1"/>
      <c r="D33" s="20"/>
      <c r="E33" s="5"/>
      <c r="F33" s="1"/>
    </row>
    <row r="34" spans="1:6" x14ac:dyDescent="0.2">
      <c r="A34" s="1" t="s">
        <v>13</v>
      </c>
      <c r="B34" s="1"/>
      <c r="C34" s="58" t="s">
        <v>98</v>
      </c>
      <c r="D34" s="21">
        <f>SharedInputs!D13</f>
        <v>262394266</v>
      </c>
      <c r="E34" s="5"/>
      <c r="F34" s="1"/>
    </row>
    <row r="35" spans="1:6" x14ac:dyDescent="0.2">
      <c r="A35" s="1" t="s">
        <v>14</v>
      </c>
      <c r="B35" s="1"/>
      <c r="C35" s="1"/>
      <c r="D35" s="20"/>
      <c r="E35" s="3">
        <f>D32/D34</f>
        <v>-9.9917960859708722E-4</v>
      </c>
      <c r="F35" s="1"/>
    </row>
    <row r="36" spans="1:6" x14ac:dyDescent="0.2">
      <c r="A36" s="1" t="s">
        <v>15</v>
      </c>
      <c r="B36" s="1"/>
      <c r="C36" s="1"/>
      <c r="E36" s="1"/>
      <c r="F36" s="1"/>
    </row>
    <row r="37" spans="1:6" x14ac:dyDescent="0.2">
      <c r="A37" s="1" t="s">
        <v>37</v>
      </c>
      <c r="B37" s="1"/>
      <c r="C37" s="1"/>
      <c r="E37" s="1"/>
      <c r="F37" s="1"/>
    </row>
    <row r="38" spans="1:6" x14ac:dyDescent="0.2">
      <c r="A38" s="1"/>
      <c r="B38" s="1"/>
      <c r="C38" s="1"/>
      <c r="E38" s="1"/>
      <c r="F38" s="1"/>
    </row>
    <row r="39" spans="1:6" s="38" customFormat="1" ht="31.15" customHeight="1" x14ac:dyDescent="0.2">
      <c r="A39" s="127" t="str">
        <f>SharedInputs!C8</f>
        <v>(2) IPUC fees rate per Regulatory Fee Calculation; Assessment rate is .002275  ID, Order No. 33741; dated 04/21/2017</v>
      </c>
      <c r="B39" s="127"/>
      <c r="C39" s="127"/>
      <c r="D39" s="127"/>
      <c r="E39" s="127"/>
      <c r="F39" s="127"/>
    </row>
    <row r="40" spans="1:6" x14ac:dyDescent="0.2">
      <c r="A40" s="1"/>
      <c r="B40" s="1"/>
      <c r="C40" s="1"/>
      <c r="E40" s="1"/>
      <c r="F40" s="1"/>
    </row>
    <row r="41" spans="1:6" x14ac:dyDescent="0.2">
      <c r="A41" s="1" t="s">
        <v>38</v>
      </c>
      <c r="B41" s="1"/>
      <c r="C41" s="1"/>
      <c r="E41" s="1"/>
      <c r="F41" s="1"/>
    </row>
    <row r="42" spans="1:6" x14ac:dyDescent="0.2">
      <c r="A42" s="1" t="s">
        <v>39</v>
      </c>
      <c r="B42" s="1"/>
      <c r="C42" s="1"/>
      <c r="D42" s="18">
        <f>SharedInputs!D23</f>
        <v>0.19870499999999999</v>
      </c>
      <c r="E42" s="1"/>
      <c r="F42" s="1"/>
    </row>
    <row r="43" spans="1:6" x14ac:dyDescent="0.2">
      <c r="A43" s="1" t="s">
        <v>40</v>
      </c>
      <c r="B43" s="1"/>
      <c r="C43" s="1"/>
      <c r="D43" s="18"/>
      <c r="E43" s="1"/>
      <c r="F43" s="1"/>
    </row>
    <row r="44" spans="1:6" x14ac:dyDescent="0.2">
      <c r="A44" s="1" t="s">
        <v>41</v>
      </c>
      <c r="B44" s="1"/>
      <c r="C44" s="1"/>
      <c r="D44" s="18">
        <f>SharedInputs!D22</f>
        <v>6.9250000000000006E-2</v>
      </c>
      <c r="E44" s="1"/>
      <c r="F44" s="1"/>
    </row>
    <row r="45" spans="1:6" x14ac:dyDescent="0.2">
      <c r="A45" s="1" t="s">
        <v>42</v>
      </c>
      <c r="C45" s="1"/>
      <c r="D45" s="7">
        <f>D42*D44</f>
        <v>1.3760321250000001E-2</v>
      </c>
      <c r="E45" s="1"/>
      <c r="F45" s="1"/>
    </row>
    <row r="46" spans="1:6" x14ac:dyDescent="0.2">
      <c r="A46" s="63" t="s">
        <v>101</v>
      </c>
      <c r="B46" s="61"/>
      <c r="C46" s="63"/>
      <c r="D46" s="64">
        <f>SharedInputs!D24</f>
        <v>0.29246984121032882</v>
      </c>
      <c r="E46" s="1"/>
      <c r="F46" s="1"/>
    </row>
    <row r="47" spans="1:6" x14ac:dyDescent="0.2">
      <c r="A47" s="63" t="s">
        <v>102</v>
      </c>
      <c r="C47" s="1"/>
      <c r="D47" s="7">
        <f>D45/D46</f>
        <v>4.7048684380774516E-2</v>
      </c>
      <c r="E47" s="1"/>
      <c r="F47" s="1"/>
    </row>
    <row r="48" spans="1:6" x14ac:dyDescent="0.2">
      <c r="A48" s="1" t="s">
        <v>43</v>
      </c>
      <c r="C48" s="1">
        <f>E35</f>
        <v>-9.9917960859708722E-4</v>
      </c>
      <c r="E48" s="1"/>
      <c r="F48" s="1"/>
    </row>
    <row r="49" spans="1:6" x14ac:dyDescent="0.2">
      <c r="A49" s="1" t="s">
        <v>44</v>
      </c>
      <c r="C49" s="8">
        <f>E13</f>
        <v>2.529E-3</v>
      </c>
      <c r="D49" s="6">
        <f>C48+C49</f>
        <v>1.5298203914029128E-3</v>
      </c>
      <c r="E49" s="1"/>
      <c r="F49" s="1"/>
    </row>
    <row r="50" spans="1:6" x14ac:dyDescent="0.2">
      <c r="A50" s="1" t="str">
        <f>"      EFFECTIVE RATE  = ( "&amp;TEXT(D47,"0.000000")&amp;" * ( 1 - "&amp;TEXT(D49,"0.000000")&amp;" ) )"</f>
        <v xml:space="preserve">      EFFECTIVE RATE  = ( 0.047049 * ( 1 - 0.001530 ) )</v>
      </c>
      <c r="B50" s="9"/>
      <c r="C50" s="9"/>
      <c r="D50" s="9"/>
      <c r="E50" s="3">
        <f>D47*(1-D49)</f>
        <v>4.6976708344020124E-2</v>
      </c>
      <c r="F50" s="1"/>
    </row>
    <row r="51" spans="1:6" s="38" customFormat="1" x14ac:dyDescent="0.2">
      <c r="A51" s="51" t="str">
        <f>SharedInputs!E23</f>
        <v xml:space="preserve">     *** From 2017 Form 42 - Idaho Corporation Income Tax (unaudited)</v>
      </c>
      <c r="E51" s="50"/>
      <c r="F51" s="50"/>
    </row>
    <row r="52" spans="1:6" x14ac:dyDescent="0.2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1"/>
  <sheetViews>
    <sheetView workbookViewId="0"/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0.7109375" style="2" customWidth="1"/>
    <col min="4" max="4" width="17.85546875" style="2" customWidth="1"/>
    <col min="5" max="5" width="12.285156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45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26</v>
      </c>
      <c r="B7" s="1"/>
      <c r="C7" s="1"/>
      <c r="D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46</v>
      </c>
      <c r="B11" s="1"/>
      <c r="C11" s="1"/>
      <c r="E11" s="1">
        <f>ROUND(E34,6)</f>
        <v>-9.990000000000001E-4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27</v>
      </c>
      <c r="B13" s="1"/>
      <c r="C13" s="1"/>
      <c r="E13" s="18">
        <f>SharedInputs!B8</f>
        <v>2.529E-3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ROUND(E49,6)</f>
        <v>4.6976999999999998E-2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4.8506999999999995E-2</v>
      </c>
      <c r="F17" s="1"/>
      <c r="K17" s="47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0.95149300000000003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0.19981352999999999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0.75167947000000002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 t="s">
        <v>9</v>
      </c>
      <c r="B29" s="1"/>
      <c r="C29" s="1"/>
      <c r="E29" s="1"/>
      <c r="F29" s="1"/>
    </row>
    <row r="30" spans="1:11" x14ac:dyDescent="0.2">
      <c r="A30" s="1" t="s">
        <v>28</v>
      </c>
      <c r="B30" s="1"/>
      <c r="C30" s="1"/>
      <c r="E30" s="1"/>
      <c r="F30" s="1"/>
    </row>
    <row r="31" spans="1:11" x14ac:dyDescent="0.2">
      <c r="A31" s="1" t="s">
        <v>47</v>
      </c>
      <c r="B31" s="1"/>
      <c r="C31" s="58" t="s">
        <v>94</v>
      </c>
      <c r="D31" s="17">
        <f>'C-UE-1'!G21</f>
        <v>-63065</v>
      </c>
      <c r="E31" s="1"/>
      <c r="F31" s="1"/>
    </row>
    <row r="32" spans="1:11" x14ac:dyDescent="0.2">
      <c r="A32" s="1" t="s">
        <v>48</v>
      </c>
      <c r="B32" s="1"/>
      <c r="C32" s="5"/>
      <c r="D32" s="20"/>
      <c r="E32" s="1"/>
      <c r="F32" s="1"/>
    </row>
    <row r="33" spans="1:6" x14ac:dyDescent="0.2">
      <c r="A33" s="1" t="s">
        <v>49</v>
      </c>
      <c r="B33" s="1"/>
      <c r="C33" s="58" t="s">
        <v>98</v>
      </c>
      <c r="D33" s="21">
        <f>SharedInputs!E13</f>
        <v>63112614</v>
      </c>
      <c r="E33" s="6"/>
      <c r="F33" s="1"/>
    </row>
    <row r="34" spans="1:6" x14ac:dyDescent="0.2">
      <c r="A34" s="1" t="s">
        <v>24</v>
      </c>
      <c r="B34" s="1"/>
      <c r="C34" s="1"/>
      <c r="D34" s="20"/>
      <c r="E34" s="3">
        <f>D31/D33</f>
        <v>-9.992455707824113E-4</v>
      </c>
      <c r="F34" s="1"/>
    </row>
    <row r="35" spans="1:6" x14ac:dyDescent="0.2">
      <c r="A35" s="1" t="s">
        <v>30</v>
      </c>
      <c r="B35" s="1"/>
      <c r="C35" s="1"/>
      <c r="E35" s="1"/>
      <c r="F35" s="1"/>
    </row>
    <row r="36" spans="1:6" x14ac:dyDescent="0.2">
      <c r="A36" s="1" t="s">
        <v>50</v>
      </c>
      <c r="B36" s="1"/>
      <c r="C36" s="1"/>
      <c r="E36" s="1"/>
      <c r="F36" s="1"/>
    </row>
    <row r="37" spans="1:6" x14ac:dyDescent="0.2">
      <c r="A37" s="1"/>
      <c r="B37" s="1"/>
      <c r="C37" s="1"/>
      <c r="E37" s="1"/>
      <c r="F37" s="1"/>
    </row>
    <row r="38" spans="1:6" s="38" customFormat="1" ht="26.45" customHeight="1" x14ac:dyDescent="0.2">
      <c r="A38" s="127" t="str">
        <f>SharedInputs!C8</f>
        <v>(2) IPUC fees rate per Regulatory Fee Calculation; Assessment rate is .002275  ID, Order No. 33741; dated 04/21/2017</v>
      </c>
      <c r="B38" s="127"/>
      <c r="C38" s="127"/>
      <c r="D38" s="127"/>
      <c r="E38" s="127"/>
      <c r="F38" s="127"/>
    </row>
    <row r="39" spans="1:6" s="38" customFormat="1" x14ac:dyDescent="0.2">
      <c r="A39" s="50"/>
      <c r="B39" s="50"/>
      <c r="C39" s="50"/>
      <c r="E39" s="50"/>
      <c r="F39" s="50"/>
    </row>
    <row r="40" spans="1:6" s="38" customFormat="1" x14ac:dyDescent="0.2">
      <c r="A40" s="50" t="s">
        <v>51</v>
      </c>
      <c r="B40" s="50"/>
      <c r="C40" s="50"/>
      <c r="E40" s="50"/>
      <c r="F40" s="50"/>
    </row>
    <row r="41" spans="1:6" s="38" customFormat="1" x14ac:dyDescent="0.2">
      <c r="A41" s="50" t="s">
        <v>39</v>
      </c>
      <c r="B41" s="50"/>
      <c r="C41" s="50"/>
      <c r="D41" s="51">
        <f>SharedInputs!D23</f>
        <v>0.19870499999999999</v>
      </c>
      <c r="E41" s="50"/>
      <c r="F41" s="50"/>
    </row>
    <row r="42" spans="1:6" s="38" customFormat="1" x14ac:dyDescent="0.2">
      <c r="A42" s="50" t="s">
        <v>52</v>
      </c>
      <c r="B42" s="50"/>
      <c r="C42" s="50"/>
      <c r="D42" s="51"/>
      <c r="E42" s="50"/>
      <c r="F42" s="50"/>
    </row>
    <row r="43" spans="1:6" s="38" customFormat="1" x14ac:dyDescent="0.2">
      <c r="A43" s="50" t="s">
        <v>53</v>
      </c>
      <c r="B43" s="50"/>
      <c r="C43" s="50"/>
      <c r="D43" s="52">
        <f>SharedInputs!D22</f>
        <v>6.9250000000000006E-2</v>
      </c>
      <c r="E43" s="50"/>
      <c r="F43" s="50"/>
    </row>
    <row r="44" spans="1:6" s="38" customFormat="1" x14ac:dyDescent="0.2">
      <c r="A44" s="50" t="s">
        <v>54</v>
      </c>
      <c r="C44" s="50"/>
      <c r="D44" s="50">
        <f>D41*D43</f>
        <v>1.3760321250000001E-2</v>
      </c>
      <c r="E44" s="50"/>
      <c r="F44" s="50"/>
    </row>
    <row r="45" spans="1:6" s="38" customFormat="1" x14ac:dyDescent="0.2">
      <c r="A45" s="63" t="s">
        <v>101</v>
      </c>
      <c r="B45" s="50"/>
      <c r="C45" s="50"/>
      <c r="D45" s="65">
        <f>SharedInputs!D24</f>
        <v>0.29246984121032882</v>
      </c>
      <c r="E45" s="50"/>
      <c r="F45" s="50"/>
    </row>
    <row r="46" spans="1:6" s="38" customFormat="1" x14ac:dyDescent="0.2">
      <c r="A46" s="63" t="s">
        <v>102</v>
      </c>
      <c r="C46" s="50"/>
      <c r="D46" s="50">
        <f>D44/D45</f>
        <v>4.7048684380774516E-2</v>
      </c>
      <c r="E46" s="50"/>
      <c r="F46" s="50"/>
    </row>
    <row r="47" spans="1:6" s="38" customFormat="1" x14ac:dyDescent="0.2">
      <c r="A47" s="50" t="s">
        <v>55</v>
      </c>
      <c r="C47" s="50">
        <f>E34</f>
        <v>-9.992455707824113E-4</v>
      </c>
      <c r="D47" s="50"/>
      <c r="E47" s="50"/>
      <c r="F47" s="50"/>
    </row>
    <row r="48" spans="1:6" s="38" customFormat="1" x14ac:dyDescent="0.2">
      <c r="A48" s="50" t="s">
        <v>56</v>
      </c>
      <c r="C48" s="53">
        <f>E13</f>
        <v>2.529E-3</v>
      </c>
      <c r="D48" s="53">
        <f>C47+C48</f>
        <v>1.5297544292175887E-3</v>
      </c>
      <c r="E48" s="53"/>
      <c r="F48" s="50"/>
    </row>
    <row r="49" spans="1:6" s="38" customFormat="1" x14ac:dyDescent="0.2">
      <c r="A49" s="50" t="str">
        <f>"      EFFECTIVE RATE  = ( "&amp;TEXT(D46,"0.000000")&amp;" * ( 1 - "&amp;TEXT(D48,"0.000000")&amp;" ) )"</f>
        <v xml:space="preserve">      EFFECTIVE RATE  = ( 0.047049 * ( 1 - 0.001530 ) )</v>
      </c>
      <c r="B49" s="54"/>
      <c r="C49" s="54"/>
      <c r="D49" s="55"/>
      <c r="E49" s="53">
        <f>D46*(1-D48)</f>
        <v>4.6976711447454168E-2</v>
      </c>
      <c r="F49" s="50"/>
    </row>
    <row r="50" spans="1:6" s="38" customFormat="1" x14ac:dyDescent="0.2">
      <c r="A50" s="51" t="str">
        <f>SharedInputs!E23</f>
        <v xml:space="preserve">     *** From 2017 Form 42 - Idaho Corporation Income Tax (unaudited)</v>
      </c>
      <c r="B50" s="50"/>
      <c r="C50" s="56"/>
      <c r="E50" s="50"/>
      <c r="F50" s="50"/>
    </row>
    <row r="51" spans="1:6" s="38" customFormat="1" x14ac:dyDescent="0.2">
      <c r="A51" s="50"/>
      <c r="B51" s="50"/>
      <c r="C51" s="56"/>
      <c r="D51" s="56"/>
      <c r="E51" s="50"/>
      <c r="F51" s="50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workbookViewId="0">
      <selection activeCell="E11" sqref="E11"/>
    </sheetView>
  </sheetViews>
  <sheetFormatPr defaultColWidth="9.42578125" defaultRowHeight="12.75" x14ac:dyDescent="0.2"/>
  <cols>
    <col min="1" max="1" width="22" style="11" customWidth="1"/>
    <col min="2" max="2" width="11.140625" style="11" customWidth="1"/>
    <col min="3" max="3" width="16.28515625" style="11" customWidth="1"/>
    <col min="4" max="4" width="8.5703125" style="11" customWidth="1"/>
    <col min="5" max="5" width="13.28515625" style="11" customWidth="1"/>
    <col min="6" max="6" width="5.28515625" style="11" customWidth="1"/>
    <col min="7" max="8" width="11.140625" style="11" customWidth="1"/>
    <col min="9" max="9" width="11.140625" style="45" customWidth="1"/>
    <col min="10" max="10" width="9.42578125" style="45" customWidth="1"/>
    <col min="11" max="16384" width="9.42578125" style="11"/>
  </cols>
  <sheetData>
    <row r="1" spans="1:8" x14ac:dyDescent="0.2">
      <c r="A1" s="10" t="s">
        <v>77</v>
      </c>
    </row>
    <row r="2" spans="1:8" x14ac:dyDescent="0.2">
      <c r="A2" s="10" t="s">
        <v>57</v>
      </c>
      <c r="E2" s="45"/>
      <c r="F2" s="45"/>
      <c r="G2" s="45"/>
    </row>
    <row r="3" spans="1:8" x14ac:dyDescent="0.2">
      <c r="A3" s="10" t="str">
        <f>SharedInputs!B2</f>
        <v>TWELVE MONTHS ENDED DECEMBER 31, 2019</v>
      </c>
    </row>
    <row r="7" spans="1:8" x14ac:dyDescent="0.2">
      <c r="A7" s="10" t="s">
        <v>58</v>
      </c>
    </row>
    <row r="8" spans="1:8" x14ac:dyDescent="0.2">
      <c r="A8" s="10"/>
    </row>
    <row r="9" spans="1:8" x14ac:dyDescent="0.2">
      <c r="A9" s="10"/>
      <c r="C9" s="12" t="s">
        <v>59</v>
      </c>
      <c r="D9" s="12"/>
      <c r="E9" s="12" t="s">
        <v>60</v>
      </c>
      <c r="F9" s="12"/>
      <c r="G9" s="12" t="s">
        <v>61</v>
      </c>
    </row>
    <row r="10" spans="1:8" x14ac:dyDescent="0.2">
      <c r="A10" s="10" t="s">
        <v>62</v>
      </c>
    </row>
    <row r="11" spans="1:8" x14ac:dyDescent="0.2">
      <c r="A11" s="11" t="s">
        <v>63</v>
      </c>
      <c r="C11" s="14">
        <f>E11+G11</f>
        <v>1378995</v>
      </c>
      <c r="D11" s="14"/>
      <c r="E11" s="14">
        <f>G41</f>
        <v>1641174</v>
      </c>
      <c r="F11" s="14"/>
      <c r="G11" s="14">
        <f>G48</f>
        <v>-262179</v>
      </c>
    </row>
    <row r="12" spans="1:8" x14ac:dyDescent="0.2">
      <c r="A12" s="11" t="s">
        <v>64</v>
      </c>
      <c r="C12" s="14"/>
      <c r="D12" s="14"/>
      <c r="E12" s="14"/>
      <c r="F12" s="14"/>
      <c r="G12" s="14"/>
    </row>
    <row r="13" spans="1:8" x14ac:dyDescent="0.2">
      <c r="A13" s="11" t="s">
        <v>65</v>
      </c>
      <c r="C13" s="15">
        <f>'C-UE-2'!N23</f>
        <v>587745.9890909089</v>
      </c>
      <c r="D13" s="67" t="s">
        <v>93</v>
      </c>
      <c r="E13" s="68">
        <f>C13*E17</f>
        <v>385167.57903094532</v>
      </c>
      <c r="F13" s="69"/>
      <c r="G13" s="68">
        <f>C13*G17</f>
        <v>202578.41005996356</v>
      </c>
      <c r="H13" s="70"/>
    </row>
    <row r="14" spans="1:8" x14ac:dyDescent="0.2">
      <c r="C14" s="14"/>
      <c r="D14" s="14"/>
      <c r="E14" s="14"/>
      <c r="F14" s="14"/>
      <c r="G14" s="14"/>
    </row>
    <row r="15" spans="1:8" ht="13.5" thickBot="1" x14ac:dyDescent="0.25">
      <c r="A15" s="11" t="s">
        <v>66</v>
      </c>
      <c r="C15" s="30">
        <f>C11-C13</f>
        <v>791249.0109090911</v>
      </c>
      <c r="D15" s="14"/>
      <c r="E15" s="30">
        <f>E11-E13</f>
        <v>1256006.4209690546</v>
      </c>
      <c r="F15" s="14"/>
      <c r="G15" s="30">
        <f>G11-G13</f>
        <v>-464757.41005996359</v>
      </c>
    </row>
    <row r="16" spans="1:8" ht="13.5" thickTop="1" x14ac:dyDescent="0.2">
      <c r="C16" s="31"/>
      <c r="D16" s="31"/>
      <c r="E16" s="31"/>
      <c r="G16" s="31"/>
    </row>
    <row r="17" spans="1:11" x14ac:dyDescent="0.2">
      <c r="A17" s="11" t="s">
        <v>162</v>
      </c>
      <c r="C17" s="71">
        <f>SUM(E17,G17)</f>
        <v>1</v>
      </c>
      <c r="D17" s="71"/>
      <c r="E17" s="123">
        <v>0.65532999999999997</v>
      </c>
      <c r="F17" s="72"/>
      <c r="G17" s="123">
        <v>0.34466999999999998</v>
      </c>
    </row>
    <row r="18" spans="1:11" x14ac:dyDescent="0.2">
      <c r="C18" s="14"/>
      <c r="D18" s="14"/>
      <c r="E18" s="14"/>
      <c r="F18" s="14"/>
      <c r="G18" s="14"/>
      <c r="K18" s="46"/>
    </row>
    <row r="19" spans="1:11" x14ac:dyDescent="0.2">
      <c r="C19" s="14"/>
      <c r="D19" s="14"/>
      <c r="E19" s="14"/>
      <c r="G19" s="14"/>
    </row>
    <row r="20" spans="1:11" x14ac:dyDescent="0.2">
      <c r="A20" s="10" t="s">
        <v>67</v>
      </c>
      <c r="B20" s="14"/>
      <c r="C20" s="14"/>
      <c r="D20" s="14"/>
      <c r="E20" s="14"/>
      <c r="F20" s="14"/>
      <c r="G20" s="14"/>
    </row>
    <row r="21" spans="1:11" x14ac:dyDescent="0.2">
      <c r="A21" s="11" t="s">
        <v>63</v>
      </c>
      <c r="C21" s="14">
        <f>E21+G21</f>
        <v>379527</v>
      </c>
      <c r="D21" s="14"/>
      <c r="E21" s="14">
        <f>G42</f>
        <v>442592</v>
      </c>
      <c r="F21" s="14"/>
      <c r="G21" s="14">
        <f>G49</f>
        <v>-63065</v>
      </c>
    </row>
    <row r="22" spans="1:11" x14ac:dyDescent="0.2">
      <c r="A22" s="11" t="s">
        <v>64</v>
      </c>
      <c r="C22" s="14"/>
      <c r="D22" s="14"/>
      <c r="E22" s="14"/>
      <c r="F22" s="14"/>
      <c r="G22" s="14"/>
    </row>
    <row r="23" spans="1:11" x14ac:dyDescent="0.2">
      <c r="A23" s="11" t="s">
        <v>65</v>
      </c>
      <c r="C23" s="15">
        <f>'C-UE-2'!O23</f>
        <v>491050.82533073903</v>
      </c>
      <c r="D23" s="67" t="s">
        <v>93</v>
      </c>
      <c r="E23" s="68">
        <f>C23*E27</f>
        <v>325276.97720733489</v>
      </c>
      <c r="F23" s="69"/>
      <c r="G23" s="68">
        <f>C23*G27</f>
        <v>165773.8481234042</v>
      </c>
      <c r="H23" s="70"/>
    </row>
    <row r="24" spans="1:11" x14ac:dyDescent="0.2">
      <c r="C24" s="14"/>
      <c r="D24" s="14"/>
      <c r="E24" s="14"/>
      <c r="F24" s="14"/>
      <c r="G24" s="14"/>
    </row>
    <row r="25" spans="1:11" ht="13.5" thickBot="1" x14ac:dyDescent="0.25">
      <c r="A25" s="11" t="s">
        <v>66</v>
      </c>
      <c r="C25" s="30">
        <f>C21-C23</f>
        <v>-111523.82533073903</v>
      </c>
      <c r="D25" s="14"/>
      <c r="E25" s="30">
        <f>E21-E23</f>
        <v>117315.02279266511</v>
      </c>
      <c r="F25" s="14"/>
      <c r="G25" s="30">
        <f>G21-G23</f>
        <v>-228838.8481234042</v>
      </c>
    </row>
    <row r="26" spans="1:11" ht="13.5" thickTop="1" x14ac:dyDescent="0.2">
      <c r="C26" s="13"/>
      <c r="D26" s="13"/>
      <c r="E26" s="13"/>
      <c r="F26" s="13"/>
      <c r="G26" s="13"/>
    </row>
    <row r="27" spans="1:11" x14ac:dyDescent="0.2">
      <c r="A27" s="11" t="s">
        <v>161</v>
      </c>
      <c r="C27" s="71">
        <f>SUM(E27,G27)</f>
        <v>1</v>
      </c>
      <c r="D27" s="71"/>
      <c r="E27" s="123">
        <v>0.66241000000000005</v>
      </c>
      <c r="F27" s="123"/>
      <c r="G27" s="123">
        <v>0.33759</v>
      </c>
    </row>
    <row r="28" spans="1:11" x14ac:dyDescent="0.2">
      <c r="C28" s="13"/>
      <c r="D28" s="13"/>
      <c r="E28" s="13"/>
      <c r="F28" s="13"/>
      <c r="G28" s="13"/>
    </row>
    <row r="29" spans="1:11" x14ac:dyDescent="0.2">
      <c r="A29" s="11" t="s">
        <v>68</v>
      </c>
    </row>
    <row r="30" spans="1:11" x14ac:dyDescent="0.2">
      <c r="A30" s="11" t="s">
        <v>82</v>
      </c>
    </row>
    <row r="32" spans="1:11" x14ac:dyDescent="0.2">
      <c r="A32" s="11" t="s">
        <v>69</v>
      </c>
    </row>
    <row r="35" spans="1:7" x14ac:dyDescent="0.2">
      <c r="A35" s="10" t="s">
        <v>104</v>
      </c>
    </row>
    <row r="36" spans="1:7" x14ac:dyDescent="0.2">
      <c r="A36" s="10"/>
      <c r="B36" s="73"/>
      <c r="C36" s="74" t="s">
        <v>105</v>
      </c>
      <c r="D36" s="73"/>
      <c r="E36" s="74"/>
      <c r="F36" s="73"/>
      <c r="G36" s="74" t="s">
        <v>106</v>
      </c>
    </row>
    <row r="37" spans="1:7" x14ac:dyDescent="0.2">
      <c r="B37" s="73"/>
      <c r="C37" s="75" t="s">
        <v>107</v>
      </c>
      <c r="D37" s="73"/>
      <c r="E37" s="75" t="s">
        <v>108</v>
      </c>
      <c r="F37" s="73"/>
      <c r="G37" s="75" t="s">
        <v>109</v>
      </c>
    </row>
    <row r="38" spans="1:7" x14ac:dyDescent="0.2">
      <c r="A38" s="73"/>
      <c r="B38" s="73"/>
      <c r="C38" s="76" t="s">
        <v>110</v>
      </c>
      <c r="D38" s="73"/>
      <c r="E38" s="76" t="s">
        <v>111</v>
      </c>
      <c r="F38" s="73"/>
      <c r="G38" s="76" t="s">
        <v>112</v>
      </c>
    </row>
    <row r="39" spans="1:7" x14ac:dyDescent="0.2">
      <c r="B39" s="73"/>
      <c r="D39" s="73"/>
      <c r="E39" s="77"/>
      <c r="F39" s="73"/>
    </row>
    <row r="40" spans="1:7" x14ac:dyDescent="0.2">
      <c r="A40" s="10" t="s">
        <v>113</v>
      </c>
      <c r="B40" s="73"/>
      <c r="D40" s="73"/>
      <c r="E40" s="77"/>
      <c r="F40" s="73"/>
    </row>
    <row r="41" spans="1:7" x14ac:dyDescent="0.2">
      <c r="A41" s="11" t="s">
        <v>114</v>
      </c>
      <c r="B41" s="78"/>
      <c r="C41" s="79">
        <f>-'C-UE-3'!H22-1</f>
        <v>547776884.26999998</v>
      </c>
      <c r="D41" s="67" t="s">
        <v>115</v>
      </c>
      <c r="E41" s="80">
        <f>ROUND(C41/C43,4)</f>
        <v>0.78759999999999997</v>
      </c>
      <c r="F41" s="73"/>
      <c r="G41" s="14">
        <f>ROUND(G43*E41,0)</f>
        <v>1641174</v>
      </c>
    </row>
    <row r="42" spans="1:7" x14ac:dyDescent="0.2">
      <c r="A42" s="11" t="s">
        <v>116</v>
      </c>
      <c r="B42" s="78"/>
      <c r="C42" s="68">
        <f>-'C-UE-3'!AD22</f>
        <v>147734982.24000001</v>
      </c>
      <c r="D42" s="67" t="s">
        <v>115</v>
      </c>
      <c r="E42" s="81">
        <f>1-E41</f>
        <v>0.21240000000000003</v>
      </c>
      <c r="F42" s="73"/>
      <c r="G42" s="15">
        <f>G43-G41</f>
        <v>442592</v>
      </c>
    </row>
    <row r="43" spans="1:7" x14ac:dyDescent="0.2">
      <c r="A43" s="11" t="s">
        <v>100</v>
      </c>
      <c r="B43" s="73"/>
      <c r="C43" s="82">
        <f>C41+C42</f>
        <v>695511866.50999999</v>
      </c>
      <c r="D43" s="73"/>
      <c r="E43" s="80">
        <f>E41+E42</f>
        <v>1</v>
      </c>
      <c r="F43" s="73"/>
      <c r="G43" s="82">
        <f>ROUND(C63,0)</f>
        <v>2083766</v>
      </c>
    </row>
    <row r="44" spans="1:7" x14ac:dyDescent="0.2">
      <c r="B44" s="73"/>
      <c r="C44" s="14"/>
      <c r="D44" s="73"/>
      <c r="E44" s="80"/>
      <c r="F44" s="73"/>
      <c r="G44" s="14"/>
    </row>
    <row r="45" spans="1:7" x14ac:dyDescent="0.2">
      <c r="B45" s="73"/>
      <c r="C45" s="14"/>
      <c r="D45" s="73"/>
      <c r="E45" s="80"/>
      <c r="F45" s="73"/>
      <c r="G45" s="14"/>
    </row>
    <row r="46" spans="1:7" x14ac:dyDescent="0.2">
      <c r="B46" s="73"/>
      <c r="C46" s="14"/>
      <c r="D46" s="73"/>
      <c r="E46" s="80"/>
      <c r="F46" s="73"/>
      <c r="G46" s="14"/>
    </row>
    <row r="47" spans="1:7" x14ac:dyDescent="0.2">
      <c r="A47" s="10" t="s">
        <v>117</v>
      </c>
      <c r="B47" s="73"/>
      <c r="C47" s="14"/>
      <c r="D47" s="73"/>
      <c r="E47" s="80"/>
      <c r="F47" s="73"/>
      <c r="G47" s="14"/>
    </row>
    <row r="48" spans="1:7" x14ac:dyDescent="0.2">
      <c r="A48" s="11" t="s">
        <v>114</v>
      </c>
      <c r="B48" s="78"/>
      <c r="C48" s="79">
        <f>-'C-UE-3'!T22</f>
        <v>262394266.39000002</v>
      </c>
      <c r="D48" s="67" t="s">
        <v>115</v>
      </c>
      <c r="E48" s="80">
        <f>ROUND(C48/C50,4)</f>
        <v>0.80610000000000004</v>
      </c>
      <c r="F48" s="73"/>
      <c r="G48" s="14">
        <f>ROUND(G50*E48,0)</f>
        <v>-262179</v>
      </c>
    </row>
    <row r="49" spans="1:7" x14ac:dyDescent="0.2">
      <c r="A49" s="11" t="s">
        <v>116</v>
      </c>
      <c r="B49" s="78"/>
      <c r="C49" s="68">
        <f>-'C-UE-3'!AN22</f>
        <v>63112613.719999999</v>
      </c>
      <c r="D49" s="67" t="s">
        <v>115</v>
      </c>
      <c r="E49" s="81">
        <f>1-E48</f>
        <v>0.19389999999999996</v>
      </c>
      <c r="F49" s="73"/>
      <c r="G49" s="15">
        <f>G50-G48</f>
        <v>-63065</v>
      </c>
    </row>
    <row r="50" spans="1:7" x14ac:dyDescent="0.2">
      <c r="A50" s="11" t="s">
        <v>100</v>
      </c>
      <c r="B50" s="73"/>
      <c r="C50" s="82">
        <f>C48+C49</f>
        <v>325506880.11000001</v>
      </c>
      <c r="D50" s="73"/>
      <c r="E50" s="80">
        <f>E48+E49</f>
        <v>1</v>
      </c>
      <c r="F50" s="73"/>
      <c r="G50" s="82">
        <f>ROUND(C68,0)</f>
        <v>-325244</v>
      </c>
    </row>
    <row r="51" spans="1:7" x14ac:dyDescent="0.2">
      <c r="B51" s="73"/>
      <c r="C51" s="14"/>
      <c r="D51" s="73"/>
      <c r="F51" s="73"/>
      <c r="G51" s="14"/>
    </row>
    <row r="52" spans="1:7" ht="13.5" thickBot="1" x14ac:dyDescent="0.25">
      <c r="A52" s="10" t="s">
        <v>118</v>
      </c>
      <c r="B52" s="73"/>
      <c r="C52" s="83">
        <f>C50+C43</f>
        <v>1021018746.62</v>
      </c>
      <c r="D52" s="73"/>
      <c r="F52" s="73"/>
      <c r="G52" s="83">
        <f>G50+G43</f>
        <v>1758522</v>
      </c>
    </row>
    <row r="53" spans="1:7" ht="13.5" thickTop="1" x14ac:dyDescent="0.2">
      <c r="C53" s="14"/>
    </row>
    <row r="54" spans="1:7" x14ac:dyDescent="0.2">
      <c r="A54" s="11" t="s">
        <v>119</v>
      </c>
    </row>
    <row r="56" spans="1:7" x14ac:dyDescent="0.2">
      <c r="A56" s="11" t="s">
        <v>120</v>
      </c>
    </row>
    <row r="58" spans="1:7" x14ac:dyDescent="0.2">
      <c r="B58" s="84" t="s">
        <v>121</v>
      </c>
      <c r="C58" s="85" t="s">
        <v>122</v>
      </c>
    </row>
    <row r="59" spans="1:7" x14ac:dyDescent="0.2">
      <c r="A59" s="86" t="s">
        <v>123</v>
      </c>
    </row>
    <row r="60" spans="1:7" x14ac:dyDescent="0.2">
      <c r="A60" s="11" t="s">
        <v>124</v>
      </c>
      <c r="B60" s="87">
        <v>200</v>
      </c>
      <c r="C60" s="88">
        <f>'C-UE-2'!H26</f>
        <v>2083765.7899999998</v>
      </c>
      <c r="D60" s="67" t="s">
        <v>93</v>
      </c>
      <c r="E60" s="89"/>
      <c r="F60"/>
      <c r="G60"/>
    </row>
    <row r="61" spans="1:7" x14ac:dyDescent="0.2">
      <c r="A61" s="11" t="s">
        <v>125</v>
      </c>
      <c r="B61" s="87">
        <v>600</v>
      </c>
      <c r="C61" s="88">
        <v>0</v>
      </c>
      <c r="D61" s="67" t="s">
        <v>93</v>
      </c>
      <c r="E61"/>
      <c r="F61"/>
      <c r="G61"/>
    </row>
    <row r="62" spans="1:7" x14ac:dyDescent="0.2">
      <c r="A62" s="11" t="s">
        <v>126</v>
      </c>
      <c r="B62" s="87">
        <v>700</v>
      </c>
      <c r="C62" s="90">
        <v>0</v>
      </c>
      <c r="D62" s="67" t="s">
        <v>93</v>
      </c>
      <c r="E62"/>
      <c r="F62"/>
      <c r="G62"/>
    </row>
    <row r="63" spans="1:7" x14ac:dyDescent="0.2">
      <c r="B63" s="87"/>
      <c r="C63" s="91">
        <f>SUM(C60:C62)</f>
        <v>2083765.7899999998</v>
      </c>
      <c r="D63" s="70"/>
      <c r="E63"/>
      <c r="F63"/>
      <c r="G63"/>
    </row>
    <row r="64" spans="1:7" x14ac:dyDescent="0.2">
      <c r="A64" s="86" t="s">
        <v>127</v>
      </c>
      <c r="B64" s="87"/>
      <c r="C64" s="92"/>
      <c r="D64" s="70"/>
      <c r="E64"/>
      <c r="F64"/>
      <c r="G64"/>
    </row>
    <row r="65" spans="1:7" x14ac:dyDescent="0.2">
      <c r="A65" s="11" t="s">
        <v>128</v>
      </c>
      <c r="B65" s="87">
        <v>200</v>
      </c>
      <c r="C65" s="88">
        <f>'C-UE-2'!H27</f>
        <v>-325243.65000000002</v>
      </c>
      <c r="D65" s="67" t="s">
        <v>93</v>
      </c>
      <c r="E65"/>
      <c r="F65"/>
      <c r="G65"/>
    </row>
    <row r="66" spans="1:7" x14ac:dyDescent="0.2">
      <c r="A66" s="11" t="s">
        <v>129</v>
      </c>
      <c r="B66" s="87">
        <v>600</v>
      </c>
      <c r="C66" s="88"/>
      <c r="D66" s="67" t="s">
        <v>93</v>
      </c>
      <c r="E66"/>
      <c r="F66"/>
      <c r="G66"/>
    </row>
    <row r="67" spans="1:7" x14ac:dyDescent="0.2">
      <c r="A67" s="11" t="s">
        <v>130</v>
      </c>
      <c r="B67" s="87">
        <v>700</v>
      </c>
      <c r="C67" s="90"/>
      <c r="D67" s="67" t="s">
        <v>93</v>
      </c>
      <c r="E67"/>
      <c r="F67"/>
      <c r="G67"/>
    </row>
    <row r="68" spans="1:7" x14ac:dyDescent="0.2">
      <c r="C68" s="91">
        <f>SUM(C65:C67)</f>
        <v>-325243.65000000002</v>
      </c>
      <c r="E68"/>
      <c r="F68"/>
      <c r="G68"/>
    </row>
    <row r="69" spans="1:7" x14ac:dyDescent="0.2">
      <c r="C69" s="92"/>
      <c r="E69"/>
      <c r="F69"/>
      <c r="G69"/>
    </row>
    <row r="70" spans="1:7" x14ac:dyDescent="0.2">
      <c r="C70" s="92">
        <f>C63+C68</f>
        <v>1758522.1399999997</v>
      </c>
      <c r="E70" s="92">
        <f>G52-C70</f>
        <v>-0.13999999966472387</v>
      </c>
      <c r="F70" s="11" t="s">
        <v>131</v>
      </c>
    </row>
    <row r="72" spans="1:7" x14ac:dyDescent="0.2">
      <c r="A72" s="9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workbookViewId="0">
      <selection activeCell="H40" sqref="H40"/>
    </sheetView>
  </sheetViews>
  <sheetFormatPr defaultRowHeight="12.75" x14ac:dyDescent="0.2"/>
  <cols>
    <col min="2" max="2" width="12.140625" bestFit="1" customWidth="1"/>
    <col min="3" max="3" width="14.7109375" bestFit="1" customWidth="1"/>
    <col min="4" max="4" width="14.140625" bestFit="1" customWidth="1"/>
    <col min="5" max="7" width="13.140625" bestFit="1" customWidth="1"/>
    <col min="8" max="11" width="11.140625" customWidth="1"/>
    <col min="12" max="12" width="2.28515625" customWidth="1"/>
    <col min="14" max="14" width="14.5703125" customWidth="1"/>
    <col min="15" max="15" width="10.42578125" bestFit="1" customWidth="1"/>
  </cols>
  <sheetData>
    <row r="1" spans="1:15" x14ac:dyDescent="0.2">
      <c r="A1" s="10" t="s">
        <v>77</v>
      </c>
    </row>
    <row r="2" spans="1:15" x14ac:dyDescent="0.2">
      <c r="A2" s="10" t="s">
        <v>57</v>
      </c>
    </row>
    <row r="3" spans="1:15" x14ac:dyDescent="0.2">
      <c r="A3" s="10" t="str">
        <f>SharedInputs!B2</f>
        <v>TWELVE MONTHS ENDED DECEMBER 31, 2019</v>
      </c>
    </row>
    <row r="5" spans="1:15" ht="13.5" thickBot="1" x14ac:dyDescent="0.25"/>
    <row r="6" spans="1:15" ht="13.5" thickBot="1" x14ac:dyDescent="0.25">
      <c r="B6" s="128" t="s">
        <v>132</v>
      </c>
      <c r="C6" s="129"/>
      <c r="D6" s="129"/>
      <c r="E6" s="129"/>
      <c r="F6" s="129"/>
      <c r="G6" s="129"/>
      <c r="H6" s="129"/>
      <c r="I6" s="129"/>
      <c r="J6" s="129"/>
      <c r="K6" s="130"/>
      <c r="N6" s="128" t="s">
        <v>133</v>
      </c>
      <c r="O6" s="130"/>
    </row>
    <row r="7" spans="1:15" ht="13.5" thickBot="1" x14ac:dyDescent="0.25">
      <c r="B7" s="131" t="s">
        <v>134</v>
      </c>
      <c r="C7" s="132"/>
      <c r="D7" s="131" t="s">
        <v>135</v>
      </c>
      <c r="E7" s="132"/>
      <c r="F7" s="128" t="s">
        <v>136</v>
      </c>
      <c r="G7" s="130"/>
      <c r="H7" s="131" t="s">
        <v>137</v>
      </c>
      <c r="I7" s="133"/>
      <c r="J7" s="133"/>
      <c r="K7" s="132"/>
      <c r="N7" s="128" t="s">
        <v>138</v>
      </c>
      <c r="O7" s="130"/>
    </row>
    <row r="8" spans="1:15" x14ac:dyDescent="0.2">
      <c r="B8" s="94">
        <v>144200</v>
      </c>
      <c r="C8" s="94">
        <v>144200</v>
      </c>
      <c r="D8" s="94">
        <v>144600</v>
      </c>
      <c r="E8" s="94">
        <v>144600</v>
      </c>
      <c r="F8" s="94">
        <v>144700</v>
      </c>
      <c r="G8" s="94">
        <v>144700</v>
      </c>
      <c r="H8" s="94">
        <v>144200</v>
      </c>
      <c r="I8" s="94">
        <v>144200</v>
      </c>
      <c r="J8" s="94">
        <v>144200</v>
      </c>
      <c r="K8" s="94">
        <v>144200</v>
      </c>
      <c r="N8" s="94">
        <v>904000</v>
      </c>
      <c r="O8" s="94">
        <v>904000</v>
      </c>
    </row>
    <row r="9" spans="1:15" x14ac:dyDescent="0.2">
      <c r="B9" s="94" t="s">
        <v>139</v>
      </c>
      <c r="C9" s="94" t="s">
        <v>139</v>
      </c>
      <c r="D9" s="94" t="s">
        <v>139</v>
      </c>
      <c r="E9" s="94" t="s">
        <v>139</v>
      </c>
      <c r="F9" s="94" t="s">
        <v>139</v>
      </c>
      <c r="G9" s="94" t="s">
        <v>139</v>
      </c>
      <c r="H9" s="94" t="s">
        <v>95</v>
      </c>
      <c r="I9" s="94" t="s">
        <v>95</v>
      </c>
      <c r="J9" s="94" t="s">
        <v>96</v>
      </c>
      <c r="K9" s="94" t="s">
        <v>96</v>
      </c>
      <c r="N9" s="94" t="s">
        <v>140</v>
      </c>
      <c r="O9" s="94" t="s">
        <v>141</v>
      </c>
    </row>
    <row r="10" spans="1:15" x14ac:dyDescent="0.2">
      <c r="B10" s="94" t="s">
        <v>71</v>
      </c>
      <c r="C10" s="94" t="s">
        <v>72</v>
      </c>
      <c r="D10" s="94" t="s">
        <v>71</v>
      </c>
      <c r="E10" s="94" t="s">
        <v>72</v>
      </c>
      <c r="F10" s="94" t="s">
        <v>71</v>
      </c>
      <c r="G10" s="94" t="s">
        <v>72</v>
      </c>
      <c r="H10" s="94" t="s">
        <v>71</v>
      </c>
      <c r="I10" s="94" t="s">
        <v>72</v>
      </c>
      <c r="J10" s="94" t="s">
        <v>71</v>
      </c>
      <c r="K10" s="94" t="s">
        <v>72</v>
      </c>
      <c r="N10" s="94" t="s">
        <v>142</v>
      </c>
      <c r="O10" s="94" t="s">
        <v>142</v>
      </c>
    </row>
    <row r="11" spans="1:15" x14ac:dyDescent="0.2">
      <c r="A11">
        <v>201901</v>
      </c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108">
        <v>148423.84999999998</v>
      </c>
      <c r="I11" s="108">
        <v>43933.979999999996</v>
      </c>
      <c r="J11" s="108">
        <v>10316.61</v>
      </c>
      <c r="K11" s="108">
        <v>6363.97</v>
      </c>
      <c r="M11">
        <f>A11</f>
        <v>201901</v>
      </c>
      <c r="N11" s="108">
        <v>203058.7690909091</v>
      </c>
      <c r="O11" s="108">
        <v>241087.28533073899</v>
      </c>
    </row>
    <row r="12" spans="1:15" x14ac:dyDescent="0.2">
      <c r="A12">
        <f>A11+1</f>
        <v>201902</v>
      </c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108">
        <v>47706.71</v>
      </c>
      <c r="I12" s="108">
        <v>-9746.2599999999984</v>
      </c>
      <c r="J12" s="108">
        <v>629.41000000000031</v>
      </c>
      <c r="K12" s="108">
        <v>-1890.6400000000006</v>
      </c>
      <c r="M12">
        <f>M11+1</f>
        <v>201902</v>
      </c>
      <c r="N12" s="108">
        <v>174006.49</v>
      </c>
      <c r="O12" s="108">
        <v>113066.55</v>
      </c>
    </row>
    <row r="13" spans="1:15" x14ac:dyDescent="0.2">
      <c r="A13">
        <f t="shared" ref="A13:A22" si="0">A12+1</f>
        <v>201903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108">
        <v>83929.460000000021</v>
      </c>
      <c r="I13" s="108">
        <v>12110.080000000002</v>
      </c>
      <c r="J13" s="108">
        <v>8406.2500000000036</v>
      </c>
      <c r="K13" s="108">
        <v>374.25999999999931</v>
      </c>
      <c r="M13">
        <f t="shared" ref="M13:M22" si="1">M12+1</f>
        <v>201903</v>
      </c>
      <c r="N13" s="108">
        <v>751242.83</v>
      </c>
      <c r="O13" s="108">
        <v>113066.89</v>
      </c>
    </row>
    <row r="14" spans="1:15" x14ac:dyDescent="0.2">
      <c r="A14">
        <f t="shared" si="0"/>
        <v>201904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108">
        <v>214660.89999999997</v>
      </c>
      <c r="I14" s="108">
        <v>35228.339999999997</v>
      </c>
      <c r="J14" s="108">
        <v>19956.060000000001</v>
      </c>
      <c r="K14" s="108">
        <v>7850.25</v>
      </c>
      <c r="M14">
        <f t="shared" si="1"/>
        <v>201904</v>
      </c>
      <c r="N14" s="108">
        <v>-53343.609999999986</v>
      </c>
      <c r="O14" s="108">
        <v>340416.65</v>
      </c>
    </row>
    <row r="15" spans="1:15" x14ac:dyDescent="0.2">
      <c r="A15">
        <f t="shared" si="0"/>
        <v>201905</v>
      </c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108">
        <v>76988.400000000009</v>
      </c>
      <c r="I15" s="108">
        <v>57397.44999999999</v>
      </c>
      <c r="J15" s="108">
        <v>24248.01</v>
      </c>
      <c r="K15" s="108">
        <v>12668.759999999998</v>
      </c>
      <c r="M15">
        <f t="shared" si="1"/>
        <v>201905</v>
      </c>
      <c r="N15" s="108">
        <v>189245.96</v>
      </c>
      <c r="O15" s="108">
        <v>122968.91</v>
      </c>
    </row>
    <row r="16" spans="1:15" x14ac:dyDescent="0.2">
      <c r="A16">
        <f t="shared" si="0"/>
        <v>201906</v>
      </c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108">
        <v>214033.09999999998</v>
      </c>
      <c r="I16" s="108">
        <v>76989.710000000006</v>
      </c>
      <c r="J16" s="108">
        <v>34441.81</v>
      </c>
      <c r="K16" s="108">
        <v>14243.2</v>
      </c>
      <c r="M16">
        <f t="shared" si="1"/>
        <v>201906</v>
      </c>
      <c r="N16" s="108">
        <v>-1723518.27</v>
      </c>
      <c r="O16" s="108">
        <v>-744835.46</v>
      </c>
    </row>
    <row r="17" spans="1:15" x14ac:dyDescent="0.2">
      <c r="A17">
        <f t="shared" si="0"/>
        <v>201907</v>
      </c>
      <c r="B17" s="95">
        <v>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108">
        <v>284311.48000000004</v>
      </c>
      <c r="I17" s="108">
        <v>-248685.53000000003</v>
      </c>
      <c r="J17" s="108">
        <v>59787.010000000009</v>
      </c>
      <c r="K17" s="108">
        <v>-62486.269999999982</v>
      </c>
      <c r="M17">
        <f t="shared" si="1"/>
        <v>201907</v>
      </c>
      <c r="N17" s="108">
        <v>104404</v>
      </c>
      <c r="O17" s="108">
        <v>67840</v>
      </c>
    </row>
    <row r="18" spans="1:15" x14ac:dyDescent="0.2">
      <c r="A18">
        <f t="shared" si="0"/>
        <v>201908</v>
      </c>
      <c r="B18" s="95">
        <v>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108">
        <v>182356.71000000002</v>
      </c>
      <c r="I18" s="108">
        <v>-5248.6999999999989</v>
      </c>
      <c r="J18" s="108">
        <v>33613.19</v>
      </c>
      <c r="K18" s="108">
        <v>2027.4199999999994</v>
      </c>
      <c r="M18">
        <f t="shared" si="1"/>
        <v>201908</v>
      </c>
      <c r="N18" s="108">
        <v>681639.82</v>
      </c>
      <c r="O18" s="108">
        <v>67840</v>
      </c>
    </row>
    <row r="19" spans="1:15" x14ac:dyDescent="0.2">
      <c r="A19">
        <f t="shared" si="0"/>
        <v>201909</v>
      </c>
      <c r="B19" s="95">
        <v>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108">
        <v>175542.63</v>
      </c>
      <c r="I19" s="108">
        <v>-62193.209999999992</v>
      </c>
      <c r="J19" s="108">
        <v>25249.95</v>
      </c>
      <c r="K19" s="108">
        <v>-15294.989999999994</v>
      </c>
      <c r="M19">
        <f t="shared" si="1"/>
        <v>201909</v>
      </c>
      <c r="N19" s="108">
        <v>0</v>
      </c>
      <c r="O19" s="108">
        <v>0</v>
      </c>
    </row>
    <row r="20" spans="1:15" x14ac:dyDescent="0.2">
      <c r="A20">
        <f t="shared" si="0"/>
        <v>201910</v>
      </c>
      <c r="B20" s="95">
        <v>0</v>
      </c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108">
        <v>124404.33000000002</v>
      </c>
      <c r="I20" s="108">
        <v>-47514.33</v>
      </c>
      <c r="J20" s="108">
        <v>11187.64</v>
      </c>
      <c r="K20" s="108">
        <v>-7910.1900000000005</v>
      </c>
      <c r="M20">
        <f t="shared" si="1"/>
        <v>201910</v>
      </c>
      <c r="N20" s="108">
        <v>104404</v>
      </c>
      <c r="O20" s="108">
        <v>67840</v>
      </c>
    </row>
    <row r="21" spans="1:15" x14ac:dyDescent="0.2">
      <c r="A21">
        <f t="shared" si="0"/>
        <v>201911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108">
        <v>93451.409999999989</v>
      </c>
      <c r="I21" s="108">
        <v>-55484.68</v>
      </c>
      <c r="J21" s="108">
        <v>2200.84</v>
      </c>
      <c r="K21" s="108">
        <v>-11547.379999999997</v>
      </c>
      <c r="M21">
        <f t="shared" si="1"/>
        <v>201911</v>
      </c>
      <c r="N21" s="108">
        <v>104404</v>
      </c>
      <c r="O21" s="108">
        <v>67840</v>
      </c>
    </row>
    <row r="22" spans="1:15" x14ac:dyDescent="0.2">
      <c r="A22">
        <f t="shared" si="0"/>
        <v>201912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108">
        <v>189998.52999999997</v>
      </c>
      <c r="I22" s="108">
        <v>-53453.53</v>
      </c>
      <c r="J22" s="108">
        <v>17921.5</v>
      </c>
      <c r="K22" s="108">
        <v>-12975.359999999999</v>
      </c>
      <c r="M22">
        <f t="shared" si="1"/>
        <v>201912</v>
      </c>
      <c r="N22" s="108">
        <v>52202</v>
      </c>
      <c r="O22" s="108">
        <v>33920</v>
      </c>
    </row>
    <row r="23" spans="1:15" ht="13.5" thickBot="1" x14ac:dyDescent="0.25">
      <c r="B23" s="96">
        <f t="shared" ref="B23:K23" si="2">SUM(B11:B22)</f>
        <v>0</v>
      </c>
      <c r="C23" s="96">
        <f t="shared" si="2"/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6">
        <f t="shared" si="2"/>
        <v>0</v>
      </c>
      <c r="H23" s="96">
        <f t="shared" si="2"/>
        <v>1835807.5099999998</v>
      </c>
      <c r="I23" s="96">
        <f t="shared" si="2"/>
        <v>-256666.68000000002</v>
      </c>
      <c r="J23" s="96">
        <f t="shared" si="2"/>
        <v>247958.28</v>
      </c>
      <c r="K23" s="96">
        <f t="shared" si="2"/>
        <v>-68576.969999999972</v>
      </c>
      <c r="N23" s="96">
        <f>SUM(N11:N22)</f>
        <v>587745.9890909089</v>
      </c>
      <c r="O23" s="96">
        <f>SUM(O11:O22)</f>
        <v>491050.82533073903</v>
      </c>
    </row>
    <row r="24" spans="1:15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N24" s="97" t="s">
        <v>94</v>
      </c>
      <c r="O24" s="97" t="s">
        <v>94</v>
      </c>
    </row>
    <row r="25" spans="1:15" x14ac:dyDescent="0.2">
      <c r="G25" s="97"/>
    </row>
    <row r="26" spans="1:15" x14ac:dyDescent="0.2">
      <c r="B26" s="95"/>
      <c r="C26" s="95"/>
      <c r="D26" s="95"/>
      <c r="E26" s="95"/>
      <c r="F26" s="95"/>
      <c r="G26" s="97" t="s">
        <v>94</v>
      </c>
      <c r="H26" s="98">
        <f>SUM(H23,J23)</f>
        <v>2083765.7899999998</v>
      </c>
      <c r="I26" t="s">
        <v>143</v>
      </c>
    </row>
    <row r="27" spans="1:15" x14ac:dyDescent="0.2">
      <c r="G27" s="97" t="s">
        <v>94</v>
      </c>
      <c r="H27" s="98">
        <f>SUM(I23,K23)</f>
        <v>-325243.65000000002</v>
      </c>
      <c r="I27" t="s">
        <v>144</v>
      </c>
    </row>
    <row r="28" spans="1:15" x14ac:dyDescent="0.2">
      <c r="B28" s="98"/>
      <c r="C28" s="98"/>
      <c r="D28" s="98"/>
      <c r="E28" s="98"/>
      <c r="F28" s="98"/>
      <c r="G28" s="98"/>
    </row>
    <row r="29" spans="1:15" x14ac:dyDescent="0.2">
      <c r="C29" s="99" t="s">
        <v>145</v>
      </c>
    </row>
    <row r="30" spans="1:15" x14ac:dyDescent="0.2">
      <c r="C30" s="100" t="s">
        <v>146</v>
      </c>
      <c r="D30" s="101"/>
      <c r="E30" s="102"/>
    </row>
    <row r="31" spans="1:15" x14ac:dyDescent="0.2">
      <c r="C31" s="103" t="s">
        <v>147</v>
      </c>
      <c r="E31" s="98"/>
    </row>
    <row r="33" s="104" customFormat="1" x14ac:dyDescent="0.2"/>
    <row r="34" s="104" customFormat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6" s="104" customFormat="1" x14ac:dyDescent="0.2"/>
    <row r="57" s="104" customFormat="1" x14ac:dyDescent="0.2"/>
    <row r="74" hidden="1" x14ac:dyDescent="0.2"/>
    <row r="75" hidden="1" x14ac:dyDescent="0.2"/>
    <row r="76" hidden="1" x14ac:dyDescent="0.2"/>
    <row r="77" s="104" customFormat="1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4" s="104" customFormat="1" x14ac:dyDescent="0.2"/>
    <row r="105" s="104" customFormat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6" s="104" customFormat="1" x14ac:dyDescent="0.2"/>
    <row r="127" s="104" customFormat="1" x14ac:dyDescent="0.2"/>
    <row r="142" hidden="1" x14ac:dyDescent="0.2"/>
    <row r="143" hidden="1" x14ac:dyDescent="0.2"/>
    <row r="144" hidden="1" x14ac:dyDescent="0.2"/>
    <row r="145" spans="1:1" hidden="1" x14ac:dyDescent="0.2"/>
    <row r="146" spans="1:1" hidden="1" x14ac:dyDescent="0.2"/>
    <row r="148" spans="1:1" x14ac:dyDescent="0.2">
      <c r="A148" s="104"/>
    </row>
    <row r="149" spans="1:1" s="104" customFormat="1" x14ac:dyDescent="0.2">
      <c r="A149"/>
    </row>
  </sheetData>
  <mergeCells count="7">
    <mergeCell ref="B6:K6"/>
    <mergeCell ref="N6:O6"/>
    <mergeCell ref="B7:C7"/>
    <mergeCell ref="D7:E7"/>
    <mergeCell ref="F7:G7"/>
    <mergeCell ref="H7:K7"/>
    <mergeCell ref="N7:O7"/>
  </mergeCells>
  <pageMargins left="0.7" right="0.7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/>
  </sheetViews>
  <sheetFormatPr defaultRowHeight="12.75" x14ac:dyDescent="0.2"/>
  <cols>
    <col min="1" max="1" width="9" bestFit="1" customWidth="1"/>
    <col min="2" max="3" width="16" bestFit="1" customWidth="1"/>
    <col min="4" max="4" width="15" bestFit="1" customWidth="1"/>
    <col min="5" max="5" width="14" bestFit="1" customWidth="1"/>
    <col min="6" max="6" width="12.42578125" bestFit="1" customWidth="1"/>
    <col min="7" max="7" width="13.85546875" bestFit="1" customWidth="1"/>
    <col min="8" max="8" width="15.42578125" bestFit="1" customWidth="1"/>
    <col min="9" max="9" width="1.28515625" customWidth="1"/>
    <col min="10" max="10" width="9" bestFit="1" customWidth="1"/>
    <col min="11" max="13" width="14.42578125" bestFit="1" customWidth="1"/>
    <col min="14" max="14" width="13.42578125" bestFit="1" customWidth="1"/>
    <col min="15" max="15" width="11.7109375" bestFit="1" customWidth="1"/>
    <col min="16" max="16" width="13.42578125" bestFit="1" customWidth="1"/>
    <col min="17" max="17" width="9.7109375" bestFit="1" customWidth="1"/>
    <col min="18" max="18" width="10.7109375" bestFit="1" customWidth="1"/>
    <col min="19" max="19" width="11.140625" customWidth="1"/>
    <col min="20" max="20" width="15.42578125" bestFit="1" customWidth="1"/>
    <col min="21" max="21" width="1.42578125" customWidth="1"/>
    <col min="23" max="24" width="14.42578125" bestFit="1" customWidth="1"/>
    <col min="25" max="25" width="12.28515625" bestFit="1" customWidth="1"/>
    <col min="26" max="26" width="11.28515625" bestFit="1" customWidth="1"/>
    <col min="27" max="27" width="11.7109375" bestFit="1" customWidth="1"/>
    <col min="28" max="28" width="13.85546875" bestFit="1" customWidth="1"/>
    <col min="29" max="29" width="13.42578125" bestFit="1" customWidth="1"/>
    <col min="30" max="30" width="14.42578125" bestFit="1" customWidth="1"/>
    <col min="31" max="31" width="1.7109375" customWidth="1"/>
    <col min="33" max="33" width="14.42578125" bestFit="1" customWidth="1"/>
    <col min="34" max="34" width="13.42578125" bestFit="1" customWidth="1"/>
    <col min="35" max="35" width="12.28515625" bestFit="1" customWidth="1"/>
    <col min="36" max="36" width="11.28515625" bestFit="1" customWidth="1"/>
    <col min="37" max="37" width="10.7109375" bestFit="1" customWidth="1"/>
    <col min="38" max="38" width="12.7109375" bestFit="1" customWidth="1"/>
    <col min="39" max="39" width="11.140625" customWidth="1"/>
    <col min="40" max="40" width="14.42578125" bestFit="1" customWidth="1"/>
  </cols>
  <sheetData>
    <row r="1" spans="1:40" x14ac:dyDescent="0.2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">
      <c r="A3" s="10" t="str">
        <f>SharedInputs!B2</f>
        <v>TWELVE MONTHS ENDED DECEMBER 31, 2019</v>
      </c>
      <c r="J3" s="10" t="str">
        <f>A3</f>
        <v>TWELVE MONTHS ENDED DECEMBER 31, 2019</v>
      </c>
      <c r="V3" s="10" t="str">
        <f>J3</f>
        <v>TWELVE MONTHS ENDED DECEMBER 31, 2019</v>
      </c>
      <c r="AF3" s="10" t="str">
        <f>V3</f>
        <v>TWELVE MONTHS ENDED DECEMBER 31, 2019</v>
      </c>
    </row>
    <row r="4" spans="1:40" x14ac:dyDescent="0.2">
      <c r="A4" s="10"/>
      <c r="J4" s="10"/>
      <c r="V4" s="10"/>
      <c r="AF4" s="10"/>
    </row>
    <row r="5" spans="1:40" x14ac:dyDescent="0.2">
      <c r="A5" s="10" t="s">
        <v>148</v>
      </c>
      <c r="J5" s="10" t="s">
        <v>149</v>
      </c>
      <c r="V5" s="10" t="s">
        <v>150</v>
      </c>
      <c r="AF5" s="10" t="s">
        <v>151</v>
      </c>
    </row>
    <row r="7" spans="1:40" x14ac:dyDescent="0.2">
      <c r="B7" s="105">
        <v>440000</v>
      </c>
      <c r="C7" s="94">
        <v>442200</v>
      </c>
      <c r="D7" s="94">
        <v>442300</v>
      </c>
      <c r="E7" s="94">
        <v>444000</v>
      </c>
      <c r="F7" s="94">
        <v>448000</v>
      </c>
      <c r="G7" s="105" t="s">
        <v>152</v>
      </c>
      <c r="H7" s="94"/>
      <c r="K7" s="105">
        <v>440000</v>
      </c>
      <c r="L7" s="94">
        <v>442200</v>
      </c>
      <c r="M7" s="94">
        <v>442300</v>
      </c>
      <c r="N7" s="94">
        <v>444000</v>
      </c>
      <c r="O7" s="94">
        <v>448000</v>
      </c>
      <c r="P7" s="105" t="s">
        <v>152</v>
      </c>
      <c r="Q7" s="105">
        <v>440000</v>
      </c>
      <c r="R7" s="94">
        <v>442200</v>
      </c>
      <c r="S7" s="94">
        <v>448000</v>
      </c>
      <c r="T7" s="94"/>
      <c r="W7" s="105">
        <v>480000</v>
      </c>
      <c r="X7" s="94" t="s">
        <v>153</v>
      </c>
      <c r="Y7" s="94">
        <v>481300</v>
      </c>
      <c r="Z7" s="94">
        <v>481400</v>
      </c>
      <c r="AA7" s="94">
        <v>484000</v>
      </c>
      <c r="AB7" s="105" t="s">
        <v>152</v>
      </c>
      <c r="AC7" s="105" t="s">
        <v>154</v>
      </c>
      <c r="AD7" s="94"/>
      <c r="AG7" s="105">
        <v>480000</v>
      </c>
      <c r="AH7" s="94" t="s">
        <v>153</v>
      </c>
      <c r="AI7" s="94">
        <v>481300</v>
      </c>
      <c r="AJ7" s="94">
        <v>481400</v>
      </c>
      <c r="AK7" s="94">
        <v>484000</v>
      </c>
      <c r="AL7" s="105" t="s">
        <v>152</v>
      </c>
      <c r="AM7" s="105">
        <v>489300</v>
      </c>
      <c r="AN7" s="94"/>
    </row>
    <row r="8" spans="1:40" x14ac:dyDescent="0.2">
      <c r="B8" s="94" t="s">
        <v>95</v>
      </c>
      <c r="C8" s="94" t="s">
        <v>95</v>
      </c>
      <c r="D8" s="94" t="s">
        <v>95</v>
      </c>
      <c r="E8" s="94" t="s">
        <v>95</v>
      </c>
      <c r="F8" s="94" t="s">
        <v>95</v>
      </c>
      <c r="G8" s="94" t="s">
        <v>95</v>
      </c>
      <c r="H8" s="94"/>
      <c r="K8" s="94" t="s">
        <v>95</v>
      </c>
      <c r="L8" s="94" t="s">
        <v>95</v>
      </c>
      <c r="M8" s="94" t="s">
        <v>95</v>
      </c>
      <c r="N8" s="94" t="s">
        <v>95</v>
      </c>
      <c r="O8" s="94" t="s">
        <v>95</v>
      </c>
      <c r="P8" s="94" t="s">
        <v>95</v>
      </c>
      <c r="Q8" s="94" t="s">
        <v>95</v>
      </c>
      <c r="R8" s="94" t="s">
        <v>95</v>
      </c>
      <c r="S8" s="94" t="s">
        <v>95</v>
      </c>
      <c r="T8" s="94"/>
      <c r="W8" s="94" t="s">
        <v>96</v>
      </c>
      <c r="X8" s="94" t="s">
        <v>96</v>
      </c>
      <c r="Y8" s="94" t="s">
        <v>96</v>
      </c>
      <c r="Z8" s="94" t="s">
        <v>96</v>
      </c>
      <c r="AA8" s="94" t="s">
        <v>96</v>
      </c>
      <c r="AB8" s="94" t="s">
        <v>96</v>
      </c>
      <c r="AC8" s="94" t="s">
        <v>96</v>
      </c>
      <c r="AD8" s="94"/>
      <c r="AG8" s="94" t="s">
        <v>96</v>
      </c>
      <c r="AH8" s="94" t="s">
        <v>96</v>
      </c>
      <c r="AI8" s="94" t="s">
        <v>96</v>
      </c>
      <c r="AJ8" s="94" t="s">
        <v>96</v>
      </c>
      <c r="AK8" s="94" t="s">
        <v>96</v>
      </c>
      <c r="AL8" s="94" t="s">
        <v>96</v>
      </c>
      <c r="AM8" s="94" t="s">
        <v>96</v>
      </c>
      <c r="AN8" s="94"/>
    </row>
    <row r="9" spans="1:40" x14ac:dyDescent="0.2">
      <c r="B9" s="94" t="s">
        <v>71</v>
      </c>
      <c r="C9" s="94" t="s">
        <v>71</v>
      </c>
      <c r="D9" s="94" t="s">
        <v>71</v>
      </c>
      <c r="E9" s="94" t="s">
        <v>71</v>
      </c>
      <c r="F9" s="94" t="s">
        <v>71</v>
      </c>
      <c r="G9" s="94" t="s">
        <v>71</v>
      </c>
      <c r="H9" s="94" t="s">
        <v>100</v>
      </c>
      <c r="K9" s="94" t="s">
        <v>72</v>
      </c>
      <c r="L9" s="94" t="s">
        <v>72</v>
      </c>
      <c r="M9" s="94" t="s">
        <v>72</v>
      </c>
      <c r="N9" s="94" t="s">
        <v>72</v>
      </c>
      <c r="O9" s="94" t="s">
        <v>72</v>
      </c>
      <c r="P9" s="94" t="s">
        <v>72</v>
      </c>
      <c r="Q9" s="94" t="s">
        <v>155</v>
      </c>
      <c r="R9" s="94" t="s">
        <v>155</v>
      </c>
      <c r="S9" s="94" t="s">
        <v>155</v>
      </c>
      <c r="T9" s="94" t="s">
        <v>100</v>
      </c>
      <c r="W9" s="94" t="s">
        <v>71</v>
      </c>
      <c r="X9" s="94" t="s">
        <v>71</v>
      </c>
      <c r="Y9" s="94" t="s">
        <v>71</v>
      </c>
      <c r="Z9" s="94" t="s">
        <v>71</v>
      </c>
      <c r="AA9" s="94" t="s">
        <v>71</v>
      </c>
      <c r="AB9" s="94" t="s">
        <v>71</v>
      </c>
      <c r="AC9" s="94" t="s">
        <v>71</v>
      </c>
      <c r="AD9" s="94" t="s">
        <v>100</v>
      </c>
      <c r="AG9" s="94" t="s">
        <v>72</v>
      </c>
      <c r="AH9" s="94" t="s">
        <v>72</v>
      </c>
      <c r="AI9" s="94" t="s">
        <v>72</v>
      </c>
      <c r="AJ9" s="94" t="s">
        <v>72</v>
      </c>
      <c r="AK9" s="94" t="s">
        <v>72</v>
      </c>
      <c r="AL9" s="94" t="s">
        <v>72</v>
      </c>
      <c r="AM9" s="94" t="s">
        <v>72</v>
      </c>
      <c r="AN9" s="94" t="s">
        <v>100</v>
      </c>
    </row>
    <row r="10" spans="1:40" x14ac:dyDescent="0.2">
      <c r="A10">
        <v>201901</v>
      </c>
      <c r="B10" s="110">
        <v>-27263167.809999995</v>
      </c>
      <c r="C10" s="110">
        <v>-19449889.389999997</v>
      </c>
      <c r="D10" s="110">
        <v>-5111276.8900000006</v>
      </c>
      <c r="E10" s="110">
        <v>-401154.47</v>
      </c>
      <c r="F10" s="110">
        <v>-116288.92000000001</v>
      </c>
      <c r="G10" s="110">
        <v>210403</v>
      </c>
      <c r="H10" s="111">
        <f>SUM(B10:G10)</f>
        <v>-52131374.479999989</v>
      </c>
      <c r="J10">
        <f>A10</f>
        <v>201901</v>
      </c>
      <c r="K10" s="110">
        <v>-13042794.65</v>
      </c>
      <c r="L10" s="110">
        <v>-8038966.5800000001</v>
      </c>
      <c r="M10" s="110">
        <v>-3433669.0599999996</v>
      </c>
      <c r="N10" s="110">
        <v>-223276.39000000007</v>
      </c>
      <c r="O10" s="110">
        <v>-24045.93</v>
      </c>
      <c r="P10" s="110">
        <v>678188</v>
      </c>
      <c r="Q10" s="110">
        <v>-2247.09</v>
      </c>
      <c r="R10" s="110">
        <v>-6094.4400000000005</v>
      </c>
      <c r="S10" s="110">
        <v>-5302.0999999999995</v>
      </c>
      <c r="T10" s="119">
        <f>SUM(K10:S10)</f>
        <v>-24098208.240000002</v>
      </c>
      <c r="V10">
        <f>J10</f>
        <v>201901</v>
      </c>
      <c r="W10" s="110">
        <v>-13140470.119999997</v>
      </c>
      <c r="X10" s="110">
        <v>-6206908.8000000017</v>
      </c>
      <c r="Y10" s="110">
        <v>-169226.46999999997</v>
      </c>
      <c r="Z10" s="110">
        <v>0</v>
      </c>
      <c r="AA10" s="110">
        <v>-30583.139999999996</v>
      </c>
      <c r="AB10" s="110">
        <v>-124679</v>
      </c>
      <c r="AC10" s="110">
        <v>-495713.18</v>
      </c>
      <c r="AD10" s="119">
        <f t="shared" ref="AD10:AD18" si="0">SUM(W10:AC10)</f>
        <v>-20167580.709999997</v>
      </c>
      <c r="AF10">
        <f>V10</f>
        <v>201901</v>
      </c>
      <c r="AG10" s="110">
        <v>-6005330.3500000006</v>
      </c>
      <c r="AH10" s="110">
        <v>-2474409.36</v>
      </c>
      <c r="AI10" s="110">
        <v>-113784.79999999999</v>
      </c>
      <c r="AJ10" s="110">
        <v>0</v>
      </c>
      <c r="AK10" s="110">
        <v>-4023.3700000000003</v>
      </c>
      <c r="AL10" s="110">
        <v>-143326</v>
      </c>
      <c r="AM10" s="110">
        <v>-47622.189999999995</v>
      </c>
      <c r="AN10" s="119">
        <f>SUM(AG10:AM10)</f>
        <v>-8788496.0700000003</v>
      </c>
    </row>
    <row r="11" spans="1:40" x14ac:dyDescent="0.2">
      <c r="A11">
        <f>A10+1</f>
        <v>201902</v>
      </c>
      <c r="B11" s="110">
        <v>-25312501.450000007</v>
      </c>
      <c r="C11" s="110">
        <v>-18658939.569999997</v>
      </c>
      <c r="D11" s="110">
        <v>-5006758.2000000011</v>
      </c>
      <c r="E11" s="110">
        <v>-415220.33999999997</v>
      </c>
      <c r="F11" s="110">
        <v>-112828.12000000002</v>
      </c>
      <c r="G11" s="110">
        <v>718005</v>
      </c>
      <c r="H11" s="111">
        <f t="shared" ref="H11:H21" si="1">SUM(B11:G11)</f>
        <v>-48788242.680000007</v>
      </c>
      <c r="J11">
        <f>J10+1</f>
        <v>201902</v>
      </c>
      <c r="K11" s="110">
        <v>-12756910.640000002</v>
      </c>
      <c r="L11" s="110">
        <v>-7983042.4200000009</v>
      </c>
      <c r="M11" s="110">
        <v>-3635579.209999999</v>
      </c>
      <c r="N11" s="110">
        <v>-225587.49</v>
      </c>
      <c r="O11" s="110">
        <v>-24186.21</v>
      </c>
      <c r="P11" s="110">
        <v>509737</v>
      </c>
      <c r="Q11" s="110">
        <v>-2829.29</v>
      </c>
      <c r="R11" s="110">
        <v>-5578.41</v>
      </c>
      <c r="S11" s="110">
        <v>-5918.0999999999995</v>
      </c>
      <c r="T11" s="119">
        <f t="shared" ref="T11:T21" si="2">SUM(K11:S11)</f>
        <v>-24129894.770000003</v>
      </c>
      <c r="V11">
        <f>V10+1</f>
        <v>201902</v>
      </c>
      <c r="W11" s="110">
        <v>-13417619.069999998</v>
      </c>
      <c r="X11" s="110">
        <v>-6614272.8599999985</v>
      </c>
      <c r="Y11" s="110">
        <v>-188646.73</v>
      </c>
      <c r="Z11" s="110">
        <v>0</v>
      </c>
      <c r="AA11" s="110">
        <v>-33758.11</v>
      </c>
      <c r="AB11" s="110">
        <v>-422570</v>
      </c>
      <c r="AC11" s="110">
        <v>-492064.82</v>
      </c>
      <c r="AD11" s="119">
        <f t="shared" si="0"/>
        <v>-21168931.589999996</v>
      </c>
      <c r="AF11">
        <f>AF10+1</f>
        <v>201902</v>
      </c>
      <c r="AG11" s="110">
        <v>-6474463.3399999999</v>
      </c>
      <c r="AH11" s="110">
        <v>-2652092.9299999997</v>
      </c>
      <c r="AI11" s="110">
        <v>-119698.94</v>
      </c>
      <c r="AJ11" s="110">
        <v>0</v>
      </c>
      <c r="AK11" s="110">
        <v>-4161.75</v>
      </c>
      <c r="AL11" s="110">
        <v>-366040</v>
      </c>
      <c r="AM11" s="110">
        <v>-53335.040000000001</v>
      </c>
      <c r="AN11" s="119">
        <f t="shared" ref="AN11:AN21" si="3">SUM(AG11:AM11)</f>
        <v>-9669791.9999999981</v>
      </c>
    </row>
    <row r="12" spans="1:40" x14ac:dyDescent="0.2">
      <c r="A12">
        <f t="shared" ref="A12:A21" si="4">A11+1</f>
        <v>201903</v>
      </c>
      <c r="B12" s="110">
        <v>-27807428.570000004</v>
      </c>
      <c r="C12" s="110">
        <v>-19611119.969999999</v>
      </c>
      <c r="D12" s="110">
        <v>-4813373.1700000009</v>
      </c>
      <c r="E12" s="110">
        <v>-411792.99</v>
      </c>
      <c r="F12" s="110">
        <v>-117583.22000000002</v>
      </c>
      <c r="G12" s="110">
        <v>2737167</v>
      </c>
      <c r="H12" s="111">
        <f t="shared" si="1"/>
        <v>-50024130.920000009</v>
      </c>
      <c r="J12">
        <f t="shared" ref="J12:J21" si="5">J11+1</f>
        <v>201903</v>
      </c>
      <c r="K12" s="110">
        <v>-13022320.899999997</v>
      </c>
      <c r="L12" s="110">
        <v>-8025652.7600000007</v>
      </c>
      <c r="M12" s="110">
        <v>-3368001.4999999995</v>
      </c>
      <c r="N12" s="110">
        <v>-226087.81000000003</v>
      </c>
      <c r="O12" s="110">
        <v>-23227.56</v>
      </c>
      <c r="P12" s="110">
        <v>764460</v>
      </c>
      <c r="Q12" s="110">
        <v>-2672.85</v>
      </c>
      <c r="R12" s="110">
        <v>-5480.28</v>
      </c>
      <c r="S12" s="110">
        <v>-5987.89</v>
      </c>
      <c r="T12" s="119">
        <f t="shared" si="2"/>
        <v>-23914971.549999997</v>
      </c>
      <c r="V12">
        <f t="shared" ref="V12:V21" si="6">V11+1</f>
        <v>201903</v>
      </c>
      <c r="W12" s="110">
        <v>-14692770.470000001</v>
      </c>
      <c r="X12" s="110">
        <v>-7022933.46</v>
      </c>
      <c r="Y12" s="110">
        <v>-190839.25999999998</v>
      </c>
      <c r="Z12" s="110">
        <v>0</v>
      </c>
      <c r="AA12" s="110">
        <v>-34640.42</v>
      </c>
      <c r="AB12" s="110">
        <v>6152737</v>
      </c>
      <c r="AC12" s="110">
        <v>-497527.06</v>
      </c>
      <c r="AD12" s="119">
        <f t="shared" si="0"/>
        <v>-16285973.670000004</v>
      </c>
      <c r="AF12">
        <f t="shared" ref="AF12:AF21" si="7">AF11+1</f>
        <v>201903</v>
      </c>
      <c r="AG12" s="110">
        <v>-6574812.3199999994</v>
      </c>
      <c r="AH12" s="110">
        <v>-2762833.37</v>
      </c>
      <c r="AI12" s="110">
        <v>-120194.18999999999</v>
      </c>
      <c r="AJ12" s="110">
        <v>0</v>
      </c>
      <c r="AK12" s="110">
        <v>-4769.91</v>
      </c>
      <c r="AL12" s="110">
        <v>2634617</v>
      </c>
      <c r="AM12" s="110">
        <v>-47980.85</v>
      </c>
      <c r="AN12" s="119">
        <f t="shared" si="3"/>
        <v>-6875973.6399999987</v>
      </c>
    </row>
    <row r="13" spans="1:40" x14ac:dyDescent="0.2">
      <c r="A13">
        <f t="shared" si="4"/>
        <v>201904</v>
      </c>
      <c r="B13" s="110">
        <v>-19344805.460000001</v>
      </c>
      <c r="C13" s="110">
        <v>-17781398.290000003</v>
      </c>
      <c r="D13" s="110">
        <v>-5080110.290000001</v>
      </c>
      <c r="E13" s="110">
        <v>-396035.97</v>
      </c>
      <c r="F13" s="110">
        <v>-97865.45</v>
      </c>
      <c r="G13" s="110">
        <v>2979247</v>
      </c>
      <c r="H13" s="111">
        <f t="shared" si="1"/>
        <v>-39720968.460000001</v>
      </c>
      <c r="J13">
        <f t="shared" si="5"/>
        <v>201904</v>
      </c>
      <c r="K13" s="110">
        <v>-9576962.660000002</v>
      </c>
      <c r="L13" s="110">
        <v>-7238436.669999999</v>
      </c>
      <c r="M13" s="110">
        <v>-4504977.7299999995</v>
      </c>
      <c r="N13" s="110">
        <v>-224452.75000000003</v>
      </c>
      <c r="O13" s="110">
        <v>-18037.28</v>
      </c>
      <c r="P13" s="110">
        <v>1467310</v>
      </c>
      <c r="Q13" s="110">
        <v>-1851.56</v>
      </c>
      <c r="R13" s="110">
        <v>-3843.67</v>
      </c>
      <c r="S13" s="110">
        <v>-4330.88</v>
      </c>
      <c r="T13" s="119">
        <f t="shared" si="2"/>
        <v>-20105583.200000003</v>
      </c>
      <c r="V13">
        <f t="shared" si="6"/>
        <v>201904</v>
      </c>
      <c r="W13" s="110">
        <v>-7872208.6500000022</v>
      </c>
      <c r="X13" s="110">
        <v>-3961015.7399999993</v>
      </c>
      <c r="Y13" s="110">
        <v>-118416.94000000002</v>
      </c>
      <c r="Z13" s="110">
        <v>0</v>
      </c>
      <c r="AA13" s="110">
        <v>-19936.07</v>
      </c>
      <c r="AB13" s="110">
        <v>2472384</v>
      </c>
      <c r="AC13" s="110">
        <v>-474699.51999999996</v>
      </c>
      <c r="AD13" s="119">
        <f t="shared" si="0"/>
        <v>-9973892.9199999999</v>
      </c>
      <c r="AF13">
        <f t="shared" si="7"/>
        <v>201904</v>
      </c>
      <c r="AG13" s="110">
        <v>-3767171.0700000003</v>
      </c>
      <c r="AH13" s="110">
        <v>-1546655.9999999998</v>
      </c>
      <c r="AI13" s="110">
        <v>-93180.779999999984</v>
      </c>
      <c r="AJ13" s="110">
        <v>0</v>
      </c>
      <c r="AK13" s="110">
        <v>-2525.63</v>
      </c>
      <c r="AL13" s="110">
        <v>982667</v>
      </c>
      <c r="AM13" s="110">
        <v>-51415.29</v>
      </c>
      <c r="AN13" s="119">
        <f t="shared" si="3"/>
        <v>-4478281.7700000005</v>
      </c>
    </row>
    <row r="14" spans="1:40" x14ac:dyDescent="0.2">
      <c r="A14">
        <f t="shared" si="4"/>
        <v>201905</v>
      </c>
      <c r="B14" s="110">
        <v>-16388720.179999996</v>
      </c>
      <c r="C14" s="110">
        <v>-17466214.809999995</v>
      </c>
      <c r="D14" s="110">
        <v>-5038048.1400000006</v>
      </c>
      <c r="E14" s="110">
        <v>-415311.35999999999</v>
      </c>
      <c r="F14" s="110">
        <v>-93337.700000000026</v>
      </c>
      <c r="G14" s="110">
        <v>-1129762</v>
      </c>
      <c r="H14" s="111">
        <f t="shared" si="1"/>
        <v>-40531394.189999998</v>
      </c>
      <c r="J14">
        <f t="shared" si="5"/>
        <v>201905</v>
      </c>
      <c r="K14" s="110">
        <v>-7726920.5399999982</v>
      </c>
      <c r="L14" s="110">
        <v>-6760046.0200000014</v>
      </c>
      <c r="M14" s="110">
        <v>-4208777.0699999994</v>
      </c>
      <c r="N14" s="110">
        <v>-222357.76000000004</v>
      </c>
      <c r="O14" s="110">
        <v>-15005.86</v>
      </c>
      <c r="P14" s="110">
        <v>-141758</v>
      </c>
      <c r="Q14" s="110">
        <v>-1139.92</v>
      </c>
      <c r="R14" s="110">
        <v>-2501.8700000000003</v>
      </c>
      <c r="S14" s="110">
        <v>-2002.63</v>
      </c>
      <c r="T14" s="119">
        <f t="shared" si="2"/>
        <v>-19080509.670000002</v>
      </c>
      <c r="V14">
        <f t="shared" si="6"/>
        <v>201905</v>
      </c>
      <c r="W14" s="110">
        <v>-5134407.5600000005</v>
      </c>
      <c r="X14" s="110">
        <v>-2346537.0000000005</v>
      </c>
      <c r="Y14" s="110">
        <v>-89253.08</v>
      </c>
      <c r="Z14" s="110">
        <v>0</v>
      </c>
      <c r="AA14" s="110">
        <v>-11140.27</v>
      </c>
      <c r="AB14" s="110">
        <v>1888888</v>
      </c>
      <c r="AC14" s="110">
        <v>-410976.04000000004</v>
      </c>
      <c r="AD14" s="119">
        <f t="shared" si="0"/>
        <v>-6103425.9500000002</v>
      </c>
      <c r="AF14">
        <f t="shared" si="7"/>
        <v>201905</v>
      </c>
      <c r="AG14" s="110">
        <v>-2398680.96</v>
      </c>
      <c r="AH14" s="110">
        <v>-977436.2</v>
      </c>
      <c r="AI14" s="110">
        <v>-61890.380000000005</v>
      </c>
      <c r="AJ14" s="110">
        <v>0</v>
      </c>
      <c r="AK14" s="110">
        <v>-1648.5</v>
      </c>
      <c r="AL14" s="110">
        <v>859679</v>
      </c>
      <c r="AM14" s="110">
        <v>-55866.239999999998</v>
      </c>
      <c r="AN14" s="119">
        <f t="shared" si="3"/>
        <v>-2635843.2800000003</v>
      </c>
    </row>
    <row r="15" spans="1:40" x14ac:dyDescent="0.2">
      <c r="A15">
        <f t="shared" si="4"/>
        <v>201906</v>
      </c>
      <c r="B15" s="110">
        <v>-15676333.869999999</v>
      </c>
      <c r="C15" s="110">
        <v>-18317194.170000002</v>
      </c>
      <c r="D15" s="110">
        <v>-5840462.6899999985</v>
      </c>
      <c r="E15" s="110">
        <v>-415973.11999999994</v>
      </c>
      <c r="F15" s="110">
        <v>-90589.299999999988</v>
      </c>
      <c r="G15" s="110">
        <v>-1394883</v>
      </c>
      <c r="H15" s="111">
        <f t="shared" si="1"/>
        <v>-41735436.149999991</v>
      </c>
      <c r="J15">
        <f t="shared" si="5"/>
        <v>201906</v>
      </c>
      <c r="K15" s="110">
        <v>-7485368.3399999989</v>
      </c>
      <c r="L15" s="110">
        <v>-6971312.1800000006</v>
      </c>
      <c r="M15" s="110">
        <v>-4308647.3100000005</v>
      </c>
      <c r="N15" s="110">
        <v>-222387.19</v>
      </c>
      <c r="O15" s="110">
        <v>-18225.599999999999</v>
      </c>
      <c r="P15" s="110">
        <v>-211446</v>
      </c>
      <c r="Q15" s="110">
        <v>-743.7</v>
      </c>
      <c r="R15" s="110">
        <v>-1114.31</v>
      </c>
      <c r="S15" s="110">
        <v>-1114.29</v>
      </c>
      <c r="T15" s="119">
        <f t="shared" si="2"/>
        <v>-19220358.919999998</v>
      </c>
      <c r="V15">
        <f t="shared" si="6"/>
        <v>201906</v>
      </c>
      <c r="W15" s="110">
        <v>-3315978.4299999997</v>
      </c>
      <c r="X15" s="110">
        <v>-1537193.11</v>
      </c>
      <c r="Y15" s="110">
        <v>-74776.72</v>
      </c>
      <c r="Z15" s="110">
        <v>0</v>
      </c>
      <c r="AA15" s="110">
        <v>-5296.6299999999992</v>
      </c>
      <c r="AB15" s="110">
        <v>302534</v>
      </c>
      <c r="AC15" s="110">
        <v>-369814.22</v>
      </c>
      <c r="AD15" s="119">
        <f t="shared" si="0"/>
        <v>-5000525.1099999994</v>
      </c>
      <c r="AF15">
        <f t="shared" si="7"/>
        <v>201906</v>
      </c>
      <c r="AG15" s="110">
        <v>-1514294.79</v>
      </c>
      <c r="AH15" s="110">
        <v>-639867.00000000012</v>
      </c>
      <c r="AI15" s="110">
        <v>-60847.62</v>
      </c>
      <c r="AJ15" s="110">
        <v>0</v>
      </c>
      <c r="AK15" s="110">
        <v>-795.64</v>
      </c>
      <c r="AL15" s="110">
        <v>132727</v>
      </c>
      <c r="AM15" s="110">
        <v>-47827.5</v>
      </c>
      <c r="AN15" s="119">
        <f t="shared" si="3"/>
        <v>-2130905.5500000003</v>
      </c>
    </row>
    <row r="16" spans="1:40" x14ac:dyDescent="0.2">
      <c r="A16">
        <f t="shared" si="4"/>
        <v>201907</v>
      </c>
      <c r="B16" s="110">
        <v>-17420331.93</v>
      </c>
      <c r="C16" s="110">
        <v>-19502527.219999999</v>
      </c>
      <c r="D16" s="110">
        <v>-5932801.1100000022</v>
      </c>
      <c r="E16" s="110">
        <v>-413843.06</v>
      </c>
      <c r="F16" s="110">
        <v>-94629.87000000001</v>
      </c>
      <c r="G16" s="110">
        <v>-2093689</v>
      </c>
      <c r="H16" s="111">
        <f t="shared" si="1"/>
        <v>-45457822.189999998</v>
      </c>
      <c r="J16">
        <f t="shared" si="5"/>
        <v>201907</v>
      </c>
      <c r="K16" s="110">
        <v>-7899767.0899999999</v>
      </c>
      <c r="L16" s="110">
        <v>-7236456.2800000003</v>
      </c>
      <c r="M16" s="110">
        <v>-4144891.9400000004</v>
      </c>
      <c r="N16" s="110">
        <v>-221133.18000000002</v>
      </c>
      <c r="O16" s="110">
        <v>-19379.049999999996</v>
      </c>
      <c r="P16" s="110">
        <v>-853386</v>
      </c>
      <c r="Q16" s="110">
        <v>-607.85</v>
      </c>
      <c r="R16" s="110">
        <v>-1082.6000000000001</v>
      </c>
      <c r="S16" s="110">
        <v>-1015.5</v>
      </c>
      <c r="T16" s="119">
        <f t="shared" si="2"/>
        <v>-20377719.490000006</v>
      </c>
      <c r="V16">
        <f t="shared" si="6"/>
        <v>201907</v>
      </c>
      <c r="W16" s="110">
        <v>-3047993.87</v>
      </c>
      <c r="X16" s="110">
        <v>-1400825.27</v>
      </c>
      <c r="Y16" s="110">
        <v>-71284.819999999992</v>
      </c>
      <c r="Z16" s="110">
        <v>0</v>
      </c>
      <c r="AA16" s="110">
        <v>-4318.8600000000006</v>
      </c>
      <c r="AB16" s="110">
        <v>87310</v>
      </c>
      <c r="AC16" s="110">
        <v>-363062.94</v>
      </c>
      <c r="AD16" s="119">
        <f t="shared" si="0"/>
        <v>-4800175.7600000016</v>
      </c>
      <c r="AF16">
        <f t="shared" si="7"/>
        <v>201907</v>
      </c>
      <c r="AG16" s="110">
        <v>-1268998.54</v>
      </c>
      <c r="AH16" s="110">
        <v>-614206.27999999991</v>
      </c>
      <c r="AI16" s="110">
        <v>-63860.039999999994</v>
      </c>
      <c r="AJ16" s="110">
        <v>0</v>
      </c>
      <c r="AK16" s="110">
        <v>-730.24</v>
      </c>
      <c r="AL16" s="110">
        <v>58811</v>
      </c>
      <c r="AM16" s="110">
        <v>-42023.77</v>
      </c>
      <c r="AN16" s="119">
        <f t="shared" si="3"/>
        <v>-1931007.8699999999</v>
      </c>
    </row>
    <row r="17" spans="1:40" x14ac:dyDescent="0.2">
      <c r="A17">
        <f t="shared" si="4"/>
        <v>201908</v>
      </c>
      <c r="B17" s="110">
        <v>-18863188.499999996</v>
      </c>
      <c r="C17" s="110">
        <v>-20202133.040000003</v>
      </c>
      <c r="D17" s="110">
        <v>-6042599.7999999998</v>
      </c>
      <c r="E17" s="110">
        <v>-391737.58</v>
      </c>
      <c r="F17" s="110">
        <v>-93562.14</v>
      </c>
      <c r="G17" s="110">
        <v>-711436</v>
      </c>
      <c r="H17" s="111">
        <f t="shared" si="1"/>
        <v>-46304657.059999995</v>
      </c>
      <c r="J17">
        <f t="shared" si="5"/>
        <v>201908</v>
      </c>
      <c r="K17" s="110">
        <v>-8747997.6199999992</v>
      </c>
      <c r="L17" s="110">
        <v>-7670089.5800000001</v>
      </c>
      <c r="M17" s="110">
        <v>-4472134.79</v>
      </c>
      <c r="N17" s="110">
        <v>-219110.02999999997</v>
      </c>
      <c r="O17" s="110">
        <v>-21478.899999999998</v>
      </c>
      <c r="P17" s="110">
        <v>-706239</v>
      </c>
      <c r="Q17" s="110">
        <v>-628.04</v>
      </c>
      <c r="R17" s="110">
        <v>-1157.2</v>
      </c>
      <c r="S17" s="110">
        <v>-1085.5</v>
      </c>
      <c r="T17" s="119">
        <f t="shared" si="2"/>
        <v>-21839920.659999996</v>
      </c>
      <c r="V17">
        <f t="shared" si="6"/>
        <v>201908</v>
      </c>
      <c r="W17" s="110">
        <v>-2829038.7299999995</v>
      </c>
      <c r="X17" s="110">
        <v>-1288148.4400000004</v>
      </c>
      <c r="Y17" s="110">
        <v>-69316.5</v>
      </c>
      <c r="Z17" s="110">
        <v>0</v>
      </c>
      <c r="AA17" s="110">
        <v>-4044.0800000000004</v>
      </c>
      <c r="AB17" s="110">
        <v>-177171</v>
      </c>
      <c r="AC17" s="110">
        <v>-369737.32</v>
      </c>
      <c r="AD17" s="119">
        <f t="shared" si="0"/>
        <v>-4737456.07</v>
      </c>
      <c r="AF17">
        <f t="shared" si="7"/>
        <v>201908</v>
      </c>
      <c r="AG17" s="110">
        <v>-1136623.06</v>
      </c>
      <c r="AH17" s="110">
        <v>-586608.1</v>
      </c>
      <c r="AI17" s="110">
        <v>-69756.930000000022</v>
      </c>
      <c r="AJ17" s="110">
        <v>0</v>
      </c>
      <c r="AK17" s="110">
        <v>-694.1</v>
      </c>
      <c r="AL17" s="110">
        <v>-82154</v>
      </c>
      <c r="AM17" s="110">
        <v>-41631.35</v>
      </c>
      <c r="AN17" s="119">
        <f t="shared" si="3"/>
        <v>-1917467.5400000003</v>
      </c>
    </row>
    <row r="18" spans="1:40" x14ac:dyDescent="0.2">
      <c r="A18">
        <f t="shared" si="4"/>
        <v>201909</v>
      </c>
      <c r="B18" s="110">
        <v>-17990423.98</v>
      </c>
      <c r="C18" s="110">
        <v>-19867203.09</v>
      </c>
      <c r="D18" s="110">
        <v>-6046279.8200000003</v>
      </c>
      <c r="E18" s="110">
        <v>-387912.84</v>
      </c>
      <c r="F18" s="110">
        <v>-101400.30999999998</v>
      </c>
      <c r="G18" s="110">
        <v>3823078</v>
      </c>
      <c r="H18" s="111">
        <f t="shared" si="1"/>
        <v>-40570142.040000007</v>
      </c>
      <c r="J18">
        <f t="shared" si="5"/>
        <v>201909</v>
      </c>
      <c r="K18" s="110">
        <v>-8095463.8399999989</v>
      </c>
      <c r="L18" s="110">
        <v>-7637751.2400000002</v>
      </c>
      <c r="M18" s="110">
        <v>-4519327.0300000012</v>
      </c>
      <c r="N18" s="110">
        <v>-214963.62</v>
      </c>
      <c r="O18" s="110">
        <v>-13607.15</v>
      </c>
      <c r="P18" s="110">
        <v>2140198</v>
      </c>
      <c r="Q18" s="110">
        <v>-580.98</v>
      </c>
      <c r="R18" s="110">
        <v>-1239.24</v>
      </c>
      <c r="S18" s="110">
        <v>-1039.8399999999999</v>
      </c>
      <c r="T18" s="119">
        <f t="shared" si="2"/>
        <v>-18343774.939999998</v>
      </c>
      <c r="V18">
        <f t="shared" si="6"/>
        <v>201909</v>
      </c>
      <c r="W18" s="110">
        <v>-2965297.9899999998</v>
      </c>
      <c r="X18" s="110">
        <v>-1361498.17</v>
      </c>
      <c r="Y18" s="110">
        <v>-106676.44</v>
      </c>
      <c r="Z18" s="110">
        <v>0</v>
      </c>
      <c r="AA18" s="110">
        <v>-3903.2400000000007</v>
      </c>
      <c r="AB18" s="110">
        <v>-1151500</v>
      </c>
      <c r="AC18" s="110">
        <v>-400324.47</v>
      </c>
      <c r="AD18" s="119">
        <f t="shared" si="0"/>
        <v>-5989200.3100000005</v>
      </c>
      <c r="AF18">
        <f t="shared" si="7"/>
        <v>201909</v>
      </c>
      <c r="AG18" s="110">
        <v>-1247976.3400000001</v>
      </c>
      <c r="AH18" s="110">
        <v>-595299.45000000007</v>
      </c>
      <c r="AI18" s="110">
        <v>-56338.840000000004</v>
      </c>
      <c r="AJ18" s="110">
        <v>0</v>
      </c>
      <c r="AK18" s="110">
        <v>-733.41</v>
      </c>
      <c r="AL18" s="110">
        <v>-554481</v>
      </c>
      <c r="AM18" s="110">
        <v>-40735.17</v>
      </c>
      <c r="AN18" s="119">
        <f t="shared" si="3"/>
        <v>-2495564.21</v>
      </c>
    </row>
    <row r="19" spans="1:40" ht="13.5" thickBot="1" x14ac:dyDescent="0.25">
      <c r="A19">
        <f t="shared" si="4"/>
        <v>201910</v>
      </c>
      <c r="B19" s="112">
        <v>-17229920.309999999</v>
      </c>
      <c r="C19" s="112">
        <v>-18535751.519999996</v>
      </c>
      <c r="D19" s="112">
        <v>-5288381.0999999996</v>
      </c>
      <c r="E19" s="112">
        <v>-388075.01999999996</v>
      </c>
      <c r="F19" s="112">
        <v>-94369.099999999991</v>
      </c>
      <c r="G19" s="113">
        <v>-3490840</v>
      </c>
      <c r="H19" s="111">
        <f t="shared" si="1"/>
        <v>-45027337.050000004</v>
      </c>
      <c r="J19">
        <f t="shared" si="5"/>
        <v>201910</v>
      </c>
      <c r="K19" s="112">
        <v>-8011849.919999999</v>
      </c>
      <c r="L19" s="112">
        <v>-6961785.8200000003</v>
      </c>
      <c r="M19" s="112">
        <v>-3909438.5200000005</v>
      </c>
      <c r="N19" s="112">
        <v>-222729.73</v>
      </c>
      <c r="O19" s="112">
        <v>-14526.16</v>
      </c>
      <c r="P19" s="113">
        <v>-2387300</v>
      </c>
      <c r="Q19" s="112">
        <v>-1136.6500000000001</v>
      </c>
      <c r="R19" s="112">
        <v>-1797.26</v>
      </c>
      <c r="S19" s="112">
        <v>-3034.44</v>
      </c>
      <c r="T19" s="119">
        <f t="shared" si="2"/>
        <v>-21513598.5</v>
      </c>
      <c r="V19">
        <f t="shared" si="6"/>
        <v>201910</v>
      </c>
      <c r="W19" s="112">
        <v>-5857066.5900000008</v>
      </c>
      <c r="X19" s="113">
        <v>-2666750.7400000002</v>
      </c>
      <c r="Y19" s="112">
        <v>-117482.44</v>
      </c>
      <c r="Z19" s="110">
        <v>0</v>
      </c>
      <c r="AA19" s="112">
        <v>-10244</v>
      </c>
      <c r="AB19" s="113">
        <v>-4014942</v>
      </c>
      <c r="AC19" s="113">
        <v>-387393.33</v>
      </c>
      <c r="AD19" s="119">
        <f t="shared" ref="AD19:AD21" si="8">SUM(W19:AC19)</f>
        <v>-13053879.100000001</v>
      </c>
      <c r="AF19">
        <f t="shared" si="7"/>
        <v>201910</v>
      </c>
      <c r="AG19" s="112">
        <v>-2730306.0500000003</v>
      </c>
      <c r="AH19" s="112">
        <v>-1060687.0599999998</v>
      </c>
      <c r="AI19" s="112">
        <v>-94040.139999999985</v>
      </c>
      <c r="AJ19" s="110">
        <v>0</v>
      </c>
      <c r="AK19" s="112">
        <v>-1580.28</v>
      </c>
      <c r="AL19" s="113">
        <v>-1914417</v>
      </c>
      <c r="AM19" s="112">
        <v>-58324.35</v>
      </c>
      <c r="AN19" s="119">
        <f t="shared" si="3"/>
        <v>-5859354.8799999999</v>
      </c>
    </row>
    <row r="20" spans="1:40" ht="13.5" thickBot="1" x14ac:dyDescent="0.25">
      <c r="A20">
        <f t="shared" si="4"/>
        <v>201911</v>
      </c>
      <c r="B20" s="112">
        <v>-20213381.379999999</v>
      </c>
      <c r="C20" s="112">
        <v>-18051688.020000007</v>
      </c>
      <c r="D20" s="112">
        <v>-5181940.4800000004</v>
      </c>
      <c r="E20" s="112">
        <v>-384881.25</v>
      </c>
      <c r="F20" s="112">
        <v>-96222.319999999992</v>
      </c>
      <c r="G20" s="113">
        <v>-2319733</v>
      </c>
      <c r="H20" s="111">
        <f t="shared" si="1"/>
        <v>-46247846.45000001</v>
      </c>
      <c r="J20">
        <f t="shared" si="5"/>
        <v>201911</v>
      </c>
      <c r="K20" s="112">
        <v>-10281848.119999999</v>
      </c>
      <c r="L20" s="112">
        <v>-7371268.8600000003</v>
      </c>
      <c r="M20" s="112">
        <v>-4503811.62</v>
      </c>
      <c r="N20" s="112">
        <v>-212666.4</v>
      </c>
      <c r="O20" s="112">
        <v>-19791.900000000005</v>
      </c>
      <c r="P20" s="113">
        <v>-1701172</v>
      </c>
      <c r="Q20" s="112">
        <v>-1695.87</v>
      </c>
      <c r="R20" s="112">
        <v>-2654.68</v>
      </c>
      <c r="S20" s="112">
        <v>-4413.6000000000004</v>
      </c>
      <c r="T20" s="119">
        <f t="shared" si="2"/>
        <v>-24099323.050000001</v>
      </c>
      <c r="V20">
        <f t="shared" si="6"/>
        <v>201911</v>
      </c>
      <c r="W20" s="112">
        <v>-9942195.9100000001</v>
      </c>
      <c r="X20" s="113">
        <v>-4688017.22</v>
      </c>
      <c r="Y20" s="112">
        <v>-164504.10999999999</v>
      </c>
      <c r="Z20" s="110">
        <v>0</v>
      </c>
      <c r="AA20" s="112">
        <v>-19452.310000000001</v>
      </c>
      <c r="AB20" s="113">
        <v>-2758935</v>
      </c>
      <c r="AC20" s="113">
        <v>-463342.62</v>
      </c>
      <c r="AD20" s="119">
        <f t="shared" si="8"/>
        <v>-18036447.169999998</v>
      </c>
      <c r="AF20">
        <f t="shared" si="7"/>
        <v>201911</v>
      </c>
      <c r="AG20" s="112">
        <v>-4602140.7</v>
      </c>
      <c r="AH20" s="112">
        <v>-1818822.7300000002</v>
      </c>
      <c r="AI20" s="112">
        <v>-108846.36999999998</v>
      </c>
      <c r="AJ20" s="110">
        <v>0</v>
      </c>
      <c r="AK20" s="112">
        <v>-3047.02</v>
      </c>
      <c r="AL20" s="113">
        <v>-1212926</v>
      </c>
      <c r="AM20" s="112">
        <v>-51840.61</v>
      </c>
      <c r="AN20" s="119">
        <f t="shared" si="3"/>
        <v>-7797623.4300000006</v>
      </c>
    </row>
    <row r="21" spans="1:40" x14ac:dyDescent="0.2">
      <c r="A21">
        <f t="shared" si="4"/>
        <v>201912</v>
      </c>
      <c r="B21" s="114">
        <v>-26547725.259999998</v>
      </c>
      <c r="C21" s="114">
        <v>-20274184.609999999</v>
      </c>
      <c r="D21" s="114">
        <v>-4749277.45</v>
      </c>
      <c r="E21" s="115">
        <v>-356024.94000000006</v>
      </c>
      <c r="F21" s="115">
        <v>-118965.34000000001</v>
      </c>
      <c r="G21" s="116">
        <v>808644</v>
      </c>
      <c r="H21" s="117">
        <f t="shared" si="1"/>
        <v>-51237533.600000001</v>
      </c>
      <c r="J21">
        <f t="shared" si="5"/>
        <v>201912</v>
      </c>
      <c r="K21" s="115">
        <v>-12909157.450000001</v>
      </c>
      <c r="L21" s="115">
        <v>-8033354.54</v>
      </c>
      <c r="M21" s="115">
        <v>-4401942.3899999997</v>
      </c>
      <c r="N21" s="115">
        <v>-234919.67</v>
      </c>
      <c r="O21" s="115">
        <v>-22694.549999999996</v>
      </c>
      <c r="P21" s="116">
        <v>-58788</v>
      </c>
      <c r="Q21" s="115">
        <v>-1935.7</v>
      </c>
      <c r="R21" s="115">
        <v>-2417.02</v>
      </c>
      <c r="S21" s="115">
        <v>-5194.08</v>
      </c>
      <c r="T21" s="119">
        <f t="shared" si="2"/>
        <v>-25670403.400000002</v>
      </c>
      <c r="V21">
        <f t="shared" si="6"/>
        <v>201912</v>
      </c>
      <c r="W21" s="115">
        <v>-14936404.77</v>
      </c>
      <c r="X21" s="116">
        <v>-7320168.6399999997</v>
      </c>
      <c r="Y21" s="115">
        <v>-204455.26</v>
      </c>
      <c r="Z21" s="121">
        <v>0</v>
      </c>
      <c r="AA21" s="115">
        <v>-32302.91</v>
      </c>
      <c r="AB21" s="116">
        <v>534386</v>
      </c>
      <c r="AC21" s="116">
        <v>-458548.30000000005</v>
      </c>
      <c r="AD21" s="122">
        <f t="shared" si="8"/>
        <v>-22417493.880000003</v>
      </c>
      <c r="AF21">
        <f t="shared" si="7"/>
        <v>201912</v>
      </c>
      <c r="AG21" s="115">
        <v>-6351325.9100000011</v>
      </c>
      <c r="AH21" s="115">
        <v>-2528749.4200000004</v>
      </c>
      <c r="AI21" s="115">
        <v>-130621.50999999998</v>
      </c>
      <c r="AJ21" s="121">
        <v>0</v>
      </c>
      <c r="AK21" s="115">
        <v>-4159.1899999999996</v>
      </c>
      <c r="AL21" s="116">
        <v>531165</v>
      </c>
      <c r="AM21" s="115">
        <v>-48612.450000000004</v>
      </c>
      <c r="AN21" s="119">
        <f t="shared" si="3"/>
        <v>-8532303.4800000004</v>
      </c>
    </row>
    <row r="22" spans="1:40" ht="13.5" thickBot="1" x14ac:dyDescent="0.25">
      <c r="B22" s="118">
        <f>SUM(B10:B21)</f>
        <v>-250057928.69999999</v>
      </c>
      <c r="C22" s="118">
        <f t="shared" ref="C22:H22" si="9">SUM(C10:C21)</f>
        <v>-227718243.69999999</v>
      </c>
      <c r="D22" s="118">
        <f t="shared" si="9"/>
        <v>-64131309.140000001</v>
      </c>
      <c r="E22" s="118">
        <f t="shared" si="9"/>
        <v>-4777962.9400000004</v>
      </c>
      <c r="F22" s="118">
        <f t="shared" si="9"/>
        <v>-1227641.7900000003</v>
      </c>
      <c r="G22" s="118">
        <f t="shared" si="9"/>
        <v>136201</v>
      </c>
      <c r="H22" s="118">
        <f t="shared" si="9"/>
        <v>-547776885.26999998</v>
      </c>
      <c r="K22" s="118">
        <f t="shared" ref="K22:T22" si="10">SUM(K10:K21)</f>
        <v>-119557361.77000001</v>
      </c>
      <c r="L22" s="118">
        <f t="shared" si="10"/>
        <v>-89928162.950000018</v>
      </c>
      <c r="M22" s="118">
        <f t="shared" si="10"/>
        <v>-49411198.170000002</v>
      </c>
      <c r="N22" s="118">
        <f t="shared" si="10"/>
        <v>-2669672.02</v>
      </c>
      <c r="O22" s="118">
        <f t="shared" si="10"/>
        <v>-234206.14999999997</v>
      </c>
      <c r="P22" s="118">
        <f t="shared" si="10"/>
        <v>-500196</v>
      </c>
      <c r="Q22" s="118">
        <f t="shared" si="10"/>
        <v>-18069.5</v>
      </c>
      <c r="R22" s="118">
        <f t="shared" si="10"/>
        <v>-34960.980000000003</v>
      </c>
      <c r="S22" s="118">
        <f t="shared" si="10"/>
        <v>-40438.850000000006</v>
      </c>
      <c r="T22" s="120">
        <f t="shared" si="10"/>
        <v>-262394266.39000002</v>
      </c>
      <c r="W22" s="118">
        <f t="shared" ref="W22:AD22" si="11">SUM(W10:W21)</f>
        <v>-97151452.159999996</v>
      </c>
      <c r="X22" s="118">
        <f t="shared" si="11"/>
        <v>-46414269.450000003</v>
      </c>
      <c r="Y22" s="118">
        <f t="shared" si="11"/>
        <v>-1564878.7699999998</v>
      </c>
      <c r="Z22" s="118">
        <f t="shared" si="11"/>
        <v>0</v>
      </c>
      <c r="AA22" s="118">
        <f t="shared" si="11"/>
        <v>-209620.03999999998</v>
      </c>
      <c r="AB22" s="118">
        <f t="shared" si="11"/>
        <v>2788442</v>
      </c>
      <c r="AC22" s="118">
        <f t="shared" si="11"/>
        <v>-5183203.8199999994</v>
      </c>
      <c r="AD22" s="118">
        <f t="shared" si="11"/>
        <v>-147734982.24000001</v>
      </c>
      <c r="AG22" s="118">
        <f t="shared" ref="AG22:AN22" si="12">SUM(AG10:AG21)</f>
        <v>-44072123.430000007</v>
      </c>
      <c r="AH22" s="118">
        <f t="shared" si="12"/>
        <v>-18257667.899999999</v>
      </c>
      <c r="AI22" s="118">
        <f t="shared" si="12"/>
        <v>-1093060.54</v>
      </c>
      <c r="AJ22" s="118">
        <f t="shared" si="12"/>
        <v>0</v>
      </c>
      <c r="AK22" s="118">
        <f t="shared" si="12"/>
        <v>-28869.039999999997</v>
      </c>
      <c r="AL22" s="118">
        <f t="shared" si="12"/>
        <v>926322</v>
      </c>
      <c r="AM22" s="118">
        <f t="shared" si="12"/>
        <v>-587214.80999999994</v>
      </c>
      <c r="AN22" s="120">
        <f t="shared" si="12"/>
        <v>-63112613.719999999</v>
      </c>
    </row>
    <row r="23" spans="1:40" s="101" customFormat="1" x14ac:dyDescent="0.2">
      <c r="H23" s="97" t="s">
        <v>94</v>
      </c>
      <c r="T23" s="97" t="s">
        <v>94</v>
      </c>
      <c r="AD23" s="97" t="s">
        <v>94</v>
      </c>
      <c r="AN23" s="97" t="s">
        <v>94</v>
      </c>
    </row>
  </sheetData>
  <pageMargins left="0.7" right="0.7" top="0.75" bottom="0.75" header="0.3" footer="0.3"/>
  <pageSetup scale="80" orientation="landscape" r:id="rId1"/>
  <colBreaks count="3" manualBreakCount="3">
    <brk id="9" max="1048575" man="1"/>
    <brk id="21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7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tabSelected="1" workbookViewId="0"/>
  </sheetViews>
  <sheetFormatPr defaultColWidth="9.140625" defaultRowHeight="12.75" x14ac:dyDescent="0.2"/>
  <cols>
    <col min="1" max="1" width="24.5703125" style="2" customWidth="1"/>
    <col min="2" max="5" width="11.7109375" style="2" customWidth="1"/>
    <col min="6" max="6" width="10.140625" style="2" bestFit="1" customWidth="1"/>
    <col min="7" max="9" width="9.140625" style="2"/>
    <col min="10" max="10" width="9.42578125" style="2" customWidth="1"/>
    <col min="11" max="11" width="15.28515625" style="2" customWidth="1"/>
    <col min="12" max="12" width="12.42578125" style="38" customWidth="1"/>
    <col min="13" max="13" width="13" style="2" customWidth="1"/>
    <col min="14" max="16384" width="9.140625" style="2"/>
  </cols>
  <sheetData>
    <row r="1" spans="1:13" x14ac:dyDescent="0.2">
      <c r="K1" s="40" t="s">
        <v>81</v>
      </c>
    </row>
    <row r="2" spans="1:13" x14ac:dyDescent="0.2">
      <c r="A2" s="2" t="s">
        <v>70</v>
      </c>
      <c r="B2" s="35" t="s">
        <v>163</v>
      </c>
      <c r="C2" s="29"/>
      <c r="F2" s="38"/>
      <c r="G2" s="38"/>
      <c r="H2" s="38"/>
      <c r="K2" s="48" t="s">
        <v>164</v>
      </c>
    </row>
    <row r="3" spans="1:13" x14ac:dyDescent="0.2">
      <c r="B3" s="29"/>
      <c r="C3" s="29"/>
      <c r="K3" s="57"/>
    </row>
    <row r="4" spans="1:13" x14ac:dyDescent="0.2">
      <c r="A4" s="2" t="s">
        <v>76</v>
      </c>
      <c r="B4" s="36" t="s">
        <v>77</v>
      </c>
      <c r="K4" s="57"/>
    </row>
    <row r="5" spans="1:13" x14ac:dyDescent="0.2">
      <c r="B5" s="29"/>
      <c r="C5" s="29"/>
      <c r="K5" s="57"/>
    </row>
    <row r="6" spans="1:13" x14ac:dyDescent="0.2">
      <c r="A6" s="1" t="s">
        <v>88</v>
      </c>
      <c r="B6" s="29"/>
      <c r="C6" s="29"/>
      <c r="K6" s="57"/>
    </row>
    <row r="7" spans="1:13" ht="27" customHeight="1" x14ac:dyDescent="0.2">
      <c r="A7" s="42" t="s">
        <v>71</v>
      </c>
      <c r="B7" s="109">
        <v>2E-3</v>
      </c>
      <c r="C7" s="137" t="s">
        <v>158</v>
      </c>
      <c r="D7" s="137"/>
      <c r="E7" s="137"/>
      <c r="F7" s="137"/>
      <c r="G7" s="137"/>
      <c r="H7" s="137"/>
      <c r="I7" s="137"/>
      <c r="J7" s="137"/>
      <c r="K7" s="49" t="s">
        <v>157</v>
      </c>
      <c r="L7" s="44"/>
    </row>
    <row r="8" spans="1:13" ht="27" customHeight="1" x14ac:dyDescent="0.2">
      <c r="A8" s="42" t="s">
        <v>72</v>
      </c>
      <c r="B8" s="138">
        <v>2.529E-3</v>
      </c>
      <c r="C8" s="137" t="s">
        <v>103</v>
      </c>
      <c r="D8" s="137"/>
      <c r="E8" s="137"/>
      <c r="F8" s="137"/>
      <c r="G8" s="137"/>
      <c r="H8" s="137"/>
      <c r="I8" s="137"/>
      <c r="J8" s="137"/>
      <c r="K8" s="49" t="s">
        <v>157</v>
      </c>
    </row>
    <row r="9" spans="1:13" x14ac:dyDescent="0.2">
      <c r="B9" s="29"/>
      <c r="C9" s="2" t="s">
        <v>92</v>
      </c>
      <c r="K9" s="16"/>
    </row>
    <row r="10" spans="1:13" x14ac:dyDescent="0.2">
      <c r="A10" s="1" t="s">
        <v>89</v>
      </c>
      <c r="B10" s="39">
        <v>0.21</v>
      </c>
      <c r="J10" s="2">
        <v>88988789</v>
      </c>
      <c r="K10" s="16">
        <v>2951251</v>
      </c>
    </row>
    <row r="11" spans="1:13" x14ac:dyDescent="0.2">
      <c r="K11" s="16"/>
    </row>
    <row r="12" spans="1:13" x14ac:dyDescent="0.2">
      <c r="B12" s="16" t="s">
        <v>73</v>
      </c>
      <c r="C12" s="16" t="s">
        <v>74</v>
      </c>
      <c r="D12" s="16" t="s">
        <v>75</v>
      </c>
      <c r="E12" s="16" t="s">
        <v>80</v>
      </c>
      <c r="F12" s="134" t="s">
        <v>90</v>
      </c>
      <c r="G12" s="135"/>
      <c r="H12" s="135"/>
      <c r="I12" s="135"/>
      <c r="J12" s="135"/>
      <c r="K12" s="16"/>
      <c r="L12" s="57" t="s">
        <v>97</v>
      </c>
      <c r="M12" s="16" t="s">
        <v>100</v>
      </c>
    </row>
    <row r="13" spans="1:13" x14ac:dyDescent="0.2">
      <c r="A13" s="1" t="s">
        <v>83</v>
      </c>
      <c r="B13" s="124">
        <v>547776886</v>
      </c>
      <c r="C13" s="124">
        <f>142551778+5183204</f>
        <v>147734982</v>
      </c>
      <c r="D13" s="124">
        <v>262394266</v>
      </c>
      <c r="E13" s="124">
        <f>62525399+587215</f>
        <v>63112614</v>
      </c>
      <c r="F13" s="135"/>
      <c r="G13" s="135"/>
      <c r="H13" s="135"/>
      <c r="I13" s="135"/>
      <c r="J13" s="135"/>
      <c r="K13" s="48" t="s">
        <v>164</v>
      </c>
      <c r="L13" s="124">
        <f>88988789+2951251</f>
        <v>91940040</v>
      </c>
      <c r="M13" s="62">
        <f>SUM(B13:E13,L13)</f>
        <v>1112958788</v>
      </c>
    </row>
    <row r="14" spans="1:13" x14ac:dyDescent="0.2">
      <c r="A14" s="2" t="s">
        <v>156</v>
      </c>
      <c r="B14" s="106">
        <f>B13+'C-UE-3'!H22</f>
        <v>0.73000001907348633</v>
      </c>
      <c r="C14" s="106">
        <f>C13+'C-UE-3'!AD22</f>
        <v>-0.24000000953674316</v>
      </c>
      <c r="D14" s="106">
        <f>D13+'C-UE-3'!T22</f>
        <v>-0.39000001549720764</v>
      </c>
      <c r="E14" s="106">
        <f>E13+'C-UE-3'!AN22</f>
        <v>0.2800000011920929</v>
      </c>
      <c r="F14" s="41"/>
      <c r="G14" s="41"/>
      <c r="H14" s="41"/>
      <c r="I14" s="41"/>
      <c r="J14" s="41"/>
      <c r="K14" s="48" t="s">
        <v>164</v>
      </c>
    </row>
    <row r="15" spans="1:13" x14ac:dyDescent="0.2">
      <c r="K15" s="16"/>
    </row>
    <row r="16" spans="1:13" ht="12.75" customHeight="1" x14ac:dyDescent="0.2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">
      <c r="A17" s="136"/>
      <c r="B17" s="109">
        <v>3.8733999999999998E-2</v>
      </c>
      <c r="C17" s="109">
        <v>3.8519999999999999E-2</v>
      </c>
      <c r="G17" s="36"/>
      <c r="H17" s="36"/>
      <c r="I17" s="36"/>
      <c r="K17" s="48" t="s">
        <v>164</v>
      </c>
    </row>
    <row r="18" spans="1:12" x14ac:dyDescent="0.2">
      <c r="A18" s="136"/>
      <c r="B18" s="35"/>
      <c r="C18" s="35"/>
      <c r="D18" s="38"/>
      <c r="E18" s="38"/>
      <c r="G18" s="37"/>
      <c r="H18" s="37"/>
      <c r="I18" s="37"/>
      <c r="K18" s="16"/>
    </row>
    <row r="19" spans="1:12" x14ac:dyDescent="0.2">
      <c r="B19" s="37" t="s">
        <v>91</v>
      </c>
      <c r="D19" s="33"/>
      <c r="E19" s="33"/>
      <c r="F19" s="32"/>
      <c r="K19" s="16"/>
    </row>
    <row r="20" spans="1:12" x14ac:dyDescent="0.2">
      <c r="A20" s="1"/>
      <c r="B20" s="1"/>
      <c r="C20" s="1"/>
      <c r="D20" s="34"/>
      <c r="E20" s="34"/>
      <c r="F20" s="32"/>
      <c r="K20" s="16"/>
    </row>
    <row r="21" spans="1:12" x14ac:dyDescent="0.2">
      <c r="D21" s="32"/>
      <c r="E21" s="32"/>
      <c r="F21" s="32"/>
      <c r="K21" s="16"/>
    </row>
    <row r="22" spans="1:12" x14ac:dyDescent="0.2">
      <c r="A22" s="1" t="s">
        <v>86</v>
      </c>
      <c r="B22" s="1"/>
      <c r="C22" s="1"/>
      <c r="D22" s="125">
        <v>6.9250000000000006E-2</v>
      </c>
      <c r="E22" s="27"/>
      <c r="F22" s="32"/>
      <c r="K22" s="48" t="s">
        <v>164</v>
      </c>
      <c r="L22" s="37"/>
    </row>
    <row r="23" spans="1:12" x14ac:dyDescent="0.2">
      <c r="A23" s="66" t="s">
        <v>160</v>
      </c>
      <c r="B23" s="50"/>
      <c r="C23" s="1"/>
      <c r="D23" s="125">
        <v>0.19870499999999999</v>
      </c>
      <c r="E23" s="35" t="s">
        <v>159</v>
      </c>
      <c r="F23" s="32"/>
      <c r="K23" s="48" t="s">
        <v>164</v>
      </c>
    </row>
    <row r="24" spans="1:12" x14ac:dyDescent="0.2">
      <c r="A24" s="61" t="s">
        <v>99</v>
      </c>
      <c r="D24" s="38">
        <f>(D13+E13)/M13</f>
        <v>0.29246984121032882</v>
      </c>
      <c r="E24" s="1" t="s">
        <v>87</v>
      </c>
      <c r="K24" s="48" t="s">
        <v>164</v>
      </c>
    </row>
    <row r="27" spans="1:12" x14ac:dyDescent="0.2">
      <c r="C27" s="37"/>
      <c r="D27" s="38"/>
      <c r="E27" s="38"/>
      <c r="F27" s="38"/>
      <c r="G27" s="38"/>
      <c r="H27" s="38"/>
      <c r="I27" s="38"/>
      <c r="J27" s="38"/>
    </row>
    <row r="28" spans="1:12" x14ac:dyDescent="0.2">
      <c r="E28" s="38"/>
      <c r="F28" s="38"/>
      <c r="G28" s="38"/>
      <c r="H28" s="38"/>
      <c r="I28" s="38"/>
      <c r="J28" s="38"/>
    </row>
    <row r="29" spans="1:12" x14ac:dyDescent="0.2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77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04F315-36BF-49A8-9E2D-1304962BB6C7}"/>
</file>

<file path=customXml/itemProps2.xml><?xml version="1.0" encoding="utf-8"?>
<ds:datastoreItem xmlns:ds="http://schemas.openxmlformats.org/officeDocument/2006/customXml" ds:itemID="{8669E28C-9280-4A27-83FE-C378FB3B6A20}"/>
</file>

<file path=customXml/itemProps3.xml><?xml version="1.0" encoding="utf-8"?>
<ds:datastoreItem xmlns:ds="http://schemas.openxmlformats.org/officeDocument/2006/customXml" ds:itemID="{E60E61BC-B9D7-4ED9-9F90-0B3D80090E18}"/>
</file>

<file path=customXml/itemProps4.xml><?xml version="1.0" encoding="utf-8"?>
<ds:datastoreItem xmlns:ds="http://schemas.openxmlformats.org/officeDocument/2006/customXml" ds:itemID="{1D14FC2A-B718-491A-94CD-677B05122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CF WA Elec</vt:lpstr>
      <vt:lpstr>CF WA Gas</vt:lpstr>
      <vt:lpstr>CF ID Elec</vt:lpstr>
      <vt:lpstr>CF ID Gas</vt:lpstr>
      <vt:lpstr>C-UE-1</vt:lpstr>
      <vt:lpstr>C-UE-2</vt:lpstr>
      <vt:lpstr>C-UE-3</vt:lpstr>
      <vt:lpstr>SharedInputs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2020-04-21T16:24:35Z</cp:lastPrinted>
  <dcterms:created xsi:type="dcterms:W3CDTF">1997-04-18T16:56:32Z</dcterms:created>
  <dcterms:modified xsi:type="dcterms:W3CDTF">2020-04-21T16:27:04Z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