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olors3.xml" ContentType="application/vnd.ms-office.chartcolorstyle+xml"/>
  <Override PartName="/xl/worksheets/sheet1.xml" ContentType="application/vnd.openxmlformats-officedocument.spreadsheetml.workshee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olors2.xml" ContentType="application/vnd.ms-office.chartcolorstyle+xml"/>
  <Override PartName="/xl/charts/style2.xml" ContentType="application/vnd.ms-office.chartstyle+xml"/>
  <Override PartName="/xl/charts/style3.xml" ContentType="application/vnd.ms-office.chartstyle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harts/chart2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free\Desktop\"/>
    </mc:Choice>
  </mc:AlternateContent>
  <bookViews>
    <workbookView xWindow="0" yWindow="0" windowWidth="22455" windowHeight="11430"/>
  </bookViews>
  <sheets>
    <sheet name="BR 15" sheetId="3" r:id="rId1"/>
    <sheet name="Tables for Response" sheetId="7" r:id="rId2"/>
    <sheet name="Scenario 1" sheetId="1" r:id="rId3"/>
    <sheet name="Scenario 2" sheetId="4" r:id="rId4"/>
    <sheet name="Scenario 3" sheetId="5" r:id="rId5"/>
    <sheet name="ARAM" sheetId="2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4" i="1" l="1"/>
  <c r="I13" i="5"/>
  <c r="F13" i="5"/>
  <c r="F12" i="5"/>
  <c r="F12" i="4"/>
  <c r="R14" i="5"/>
  <c r="Q14" i="5"/>
  <c r="P14" i="5"/>
  <c r="O14" i="5"/>
  <c r="N14" i="5"/>
  <c r="M14" i="5"/>
  <c r="I14" i="5"/>
  <c r="F14" i="5"/>
  <c r="R14" i="4"/>
  <c r="Q14" i="4"/>
  <c r="P14" i="4"/>
  <c r="O14" i="4"/>
  <c r="N14" i="4"/>
  <c r="M14" i="4"/>
  <c r="I14" i="4"/>
  <c r="F14" i="4"/>
  <c r="R14" i="1"/>
  <c r="P14" i="1"/>
  <c r="O14" i="1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8" i="5"/>
  <c r="O18" i="5"/>
  <c r="N18" i="5"/>
  <c r="M18" i="5"/>
  <c r="P18" i="4"/>
  <c r="O18" i="4"/>
  <c r="N18" i="4"/>
  <c r="M18" i="4"/>
  <c r="P18" i="1"/>
  <c r="O18" i="1"/>
  <c r="N18" i="1"/>
  <c r="M18" i="1"/>
  <c r="P8" i="5"/>
  <c r="O8" i="5"/>
  <c r="N8" i="5"/>
  <c r="M8" i="5"/>
  <c r="P8" i="4"/>
  <c r="O8" i="4"/>
  <c r="N8" i="4"/>
  <c r="M8" i="4"/>
  <c r="P8" i="1"/>
  <c r="O8" i="1"/>
  <c r="N8" i="1"/>
  <c r="M8" i="1"/>
  <c r="P17" i="5"/>
  <c r="O17" i="5"/>
  <c r="N17" i="5"/>
  <c r="M17" i="5"/>
  <c r="P7" i="5"/>
  <c r="O7" i="5"/>
  <c r="N7" i="5"/>
  <c r="M7" i="5"/>
  <c r="P17" i="4"/>
  <c r="O17" i="4"/>
  <c r="N17" i="4"/>
  <c r="M17" i="4"/>
  <c r="P7" i="4"/>
  <c r="O7" i="4"/>
  <c r="N7" i="4"/>
  <c r="M7" i="4"/>
  <c r="P17" i="1"/>
  <c r="O17" i="1"/>
  <c r="N17" i="1"/>
  <c r="M17" i="1"/>
  <c r="P7" i="1"/>
  <c r="O7" i="1"/>
  <c r="N7" i="1"/>
  <c r="M7" i="1"/>
  <c r="I18" i="5"/>
  <c r="F18" i="5"/>
  <c r="I17" i="5"/>
  <c r="F17" i="5"/>
  <c r="I8" i="5"/>
  <c r="F8" i="5"/>
  <c r="I7" i="5"/>
  <c r="F7" i="5"/>
  <c r="I18" i="4"/>
  <c r="F18" i="4"/>
  <c r="I17" i="4"/>
  <c r="F17" i="4"/>
  <c r="I8" i="4"/>
  <c r="F8" i="4"/>
  <c r="I7" i="4"/>
  <c r="F7" i="4"/>
  <c r="I18" i="1"/>
  <c r="F18" i="1"/>
  <c r="I17" i="1"/>
  <c r="F17" i="1"/>
  <c r="I8" i="1"/>
  <c r="F8" i="1"/>
  <c r="I7" i="1"/>
  <c r="F7" i="1"/>
  <c r="I12" i="5" l="1"/>
  <c r="I12" i="4"/>
  <c r="X12" i="5"/>
  <c r="W12" i="5"/>
  <c r="V12" i="5"/>
  <c r="U12" i="5"/>
  <c r="T12" i="5"/>
  <c r="S12" i="5"/>
  <c r="R12" i="5"/>
  <c r="Q12" i="5"/>
  <c r="P12" i="5"/>
  <c r="O12" i="5"/>
  <c r="N12" i="5"/>
  <c r="M12" i="5"/>
  <c r="X12" i="4"/>
  <c r="W12" i="4"/>
  <c r="V12" i="4"/>
  <c r="U12" i="4"/>
  <c r="T12" i="4"/>
  <c r="S12" i="4"/>
  <c r="R12" i="4"/>
  <c r="Q12" i="4"/>
  <c r="P12" i="4"/>
  <c r="O12" i="4"/>
  <c r="N12" i="4"/>
  <c r="M12" i="4"/>
  <c r="X12" i="1"/>
  <c r="W12" i="1"/>
  <c r="V12" i="1"/>
  <c r="U12" i="1"/>
  <c r="T12" i="1"/>
  <c r="S12" i="1"/>
  <c r="R12" i="1"/>
  <c r="Q12" i="1"/>
  <c r="P12" i="1"/>
  <c r="O12" i="1"/>
  <c r="N14" i="1" l="1"/>
  <c r="P13" i="1"/>
  <c r="I13" i="4"/>
  <c r="N12" i="1"/>
  <c r="M14" i="1" l="1"/>
  <c r="O13" i="1"/>
  <c r="F13" i="4"/>
  <c r="M12" i="1"/>
  <c r="I14" i="1" l="1"/>
  <c r="N13" i="1"/>
  <c r="I13" i="1"/>
  <c r="I12" i="1"/>
  <c r="W11" i="5"/>
  <c r="V11" i="5"/>
  <c r="U11" i="5"/>
  <c r="T11" i="5"/>
  <c r="S11" i="5"/>
  <c r="R11" i="5"/>
  <c r="Q11" i="5"/>
  <c r="P11" i="5"/>
  <c r="O11" i="5"/>
  <c r="N11" i="5"/>
  <c r="M11" i="5"/>
  <c r="I11" i="5"/>
  <c r="W11" i="4"/>
  <c r="V11" i="4"/>
  <c r="U11" i="4"/>
  <c r="T11" i="4"/>
  <c r="S11" i="4"/>
  <c r="R11" i="4"/>
  <c r="Q11" i="4"/>
  <c r="P11" i="4"/>
  <c r="O11" i="4"/>
  <c r="N11" i="4"/>
  <c r="M11" i="4"/>
  <c r="I11" i="4"/>
  <c r="W11" i="1"/>
  <c r="V11" i="1"/>
  <c r="U11" i="1"/>
  <c r="T11" i="1"/>
  <c r="S11" i="1"/>
  <c r="R11" i="1"/>
  <c r="Q11" i="1"/>
  <c r="P11" i="1"/>
  <c r="O11" i="1"/>
  <c r="N11" i="1"/>
  <c r="M11" i="1"/>
  <c r="F11" i="5"/>
  <c r="F11" i="4"/>
  <c r="Q16" i="5"/>
  <c r="P16" i="5"/>
  <c r="O16" i="5"/>
  <c r="N16" i="5"/>
  <c r="M16" i="5"/>
  <c r="Q16" i="4"/>
  <c r="P16" i="4"/>
  <c r="O16" i="4"/>
  <c r="N16" i="4"/>
  <c r="M16" i="4"/>
  <c r="Q16" i="1"/>
  <c r="P16" i="1"/>
  <c r="O16" i="1"/>
  <c r="N16" i="1"/>
  <c r="R6" i="5"/>
  <c r="Q6" i="5"/>
  <c r="P6" i="5"/>
  <c r="O6" i="5"/>
  <c r="N6" i="5"/>
  <c r="M6" i="5"/>
  <c r="R6" i="4"/>
  <c r="Q6" i="4"/>
  <c r="P6" i="4"/>
  <c r="O6" i="4"/>
  <c r="N6" i="4"/>
  <c r="M6" i="4"/>
  <c r="R6" i="1"/>
  <c r="Q6" i="1"/>
  <c r="P6" i="1"/>
  <c r="O6" i="1"/>
  <c r="N6" i="1"/>
  <c r="I16" i="5"/>
  <c r="F16" i="5"/>
  <c r="I6" i="5"/>
  <c r="F6" i="5"/>
  <c r="I16" i="4"/>
  <c r="F16" i="4"/>
  <c r="I6" i="4"/>
  <c r="F6" i="4"/>
  <c r="I16" i="1"/>
  <c r="F16" i="1"/>
  <c r="I6" i="1"/>
  <c r="M9" i="5"/>
  <c r="M9" i="4"/>
  <c r="I9" i="5"/>
  <c r="F9" i="5"/>
  <c r="I9" i="4"/>
  <c r="F9" i="4"/>
  <c r="I9" i="1"/>
  <c r="Q5" i="5" l="1"/>
  <c r="P5" i="5"/>
  <c r="O5" i="5"/>
  <c r="N5" i="5"/>
  <c r="M5" i="5"/>
  <c r="Q5" i="4"/>
  <c r="P5" i="4"/>
  <c r="O5" i="4"/>
  <c r="N5" i="4"/>
  <c r="M5" i="4"/>
  <c r="Q5" i="1"/>
  <c r="P5" i="1"/>
  <c r="O5" i="1"/>
  <c r="N5" i="1"/>
  <c r="M5" i="1"/>
  <c r="I5" i="5"/>
  <c r="F5" i="5"/>
  <c r="I5" i="4"/>
  <c r="F5" i="4"/>
  <c r="I5" i="1"/>
  <c r="F5" i="1"/>
  <c r="M19" i="5"/>
  <c r="I19" i="5"/>
  <c r="M19" i="4"/>
  <c r="I19" i="4"/>
  <c r="M19" i="1"/>
  <c r="I19" i="1"/>
  <c r="F19" i="5"/>
  <c r="F19" i="4"/>
  <c r="F19" i="1"/>
  <c r="F14" i="1"/>
  <c r="M13" i="1"/>
  <c r="F13" i="1"/>
  <c r="F12" i="1"/>
  <c r="I11" i="1"/>
  <c r="F11" i="1"/>
  <c r="M16" i="1"/>
  <c r="M6" i="1"/>
  <c r="F6" i="1"/>
  <c r="M9" i="1"/>
  <c r="F9" i="1"/>
  <c r="G40" i="3" l="1"/>
  <c r="G39" i="3"/>
  <c r="D7" i="2"/>
  <c r="B9" i="2" l="1"/>
  <c r="C9" i="2" s="1"/>
  <c r="C8" i="2"/>
  <c r="C7" i="2"/>
  <c r="C6" i="7" l="1"/>
  <c r="C18" i="7"/>
  <c r="C17" i="7"/>
  <c r="C16" i="7"/>
  <c r="C15" i="7"/>
  <c r="C14" i="7"/>
  <c r="C13" i="7"/>
  <c r="C12" i="7"/>
  <c r="C11" i="7"/>
  <c r="C10" i="7"/>
  <c r="C9" i="7"/>
  <c r="C8" i="7"/>
  <c r="C7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G4" i="7"/>
  <c r="F4" i="7"/>
  <c r="G5" i="7"/>
  <c r="F5" i="7"/>
  <c r="C5" i="7"/>
  <c r="B5" i="7"/>
  <c r="I5" i="7"/>
  <c r="J5" i="7"/>
  <c r="K5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K18" i="5"/>
  <c r="H18" i="5"/>
  <c r="I32" i="3"/>
  <c r="K18" i="7" s="1"/>
  <c r="I31" i="3"/>
  <c r="K17" i="7" s="1"/>
  <c r="I30" i="3"/>
  <c r="K16" i="7" s="1"/>
  <c r="I29" i="3"/>
  <c r="K15" i="7" s="1"/>
  <c r="I28" i="3"/>
  <c r="K14" i="7" s="1"/>
  <c r="I27" i="3"/>
  <c r="K13" i="7" s="1"/>
  <c r="I26" i="3"/>
  <c r="K12" i="7" s="1"/>
  <c r="I25" i="3"/>
  <c r="K11" i="7" s="1"/>
  <c r="I24" i="3"/>
  <c r="K10" i="7" s="1"/>
  <c r="I23" i="3"/>
  <c r="K9" i="7" s="1"/>
  <c r="I22" i="3"/>
  <c r="K8" i="7" s="1"/>
  <c r="I21" i="3"/>
  <c r="K7" i="7" s="1"/>
  <c r="I20" i="3"/>
  <c r="K6" i="7" s="1"/>
  <c r="H32" i="3"/>
  <c r="J18" i="7" s="1"/>
  <c r="H31" i="3"/>
  <c r="J17" i="7" s="1"/>
  <c r="H30" i="3"/>
  <c r="J16" i="7" s="1"/>
  <c r="H29" i="3"/>
  <c r="J15" i="7" s="1"/>
  <c r="H28" i="3"/>
  <c r="J14" i="7" s="1"/>
  <c r="H27" i="3"/>
  <c r="J13" i="7" s="1"/>
  <c r="H26" i="3"/>
  <c r="J12" i="7" s="1"/>
  <c r="H25" i="3"/>
  <c r="J11" i="7" s="1"/>
  <c r="H24" i="3"/>
  <c r="J10" i="7" s="1"/>
  <c r="H23" i="3"/>
  <c r="J9" i="7" s="1"/>
  <c r="H22" i="3"/>
  <c r="J8" i="7" s="1"/>
  <c r="H21" i="3"/>
  <c r="J7" i="7" s="1"/>
  <c r="H20" i="3"/>
  <c r="J6" i="7" s="1"/>
  <c r="G32" i="3"/>
  <c r="I18" i="7" s="1"/>
  <c r="G31" i="3"/>
  <c r="I17" i="7" s="1"/>
  <c r="G30" i="3"/>
  <c r="I16" i="7" s="1"/>
  <c r="G29" i="3"/>
  <c r="G28" i="3"/>
  <c r="I14" i="7" s="1"/>
  <c r="G27" i="3"/>
  <c r="I13" i="7" s="1"/>
  <c r="G26" i="3"/>
  <c r="I12" i="7" s="1"/>
  <c r="G25" i="3"/>
  <c r="I11" i="7" s="1"/>
  <c r="G24" i="3"/>
  <c r="I10" i="7" s="1"/>
  <c r="G23" i="3"/>
  <c r="I9" i="7" s="1"/>
  <c r="G22" i="3"/>
  <c r="I8" i="7" s="1"/>
  <c r="G21" i="3"/>
  <c r="G20" i="3"/>
  <c r="I6" i="7" s="1"/>
  <c r="K18" i="4"/>
  <c r="H18" i="4"/>
  <c r="I15" i="7" l="1"/>
  <c r="I7" i="7"/>
  <c r="AK86" i="5"/>
  <c r="AJ86" i="5"/>
  <c r="AI86" i="5"/>
  <c r="AH86" i="5"/>
  <c r="AG86" i="5"/>
  <c r="AF86" i="5"/>
  <c r="AE86" i="5"/>
  <c r="AD86" i="5"/>
  <c r="AC86" i="5"/>
  <c r="AB86" i="5"/>
  <c r="AA86" i="5"/>
  <c r="Z86" i="5"/>
  <c r="Y86" i="5"/>
  <c r="X86" i="5"/>
  <c r="W86" i="5"/>
  <c r="V86" i="5"/>
  <c r="U86" i="5"/>
  <c r="T86" i="5"/>
  <c r="C82" i="5"/>
  <c r="C83" i="5" s="1"/>
  <c r="AK70" i="5"/>
  <c r="AJ70" i="5"/>
  <c r="AI70" i="5"/>
  <c r="AH70" i="5"/>
  <c r="AG70" i="5"/>
  <c r="AF70" i="5"/>
  <c r="AE70" i="5"/>
  <c r="AD70" i="5"/>
  <c r="AC70" i="5"/>
  <c r="AB70" i="5"/>
  <c r="AA70" i="5"/>
  <c r="Z70" i="5"/>
  <c r="Y70" i="5"/>
  <c r="X70" i="5"/>
  <c r="W70" i="5"/>
  <c r="V70" i="5"/>
  <c r="U70" i="5"/>
  <c r="T70" i="5"/>
  <c r="AX88" i="5"/>
  <c r="AW88" i="5"/>
  <c r="AV88" i="5"/>
  <c r="AV90" i="5" s="1"/>
  <c r="AU88" i="5"/>
  <c r="AT88" i="5"/>
  <c r="AS88" i="5"/>
  <c r="AR88" i="5"/>
  <c r="AQ88" i="5"/>
  <c r="AP88" i="5"/>
  <c r="AO88" i="5"/>
  <c r="AN88" i="5"/>
  <c r="AN90" i="5" s="1"/>
  <c r="AM88" i="5"/>
  <c r="AL88" i="5"/>
  <c r="AX72" i="5"/>
  <c r="AX90" i="5" s="1"/>
  <c r="AW72" i="5"/>
  <c r="AW90" i="5" s="1"/>
  <c r="AV72" i="5"/>
  <c r="AU72" i="5"/>
  <c r="AT72" i="5"/>
  <c r="AT90" i="5" s="1"/>
  <c r="AS72" i="5"/>
  <c r="AS90" i="5" s="1"/>
  <c r="AR72" i="5"/>
  <c r="AQ72" i="5"/>
  <c r="AP72" i="5"/>
  <c r="AP90" i="5" s="1"/>
  <c r="AO72" i="5"/>
  <c r="AO90" i="5" s="1"/>
  <c r="AN72" i="5"/>
  <c r="AM72" i="5"/>
  <c r="AM90" i="5" s="1"/>
  <c r="AL72" i="5"/>
  <c r="AL90" i="5" s="1"/>
  <c r="AX56" i="5"/>
  <c r="AW56" i="5"/>
  <c r="AV56" i="5"/>
  <c r="AU56" i="5"/>
  <c r="AT56" i="5"/>
  <c r="AS56" i="5"/>
  <c r="AR56" i="5"/>
  <c r="AQ56" i="5"/>
  <c r="AP56" i="5"/>
  <c r="AO56" i="5"/>
  <c r="AN56" i="5"/>
  <c r="AM56" i="5"/>
  <c r="AL56" i="5"/>
  <c r="AK56" i="5"/>
  <c r="AJ56" i="5"/>
  <c r="AI56" i="5"/>
  <c r="AH56" i="5"/>
  <c r="AG56" i="5"/>
  <c r="AF56" i="5"/>
  <c r="AE56" i="5"/>
  <c r="AD56" i="5"/>
  <c r="AC56" i="5"/>
  <c r="AB56" i="5"/>
  <c r="AA56" i="5"/>
  <c r="Z56" i="5"/>
  <c r="Y56" i="5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C52" i="5"/>
  <c r="C86" i="5"/>
  <c r="J19" i="5"/>
  <c r="K19" i="5"/>
  <c r="K22" i="5" s="1"/>
  <c r="H19" i="5"/>
  <c r="E17" i="5"/>
  <c r="G18" i="5"/>
  <c r="E16" i="5"/>
  <c r="K14" i="5"/>
  <c r="H14" i="5"/>
  <c r="E13" i="5"/>
  <c r="G14" i="5"/>
  <c r="E9" i="5"/>
  <c r="E7" i="5"/>
  <c r="E6" i="5"/>
  <c r="F70" i="5"/>
  <c r="E70" i="5"/>
  <c r="D70" i="5"/>
  <c r="C70" i="5"/>
  <c r="C66" i="5"/>
  <c r="C67" i="5" s="1"/>
  <c r="N4" i="5"/>
  <c r="O4" i="5" s="1"/>
  <c r="P4" i="5" s="1"/>
  <c r="Q4" i="5" s="1"/>
  <c r="R4" i="5" s="1"/>
  <c r="AK85" i="4"/>
  <c r="AJ85" i="4"/>
  <c r="AI85" i="4"/>
  <c r="AH85" i="4"/>
  <c r="AG85" i="4"/>
  <c r="AF85" i="4"/>
  <c r="AE85" i="4"/>
  <c r="AD85" i="4"/>
  <c r="AC85" i="4"/>
  <c r="AB85" i="4"/>
  <c r="AA85" i="4"/>
  <c r="Z85" i="4"/>
  <c r="Y85" i="4"/>
  <c r="X85" i="4"/>
  <c r="W85" i="4"/>
  <c r="V85" i="4"/>
  <c r="U85" i="4"/>
  <c r="T85" i="4"/>
  <c r="AK69" i="4"/>
  <c r="AJ69" i="4"/>
  <c r="AI69" i="4"/>
  <c r="AH69" i="4"/>
  <c r="AG69" i="4"/>
  <c r="AF69" i="4"/>
  <c r="AE69" i="4"/>
  <c r="AD69" i="4"/>
  <c r="AC69" i="4"/>
  <c r="AB69" i="4"/>
  <c r="AA69" i="4"/>
  <c r="Z69" i="4"/>
  <c r="Y69" i="4"/>
  <c r="X69" i="4"/>
  <c r="W69" i="4"/>
  <c r="V69" i="4"/>
  <c r="U69" i="4"/>
  <c r="AX87" i="4"/>
  <c r="AW87" i="4"/>
  <c r="AV87" i="4"/>
  <c r="AU87" i="4"/>
  <c r="AT87" i="4"/>
  <c r="AS87" i="4"/>
  <c r="AR87" i="4"/>
  <c r="AQ87" i="4"/>
  <c r="AP87" i="4"/>
  <c r="AO87" i="4"/>
  <c r="AN87" i="4"/>
  <c r="AM87" i="4"/>
  <c r="AL87" i="4"/>
  <c r="AX71" i="4"/>
  <c r="AW71" i="4"/>
  <c r="AV71" i="4"/>
  <c r="AU71" i="4"/>
  <c r="AT71" i="4"/>
  <c r="AS71" i="4"/>
  <c r="AR71" i="4"/>
  <c r="AQ71" i="4"/>
  <c r="AP71" i="4"/>
  <c r="AO71" i="4"/>
  <c r="AN71" i="4"/>
  <c r="AM71" i="4"/>
  <c r="AL71" i="4"/>
  <c r="AX55" i="4"/>
  <c r="AW55" i="4"/>
  <c r="AV55" i="4"/>
  <c r="AU55" i="4"/>
  <c r="AT55" i="4"/>
  <c r="AS55" i="4"/>
  <c r="AR55" i="4"/>
  <c r="AQ55" i="4"/>
  <c r="AP55" i="4"/>
  <c r="AO55" i="4"/>
  <c r="AN55" i="4"/>
  <c r="AM55" i="4"/>
  <c r="AL55" i="4"/>
  <c r="AK55" i="4"/>
  <c r="AJ55" i="4"/>
  <c r="AI55" i="4"/>
  <c r="AH55" i="4"/>
  <c r="AG55" i="4"/>
  <c r="AF55" i="4"/>
  <c r="AE55" i="4"/>
  <c r="AD55" i="4"/>
  <c r="AC55" i="4"/>
  <c r="AB55" i="4"/>
  <c r="AA55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1" i="4"/>
  <c r="C55" i="4" s="1"/>
  <c r="C85" i="4"/>
  <c r="T69" i="4"/>
  <c r="N4" i="4"/>
  <c r="O4" i="4" s="1"/>
  <c r="P4" i="4" s="1"/>
  <c r="Q4" i="4" s="1"/>
  <c r="R4" i="4" s="1"/>
  <c r="S4" i="4" s="1"/>
  <c r="T4" i="4" s="1"/>
  <c r="U4" i="4" s="1"/>
  <c r="V4" i="4" s="1"/>
  <c r="W4" i="4" s="1"/>
  <c r="X4" i="4" s="1"/>
  <c r="Y4" i="4" s="1"/>
  <c r="Z4" i="4" s="1"/>
  <c r="AA4" i="4" s="1"/>
  <c r="AB4" i="4" s="1"/>
  <c r="AC4" i="4" s="1"/>
  <c r="AD4" i="4" s="1"/>
  <c r="AR90" i="5" l="1"/>
  <c r="AQ90" i="5"/>
  <c r="AU90" i="5"/>
  <c r="J9" i="5"/>
  <c r="E5" i="5"/>
  <c r="H9" i="5"/>
  <c r="N9" i="5"/>
  <c r="J18" i="5"/>
  <c r="N19" i="5"/>
  <c r="D86" i="5" s="1"/>
  <c r="D34" i="5" s="1"/>
  <c r="K9" i="5"/>
  <c r="K21" i="5" s="1"/>
  <c r="K23" i="5" s="1"/>
  <c r="E14" i="5"/>
  <c r="E18" i="5"/>
  <c r="R18" i="5" s="1"/>
  <c r="E69" i="4"/>
  <c r="E32" i="4" s="1"/>
  <c r="N9" i="4"/>
  <c r="AO89" i="4"/>
  <c r="AS89" i="4"/>
  <c r="AW89" i="4"/>
  <c r="K9" i="4"/>
  <c r="E18" i="4"/>
  <c r="AB18" i="4" s="1"/>
  <c r="J14" i="4"/>
  <c r="K14" i="4"/>
  <c r="C69" i="4"/>
  <c r="C32" i="4" s="1"/>
  <c r="C81" i="4"/>
  <c r="C82" i="4" s="1"/>
  <c r="K19" i="4"/>
  <c r="AQ89" i="4"/>
  <c r="D69" i="4"/>
  <c r="D32" i="4" s="1"/>
  <c r="E6" i="4"/>
  <c r="Y6" i="4" s="1"/>
  <c r="E9" i="4"/>
  <c r="Q9" i="4" s="1"/>
  <c r="H14" i="4"/>
  <c r="E13" i="4"/>
  <c r="G19" i="4"/>
  <c r="H19" i="4"/>
  <c r="AL89" i="4"/>
  <c r="AP89" i="4"/>
  <c r="AT89" i="4"/>
  <c r="AX89" i="4"/>
  <c r="E5" i="4"/>
  <c r="U5" i="4" s="1"/>
  <c r="H9" i="4"/>
  <c r="F69" i="4"/>
  <c r="F32" i="4" s="1"/>
  <c r="C65" i="4"/>
  <c r="C66" i="4" s="1"/>
  <c r="AN89" i="4"/>
  <c r="AR89" i="4"/>
  <c r="AV89" i="4"/>
  <c r="AM89" i="4"/>
  <c r="AU89" i="4"/>
  <c r="E7" i="4"/>
  <c r="AB7" i="4" s="1"/>
  <c r="E8" i="4"/>
  <c r="Z8" i="4" s="1"/>
  <c r="E12" i="4"/>
  <c r="F33" i="5"/>
  <c r="R9" i="5"/>
  <c r="S4" i="5"/>
  <c r="H22" i="5"/>
  <c r="R7" i="5"/>
  <c r="Q7" i="5"/>
  <c r="E12" i="5"/>
  <c r="C56" i="5"/>
  <c r="C53" i="5"/>
  <c r="D53" i="5" s="1"/>
  <c r="E53" i="5" s="1"/>
  <c r="F53" i="5" s="1"/>
  <c r="G53" i="5" s="1"/>
  <c r="H53" i="5" s="1"/>
  <c r="I53" i="5" s="1"/>
  <c r="J53" i="5" s="1"/>
  <c r="K53" i="5" s="1"/>
  <c r="L53" i="5" s="1"/>
  <c r="M53" i="5" s="1"/>
  <c r="N53" i="5" s="1"/>
  <c r="O53" i="5" s="1"/>
  <c r="P53" i="5" s="1"/>
  <c r="Q53" i="5" s="1"/>
  <c r="R53" i="5" s="1"/>
  <c r="S53" i="5" s="1"/>
  <c r="T53" i="5" s="1"/>
  <c r="U53" i="5" s="1"/>
  <c r="V53" i="5" s="1"/>
  <c r="W53" i="5" s="1"/>
  <c r="X53" i="5" s="1"/>
  <c r="Y53" i="5" s="1"/>
  <c r="Z53" i="5" s="1"/>
  <c r="AA53" i="5" s="1"/>
  <c r="AB53" i="5" s="1"/>
  <c r="AC53" i="5" s="1"/>
  <c r="AD53" i="5" s="1"/>
  <c r="AE53" i="5" s="1"/>
  <c r="AF53" i="5" s="1"/>
  <c r="AG53" i="5" s="1"/>
  <c r="AH53" i="5" s="1"/>
  <c r="AI53" i="5" s="1"/>
  <c r="AJ53" i="5" s="1"/>
  <c r="AK53" i="5" s="1"/>
  <c r="AL53" i="5" s="1"/>
  <c r="AM53" i="5" s="1"/>
  <c r="AN53" i="5" s="1"/>
  <c r="AO53" i="5" s="1"/>
  <c r="AP53" i="5" s="1"/>
  <c r="AQ53" i="5" s="1"/>
  <c r="AR53" i="5" s="1"/>
  <c r="AS53" i="5" s="1"/>
  <c r="AT53" i="5" s="1"/>
  <c r="AU53" i="5" s="1"/>
  <c r="AV53" i="5" s="1"/>
  <c r="AW53" i="5" s="1"/>
  <c r="AX53" i="5" s="1"/>
  <c r="D33" i="5"/>
  <c r="R5" i="5"/>
  <c r="E8" i="5"/>
  <c r="E19" i="5"/>
  <c r="J14" i="5"/>
  <c r="E11" i="5"/>
  <c r="C33" i="5"/>
  <c r="P9" i="5"/>
  <c r="O9" i="5"/>
  <c r="R16" i="5"/>
  <c r="S5" i="5"/>
  <c r="H21" i="5"/>
  <c r="G9" i="5"/>
  <c r="G21" i="5" s="1"/>
  <c r="E33" i="5"/>
  <c r="S7" i="5"/>
  <c r="Q9" i="5"/>
  <c r="J22" i="5"/>
  <c r="R17" i="5"/>
  <c r="Q17" i="5"/>
  <c r="G19" i="5"/>
  <c r="G22" i="5" s="1"/>
  <c r="C34" i="5"/>
  <c r="Y9" i="4"/>
  <c r="U9" i="4"/>
  <c r="X9" i="4"/>
  <c r="T9" i="4"/>
  <c r="R9" i="4"/>
  <c r="AA9" i="4"/>
  <c r="O9" i="4"/>
  <c r="Z9" i="4"/>
  <c r="R8" i="4"/>
  <c r="AA8" i="4"/>
  <c r="AB8" i="4"/>
  <c r="T5" i="4"/>
  <c r="W5" i="4"/>
  <c r="G9" i="4"/>
  <c r="E11" i="4"/>
  <c r="E17" i="4"/>
  <c r="J9" i="4"/>
  <c r="J21" i="4" s="1"/>
  <c r="S6" i="4"/>
  <c r="G14" i="4"/>
  <c r="E14" i="4"/>
  <c r="H22" i="4"/>
  <c r="N19" i="4"/>
  <c r="D85" i="4" s="1"/>
  <c r="D33" i="4" s="1"/>
  <c r="J19" i="4"/>
  <c r="X6" i="4"/>
  <c r="E16" i="4"/>
  <c r="J18" i="4"/>
  <c r="E19" i="4"/>
  <c r="C56" i="4"/>
  <c r="D56" i="4" s="1"/>
  <c r="E56" i="4" s="1"/>
  <c r="F56" i="4" s="1"/>
  <c r="G56" i="4" s="1"/>
  <c r="H56" i="4" s="1"/>
  <c r="I56" i="4" s="1"/>
  <c r="J56" i="4" s="1"/>
  <c r="K56" i="4" s="1"/>
  <c r="L56" i="4" s="1"/>
  <c r="M56" i="4" s="1"/>
  <c r="N56" i="4" s="1"/>
  <c r="O56" i="4" s="1"/>
  <c r="P56" i="4" s="1"/>
  <c r="Q56" i="4" s="1"/>
  <c r="R56" i="4" s="1"/>
  <c r="S56" i="4" s="1"/>
  <c r="T56" i="4" s="1"/>
  <c r="U56" i="4" s="1"/>
  <c r="V56" i="4" s="1"/>
  <c r="W56" i="4" s="1"/>
  <c r="X56" i="4" s="1"/>
  <c r="Y56" i="4" s="1"/>
  <c r="Z56" i="4" s="1"/>
  <c r="AA56" i="4" s="1"/>
  <c r="AB56" i="4" s="1"/>
  <c r="AC56" i="4" s="1"/>
  <c r="AD56" i="4" s="1"/>
  <c r="AE56" i="4" s="1"/>
  <c r="AF56" i="4" s="1"/>
  <c r="AG56" i="4" s="1"/>
  <c r="AH56" i="4" s="1"/>
  <c r="AI56" i="4" s="1"/>
  <c r="AJ56" i="4" s="1"/>
  <c r="AK56" i="4" s="1"/>
  <c r="AL56" i="4" s="1"/>
  <c r="AM56" i="4" s="1"/>
  <c r="AN56" i="4" s="1"/>
  <c r="AO56" i="4" s="1"/>
  <c r="AP56" i="4" s="1"/>
  <c r="AQ56" i="4" s="1"/>
  <c r="AR56" i="4" s="1"/>
  <c r="AS56" i="4" s="1"/>
  <c r="AT56" i="4" s="1"/>
  <c r="AU56" i="4" s="1"/>
  <c r="AV56" i="4" s="1"/>
  <c r="AW56" i="4" s="1"/>
  <c r="AX56" i="4" s="1"/>
  <c r="C33" i="4"/>
  <c r="G18" i="4"/>
  <c r="C52" i="4"/>
  <c r="D52" i="4" s="1"/>
  <c r="E52" i="4" s="1"/>
  <c r="F52" i="4" s="1"/>
  <c r="G52" i="4" s="1"/>
  <c r="H52" i="4" s="1"/>
  <c r="I52" i="4" s="1"/>
  <c r="J52" i="4" s="1"/>
  <c r="K52" i="4" s="1"/>
  <c r="L52" i="4" s="1"/>
  <c r="M52" i="4" s="1"/>
  <c r="N52" i="4" s="1"/>
  <c r="O52" i="4" s="1"/>
  <c r="P52" i="4" s="1"/>
  <c r="Q52" i="4" s="1"/>
  <c r="R52" i="4" s="1"/>
  <c r="S52" i="4" s="1"/>
  <c r="T52" i="4" s="1"/>
  <c r="U52" i="4" s="1"/>
  <c r="V52" i="4" s="1"/>
  <c r="W52" i="4" s="1"/>
  <c r="X52" i="4" s="1"/>
  <c r="Y52" i="4" s="1"/>
  <c r="Z52" i="4" s="1"/>
  <c r="AA52" i="4" s="1"/>
  <c r="AB52" i="4" s="1"/>
  <c r="AC52" i="4" s="1"/>
  <c r="AD52" i="4" s="1"/>
  <c r="AE52" i="4" s="1"/>
  <c r="AF52" i="4" s="1"/>
  <c r="AG52" i="4" s="1"/>
  <c r="AH52" i="4" s="1"/>
  <c r="AI52" i="4" s="1"/>
  <c r="AJ52" i="4" s="1"/>
  <c r="AK52" i="4" s="1"/>
  <c r="AL52" i="4" s="1"/>
  <c r="AM52" i="4" s="1"/>
  <c r="AN52" i="4" s="1"/>
  <c r="AO52" i="4" s="1"/>
  <c r="AP52" i="4" s="1"/>
  <c r="AQ52" i="4" s="1"/>
  <c r="AR52" i="4" s="1"/>
  <c r="AS52" i="4" s="1"/>
  <c r="AT52" i="4" s="1"/>
  <c r="AU52" i="4" s="1"/>
  <c r="AV52" i="4" s="1"/>
  <c r="AW52" i="4" s="1"/>
  <c r="AX52" i="4" s="1"/>
  <c r="H19" i="1"/>
  <c r="E32" i="3"/>
  <c r="F18" i="7" s="1"/>
  <c r="J21" i="5" l="1"/>
  <c r="AA12" i="4"/>
  <c r="Z12" i="4"/>
  <c r="AC12" i="4"/>
  <c r="Y12" i="4"/>
  <c r="AB12" i="4"/>
  <c r="G22" i="4"/>
  <c r="Q18" i="5"/>
  <c r="Y5" i="4"/>
  <c r="U7" i="4"/>
  <c r="V18" i="4"/>
  <c r="Y18" i="4"/>
  <c r="AC8" i="4"/>
  <c r="AA18" i="4"/>
  <c r="AC18" i="4"/>
  <c r="Z18" i="4"/>
  <c r="Q18" i="4"/>
  <c r="T18" i="4"/>
  <c r="V7" i="4"/>
  <c r="U18" i="4"/>
  <c r="R18" i="4"/>
  <c r="S18" i="4"/>
  <c r="X18" i="4"/>
  <c r="S7" i="4"/>
  <c r="W18" i="4"/>
  <c r="AB6" i="4"/>
  <c r="AA6" i="4"/>
  <c r="Z6" i="4"/>
  <c r="AC6" i="4"/>
  <c r="T6" i="4"/>
  <c r="W6" i="4"/>
  <c r="U6" i="4"/>
  <c r="V6" i="4"/>
  <c r="AA5" i="4"/>
  <c r="AC5" i="4"/>
  <c r="V5" i="4"/>
  <c r="R5" i="4"/>
  <c r="AB5" i="4"/>
  <c r="T8" i="4"/>
  <c r="Q8" i="4"/>
  <c r="V8" i="4"/>
  <c r="S9" i="4"/>
  <c r="V9" i="4"/>
  <c r="AB9" i="4"/>
  <c r="AC9" i="4"/>
  <c r="X5" i="4"/>
  <c r="S5" i="4"/>
  <c r="Z5" i="4"/>
  <c r="X8" i="4"/>
  <c r="U8" i="4"/>
  <c r="W9" i="4"/>
  <c r="P9" i="4"/>
  <c r="J22" i="4"/>
  <c r="Y7" i="4"/>
  <c r="Z7" i="4"/>
  <c r="W7" i="4"/>
  <c r="T7" i="4"/>
  <c r="AC7" i="4"/>
  <c r="X7" i="4"/>
  <c r="AA7" i="4"/>
  <c r="Q7" i="4"/>
  <c r="R7" i="4"/>
  <c r="W8" i="4"/>
  <c r="S8" i="4"/>
  <c r="Y8" i="4"/>
  <c r="K22" i="4"/>
  <c r="D35" i="5"/>
  <c r="T4" i="5"/>
  <c r="T19" i="5" s="1"/>
  <c r="J86" i="5" s="1"/>
  <c r="S14" i="5"/>
  <c r="S18" i="5"/>
  <c r="C57" i="5"/>
  <c r="D57" i="5" s="1"/>
  <c r="E57" i="5" s="1"/>
  <c r="F57" i="5" s="1"/>
  <c r="G57" i="5" s="1"/>
  <c r="H57" i="5" s="1"/>
  <c r="I57" i="5" s="1"/>
  <c r="J57" i="5" s="1"/>
  <c r="K57" i="5" s="1"/>
  <c r="L57" i="5" s="1"/>
  <c r="M57" i="5" s="1"/>
  <c r="N57" i="5" s="1"/>
  <c r="O57" i="5" s="1"/>
  <c r="P57" i="5" s="1"/>
  <c r="Q57" i="5" s="1"/>
  <c r="R57" i="5" s="1"/>
  <c r="S57" i="5" s="1"/>
  <c r="T57" i="5" s="1"/>
  <c r="U57" i="5" s="1"/>
  <c r="V57" i="5" s="1"/>
  <c r="W57" i="5" s="1"/>
  <c r="X57" i="5" s="1"/>
  <c r="Y57" i="5" s="1"/>
  <c r="Z57" i="5" s="1"/>
  <c r="AA57" i="5" s="1"/>
  <c r="AB57" i="5" s="1"/>
  <c r="AC57" i="5" s="1"/>
  <c r="AD57" i="5" s="1"/>
  <c r="AE57" i="5" s="1"/>
  <c r="AF57" i="5" s="1"/>
  <c r="AG57" i="5" s="1"/>
  <c r="AH57" i="5" s="1"/>
  <c r="AI57" i="5" s="1"/>
  <c r="AJ57" i="5" s="1"/>
  <c r="AK57" i="5" s="1"/>
  <c r="AL57" i="5" s="1"/>
  <c r="AM57" i="5" s="1"/>
  <c r="AN57" i="5" s="1"/>
  <c r="AO57" i="5" s="1"/>
  <c r="AP57" i="5" s="1"/>
  <c r="AQ57" i="5" s="1"/>
  <c r="AR57" i="5" s="1"/>
  <c r="AS57" i="5" s="1"/>
  <c r="AT57" i="5" s="1"/>
  <c r="AU57" i="5" s="1"/>
  <c r="AV57" i="5" s="1"/>
  <c r="AW57" i="5" s="1"/>
  <c r="AX57" i="5" s="1"/>
  <c r="G23" i="5"/>
  <c r="S16" i="5"/>
  <c r="S6" i="5"/>
  <c r="S9" i="5"/>
  <c r="S17" i="5"/>
  <c r="H23" i="5"/>
  <c r="C35" i="5"/>
  <c r="J23" i="5"/>
  <c r="Q19" i="5"/>
  <c r="P19" i="5"/>
  <c r="S19" i="5"/>
  <c r="I86" i="5" s="1"/>
  <c r="O19" i="5"/>
  <c r="E86" i="5" s="1"/>
  <c r="R19" i="5"/>
  <c r="H86" i="5" s="1"/>
  <c r="Q8" i="5"/>
  <c r="G70" i="5" s="1"/>
  <c r="R8" i="5"/>
  <c r="H70" i="5" s="1"/>
  <c r="S8" i="5"/>
  <c r="AA19" i="4"/>
  <c r="Q85" i="4" s="1"/>
  <c r="W19" i="4"/>
  <c r="M85" i="4" s="1"/>
  <c r="S19" i="4"/>
  <c r="I85" i="4" s="1"/>
  <c r="O19" i="4"/>
  <c r="E85" i="4" s="1"/>
  <c r="Z19" i="4"/>
  <c r="P85" i="4" s="1"/>
  <c r="V19" i="4"/>
  <c r="L85" i="4" s="1"/>
  <c r="R19" i="4"/>
  <c r="H85" i="4" s="1"/>
  <c r="AB19" i="4"/>
  <c r="R85" i="4" s="1"/>
  <c r="T19" i="4"/>
  <c r="J85" i="4" s="1"/>
  <c r="Y19" i="4"/>
  <c r="O85" i="4" s="1"/>
  <c r="Q19" i="4"/>
  <c r="G85" i="4" s="1"/>
  <c r="X19" i="4"/>
  <c r="N85" i="4" s="1"/>
  <c r="P19" i="4"/>
  <c r="AC19" i="4"/>
  <c r="S85" i="4" s="1"/>
  <c r="U19" i="4"/>
  <c r="K85" i="4" s="1"/>
  <c r="Z16" i="4"/>
  <c r="V16" i="4"/>
  <c r="R16" i="4"/>
  <c r="AC16" i="4"/>
  <c r="Y16" i="4"/>
  <c r="U16" i="4"/>
  <c r="AB16" i="4"/>
  <c r="T16" i="4"/>
  <c r="AA16" i="4"/>
  <c r="S16" i="4"/>
  <c r="X16" i="4"/>
  <c r="W16" i="4"/>
  <c r="H21" i="4"/>
  <c r="H23" i="4" s="1"/>
  <c r="AA11" i="4"/>
  <c r="X11" i="4"/>
  <c r="Z11" i="4"/>
  <c r="AC11" i="4"/>
  <c r="Y11" i="4"/>
  <c r="AB11" i="4"/>
  <c r="C34" i="4"/>
  <c r="AB14" i="4"/>
  <c r="X14" i="4"/>
  <c r="T14" i="4"/>
  <c r="AA14" i="4"/>
  <c r="W14" i="4"/>
  <c r="S14" i="4"/>
  <c r="Z14" i="4"/>
  <c r="Y14" i="4"/>
  <c r="V14" i="4"/>
  <c r="AC14" i="4"/>
  <c r="U14" i="4"/>
  <c r="J23" i="4"/>
  <c r="K21" i="4"/>
  <c r="D34" i="4"/>
  <c r="AC17" i="4"/>
  <c r="Y17" i="4"/>
  <c r="U17" i="4"/>
  <c r="Q17" i="4"/>
  <c r="AB17" i="4"/>
  <c r="X17" i="4"/>
  <c r="T17" i="4"/>
  <c r="AA17" i="4"/>
  <c r="S17" i="4"/>
  <c r="Z17" i="4"/>
  <c r="R17" i="4"/>
  <c r="W17" i="4"/>
  <c r="V17" i="4"/>
  <c r="G21" i="4"/>
  <c r="G23" i="4" s="1"/>
  <c r="E29" i="3"/>
  <c r="F15" i="7" s="1"/>
  <c r="E28" i="3"/>
  <c r="F14" i="7" s="1"/>
  <c r="E26" i="3"/>
  <c r="F12" i="7" s="1"/>
  <c r="E25" i="3"/>
  <c r="F11" i="7" s="1"/>
  <c r="E24" i="3"/>
  <c r="F10" i="7" s="1"/>
  <c r="E21" i="3"/>
  <c r="F7" i="7" s="1"/>
  <c r="E20" i="3"/>
  <c r="F6" i="7" s="1"/>
  <c r="I70" i="5" l="1"/>
  <c r="K69" i="4"/>
  <c r="K23" i="4"/>
  <c r="G86" i="5"/>
  <c r="G34" i="5" s="1"/>
  <c r="F86" i="5"/>
  <c r="F34" i="5" s="1"/>
  <c r="F35" i="5" s="1"/>
  <c r="P69" i="4"/>
  <c r="M69" i="4"/>
  <c r="O69" i="4"/>
  <c r="H69" i="4"/>
  <c r="J69" i="4"/>
  <c r="R69" i="4"/>
  <c r="Q69" i="4"/>
  <c r="I69" i="4"/>
  <c r="L69" i="4"/>
  <c r="S69" i="4"/>
  <c r="N69" i="4"/>
  <c r="G69" i="4"/>
  <c r="G32" i="4" s="1"/>
  <c r="F85" i="4"/>
  <c r="F33" i="4" s="1"/>
  <c r="F34" i="4" s="1"/>
  <c r="G33" i="5"/>
  <c r="E34" i="5"/>
  <c r="U4" i="5"/>
  <c r="T14" i="5"/>
  <c r="T17" i="5"/>
  <c r="T7" i="5"/>
  <c r="T18" i="5"/>
  <c r="T5" i="5"/>
  <c r="T16" i="5"/>
  <c r="T6" i="5"/>
  <c r="T9" i="5"/>
  <c r="T8" i="5"/>
  <c r="G33" i="4"/>
  <c r="E33" i="4"/>
  <c r="F32" i="3"/>
  <c r="G18" i="7" s="1"/>
  <c r="F29" i="3"/>
  <c r="F28" i="3"/>
  <c r="G14" i="7" s="1"/>
  <c r="F26" i="3"/>
  <c r="G12" i="7" s="1"/>
  <c r="F25" i="3"/>
  <c r="G11" i="7" s="1"/>
  <c r="F24" i="3"/>
  <c r="G10" i="7" s="1"/>
  <c r="F21" i="3"/>
  <c r="G7" i="7" s="1"/>
  <c r="F20" i="3"/>
  <c r="G15" i="7" l="1"/>
  <c r="G6" i="7"/>
  <c r="J70" i="5"/>
  <c r="H35" i="3"/>
  <c r="I35" i="3"/>
  <c r="V4" i="5"/>
  <c r="U17" i="5"/>
  <c r="U9" i="5"/>
  <c r="U14" i="5"/>
  <c r="U5" i="5"/>
  <c r="U7" i="5"/>
  <c r="U18" i="5"/>
  <c r="U6" i="5"/>
  <c r="U16" i="5"/>
  <c r="U8" i="5"/>
  <c r="U19" i="5"/>
  <c r="K86" i="5" s="1"/>
  <c r="E35" i="5"/>
  <c r="G35" i="5"/>
  <c r="E34" i="4"/>
  <c r="G34" i="4"/>
  <c r="D8" i="2" l="1"/>
  <c r="AU62" i="5"/>
  <c r="V62" i="5"/>
  <c r="AL62" i="5"/>
  <c r="F62" i="5"/>
  <c r="AV62" i="5"/>
  <c r="AQ62" i="5"/>
  <c r="N62" i="5"/>
  <c r="AD62" i="5"/>
  <c r="X62" i="5"/>
  <c r="M62" i="5"/>
  <c r="AC62" i="5"/>
  <c r="AS62" i="5"/>
  <c r="AN62" i="5"/>
  <c r="AE61" i="4"/>
  <c r="AP62" i="5"/>
  <c r="AX62" i="5"/>
  <c r="AH62" i="5"/>
  <c r="AG62" i="5"/>
  <c r="AK62" i="5"/>
  <c r="G62" i="5"/>
  <c r="W62" i="5"/>
  <c r="AM62" i="5"/>
  <c r="L62" i="5"/>
  <c r="Q61" i="4"/>
  <c r="Y61" i="4"/>
  <c r="AG61" i="4"/>
  <c r="AS61" i="4"/>
  <c r="U61" i="4"/>
  <c r="C61" i="4"/>
  <c r="J61" i="4"/>
  <c r="AA61" i="4"/>
  <c r="K61" i="4"/>
  <c r="AH61" i="4"/>
  <c r="AB61" i="4"/>
  <c r="H61" i="4"/>
  <c r="AI61" i="4"/>
  <c r="AA62" i="5"/>
  <c r="T62" i="5"/>
  <c r="N61" i="4"/>
  <c r="AT61" i="4"/>
  <c r="H62" i="5"/>
  <c r="P61" i="4"/>
  <c r="AP61" i="4"/>
  <c r="AT62" i="5"/>
  <c r="I62" i="5"/>
  <c r="O62" i="5"/>
  <c r="AC61" i="4"/>
  <c r="AW61" i="4"/>
  <c r="AX61" i="4"/>
  <c r="T61" i="4"/>
  <c r="AF61" i="4"/>
  <c r="Z61" i="4"/>
  <c r="AQ61" i="4"/>
  <c r="AU61" i="4"/>
  <c r="AW62" i="5"/>
  <c r="J62" i="5"/>
  <c r="AO62" i="5"/>
  <c r="K62" i="5"/>
  <c r="AR62" i="5"/>
  <c r="AK61" i="4"/>
  <c r="I61" i="4"/>
  <c r="AL61" i="4"/>
  <c r="O61" i="4"/>
  <c r="AM61" i="4"/>
  <c r="X61" i="4"/>
  <c r="AJ61" i="4"/>
  <c r="L61" i="4"/>
  <c r="Q62" i="5"/>
  <c r="R62" i="5"/>
  <c r="E62" i="5"/>
  <c r="AE62" i="5"/>
  <c r="AB62" i="5"/>
  <c r="M61" i="4"/>
  <c r="AO61" i="4"/>
  <c r="R61" i="4"/>
  <c r="S61" i="4"/>
  <c r="AR61" i="4"/>
  <c r="P62" i="5"/>
  <c r="AF62" i="5"/>
  <c r="Z62" i="5"/>
  <c r="AI62" i="5"/>
  <c r="D62" i="5"/>
  <c r="E61" i="4"/>
  <c r="F61" i="4"/>
  <c r="D61" i="4"/>
  <c r="AJ62" i="5"/>
  <c r="V61" i="4"/>
  <c r="AD61" i="4"/>
  <c r="AV61" i="4"/>
  <c r="U62" i="5"/>
  <c r="W61" i="4"/>
  <c r="G61" i="4"/>
  <c r="Y62" i="5"/>
  <c r="S62" i="5"/>
  <c r="AN61" i="4"/>
  <c r="C62" i="5"/>
  <c r="K70" i="5"/>
  <c r="W4" i="5"/>
  <c r="V5" i="5"/>
  <c r="V6" i="5"/>
  <c r="V9" i="5"/>
  <c r="V7" i="5"/>
  <c r="V18" i="5"/>
  <c r="V16" i="5"/>
  <c r="V14" i="5"/>
  <c r="V17" i="5"/>
  <c r="V8" i="5"/>
  <c r="V19" i="5"/>
  <c r="L86" i="5" s="1"/>
  <c r="C62" i="4" l="1"/>
  <c r="D62" i="4" s="1"/>
  <c r="E62" i="4" s="1"/>
  <c r="F62" i="4" s="1"/>
  <c r="G62" i="4" s="1"/>
  <c r="H62" i="4" s="1"/>
  <c r="I62" i="4" s="1"/>
  <c r="J62" i="4" s="1"/>
  <c r="K62" i="4" s="1"/>
  <c r="L62" i="4" s="1"/>
  <c r="M62" i="4" s="1"/>
  <c r="N62" i="4" s="1"/>
  <c r="O62" i="4" s="1"/>
  <c r="P62" i="4" s="1"/>
  <c r="Q62" i="4" s="1"/>
  <c r="R62" i="4" s="1"/>
  <c r="S62" i="4" s="1"/>
  <c r="T62" i="4" s="1"/>
  <c r="U62" i="4" s="1"/>
  <c r="V62" i="4" s="1"/>
  <c r="W62" i="4" s="1"/>
  <c r="X62" i="4" s="1"/>
  <c r="Y62" i="4" s="1"/>
  <c r="Z62" i="4" s="1"/>
  <c r="AA62" i="4" s="1"/>
  <c r="AB62" i="4" s="1"/>
  <c r="AC62" i="4" s="1"/>
  <c r="AD62" i="4" s="1"/>
  <c r="AE62" i="4" s="1"/>
  <c r="AF62" i="4" s="1"/>
  <c r="AG62" i="4" s="1"/>
  <c r="AH62" i="4" s="1"/>
  <c r="AI62" i="4" s="1"/>
  <c r="AJ62" i="4" s="1"/>
  <c r="AK62" i="4" s="1"/>
  <c r="AL62" i="4" s="1"/>
  <c r="AM62" i="4" s="1"/>
  <c r="AN62" i="4" s="1"/>
  <c r="AO62" i="4" s="1"/>
  <c r="AP62" i="4" s="1"/>
  <c r="AQ62" i="4" s="1"/>
  <c r="AR62" i="4" s="1"/>
  <c r="AS62" i="4" s="1"/>
  <c r="AT62" i="4" s="1"/>
  <c r="AU62" i="4" s="1"/>
  <c r="AV62" i="4" s="1"/>
  <c r="AW62" i="4" s="1"/>
  <c r="AX62" i="4" s="1"/>
  <c r="C63" i="5"/>
  <c r="D63" i="5" s="1"/>
  <c r="E63" i="5" s="1"/>
  <c r="F63" i="5" s="1"/>
  <c r="G63" i="5" s="1"/>
  <c r="H63" i="5" s="1"/>
  <c r="I63" i="5" s="1"/>
  <c r="J63" i="5" s="1"/>
  <c r="K63" i="5" s="1"/>
  <c r="L63" i="5" s="1"/>
  <c r="M63" i="5" s="1"/>
  <c r="N63" i="5" s="1"/>
  <c r="O63" i="5" s="1"/>
  <c r="P63" i="5" s="1"/>
  <c r="Q63" i="5" s="1"/>
  <c r="R63" i="5" s="1"/>
  <c r="S63" i="5" s="1"/>
  <c r="T63" i="5" s="1"/>
  <c r="U63" i="5" s="1"/>
  <c r="V63" i="5" s="1"/>
  <c r="W63" i="5" s="1"/>
  <c r="X63" i="5" s="1"/>
  <c r="Y63" i="5" s="1"/>
  <c r="Z63" i="5" s="1"/>
  <c r="AA63" i="5" s="1"/>
  <c r="AB63" i="5" s="1"/>
  <c r="AC63" i="5" s="1"/>
  <c r="AD63" i="5" s="1"/>
  <c r="AE63" i="5" s="1"/>
  <c r="AF63" i="5" s="1"/>
  <c r="AG63" i="5" s="1"/>
  <c r="AH63" i="5" s="1"/>
  <c r="AI63" i="5" s="1"/>
  <c r="AJ63" i="5" s="1"/>
  <c r="AK63" i="5" s="1"/>
  <c r="AL63" i="5" s="1"/>
  <c r="AM63" i="5" s="1"/>
  <c r="AN63" i="5" s="1"/>
  <c r="AO63" i="5" s="1"/>
  <c r="AP63" i="5" s="1"/>
  <c r="AQ63" i="5" s="1"/>
  <c r="AR63" i="5" s="1"/>
  <c r="AS63" i="5" s="1"/>
  <c r="AT63" i="5" s="1"/>
  <c r="AU63" i="5" s="1"/>
  <c r="AV63" i="5" s="1"/>
  <c r="AW63" i="5" s="1"/>
  <c r="AX63" i="5" s="1"/>
  <c r="H78" i="5"/>
  <c r="AC78" i="5"/>
  <c r="AN78" i="5"/>
  <c r="X78" i="5"/>
  <c r="K77" i="4"/>
  <c r="AQ77" i="4"/>
  <c r="AI78" i="5"/>
  <c r="T77" i="4"/>
  <c r="E77" i="4"/>
  <c r="AE77" i="4"/>
  <c r="O78" i="5"/>
  <c r="AU78" i="5"/>
  <c r="D78" i="5"/>
  <c r="AK77" i="4"/>
  <c r="R77" i="4"/>
  <c r="AH77" i="4"/>
  <c r="AX77" i="4"/>
  <c r="R78" i="5"/>
  <c r="AH78" i="5"/>
  <c r="AW78" i="5"/>
  <c r="AV78" i="5"/>
  <c r="AN77" i="4"/>
  <c r="AC77" i="4"/>
  <c r="AO77" i="4"/>
  <c r="AR77" i="4"/>
  <c r="AA77" i="4"/>
  <c r="D77" i="4"/>
  <c r="E78" i="5"/>
  <c r="AK78" i="5"/>
  <c r="AU77" i="4"/>
  <c r="M77" i="4"/>
  <c r="J77" i="4"/>
  <c r="AP77" i="4"/>
  <c r="Z78" i="5"/>
  <c r="P78" i="5"/>
  <c r="AF77" i="4"/>
  <c r="AJ77" i="4"/>
  <c r="AA78" i="5"/>
  <c r="L77" i="4"/>
  <c r="S77" i="4"/>
  <c r="K78" i="5"/>
  <c r="AQ78" i="5"/>
  <c r="AB78" i="5"/>
  <c r="U77" i="4"/>
  <c r="Q78" i="5"/>
  <c r="AG78" i="5"/>
  <c r="G77" i="4"/>
  <c r="AM77" i="4"/>
  <c r="W78" i="5"/>
  <c r="H77" i="4"/>
  <c r="L78" i="5"/>
  <c r="I77" i="4"/>
  <c r="F77" i="4"/>
  <c r="V77" i="4"/>
  <c r="AL77" i="4"/>
  <c r="F78" i="5"/>
  <c r="V78" i="5"/>
  <c r="AL78" i="5"/>
  <c r="AT78" i="5"/>
  <c r="AW77" i="4"/>
  <c r="S78" i="5"/>
  <c r="AJ78" i="5"/>
  <c r="U78" i="5"/>
  <c r="O77" i="4"/>
  <c r="AE78" i="5"/>
  <c r="T78" i="5"/>
  <c r="Z77" i="4"/>
  <c r="J78" i="5"/>
  <c r="M78" i="5"/>
  <c r="X77" i="4"/>
  <c r="AI77" i="4"/>
  <c r="AR78" i="5"/>
  <c r="W77" i="4"/>
  <c r="AT77" i="4"/>
  <c r="AV77" i="4"/>
  <c r="AS78" i="5"/>
  <c r="Y77" i="4"/>
  <c r="Y78" i="5"/>
  <c r="AM78" i="5"/>
  <c r="N77" i="4"/>
  <c r="AG77" i="4"/>
  <c r="AB77" i="4"/>
  <c r="AX78" i="5"/>
  <c r="AS77" i="4"/>
  <c r="I78" i="5"/>
  <c r="G78" i="5"/>
  <c r="Q77" i="4"/>
  <c r="N78" i="5"/>
  <c r="AF78" i="5"/>
  <c r="AD78" i="5"/>
  <c r="AP78" i="5"/>
  <c r="AO78" i="5"/>
  <c r="AD77" i="4"/>
  <c r="P77" i="4"/>
  <c r="C77" i="4"/>
  <c r="C78" i="5"/>
  <c r="L70" i="5"/>
  <c r="X4" i="5"/>
  <c r="W14" i="5"/>
  <c r="W6" i="5"/>
  <c r="W16" i="5"/>
  <c r="W17" i="5"/>
  <c r="W9" i="5"/>
  <c r="W5" i="5"/>
  <c r="W18" i="5"/>
  <c r="W7" i="5"/>
  <c r="W19" i="5"/>
  <c r="M86" i="5" s="1"/>
  <c r="W8" i="5"/>
  <c r="C67" i="4" l="1"/>
  <c r="D65" i="4" s="1"/>
  <c r="D66" i="4" s="1"/>
  <c r="C37" i="4"/>
  <c r="C71" i="4"/>
  <c r="C72" i="5"/>
  <c r="C38" i="5"/>
  <c r="C68" i="5"/>
  <c r="D66" i="5" s="1"/>
  <c r="D67" i="5" s="1"/>
  <c r="C78" i="4"/>
  <c r="D78" i="4" s="1"/>
  <c r="E78" i="4" s="1"/>
  <c r="F78" i="4" s="1"/>
  <c r="G78" i="4" s="1"/>
  <c r="H78" i="4" s="1"/>
  <c r="I78" i="4" s="1"/>
  <c r="J78" i="4" s="1"/>
  <c r="K78" i="4" s="1"/>
  <c r="L78" i="4" s="1"/>
  <c r="M78" i="4" s="1"/>
  <c r="N78" i="4" s="1"/>
  <c r="O78" i="4" s="1"/>
  <c r="P78" i="4" s="1"/>
  <c r="Q78" i="4" s="1"/>
  <c r="R78" i="4" s="1"/>
  <c r="S78" i="4" s="1"/>
  <c r="T78" i="4" s="1"/>
  <c r="U78" i="4" s="1"/>
  <c r="V78" i="4" s="1"/>
  <c r="W78" i="4" s="1"/>
  <c r="X78" i="4" s="1"/>
  <c r="Y78" i="4" s="1"/>
  <c r="Z78" i="4" s="1"/>
  <c r="AA78" i="4" s="1"/>
  <c r="AB78" i="4" s="1"/>
  <c r="AC78" i="4" s="1"/>
  <c r="AD78" i="4" s="1"/>
  <c r="AE78" i="4" s="1"/>
  <c r="AF78" i="4" s="1"/>
  <c r="AG78" i="4" s="1"/>
  <c r="AH78" i="4" s="1"/>
  <c r="AI78" i="4" s="1"/>
  <c r="AJ78" i="4" s="1"/>
  <c r="AK78" i="4" s="1"/>
  <c r="AL78" i="4" s="1"/>
  <c r="AM78" i="4" s="1"/>
  <c r="AN78" i="4" s="1"/>
  <c r="AO78" i="4" s="1"/>
  <c r="AP78" i="4" s="1"/>
  <c r="AQ78" i="4" s="1"/>
  <c r="AR78" i="4" s="1"/>
  <c r="AS78" i="4" s="1"/>
  <c r="AT78" i="4" s="1"/>
  <c r="AU78" i="4" s="1"/>
  <c r="AV78" i="4" s="1"/>
  <c r="AW78" i="4" s="1"/>
  <c r="AX78" i="4" s="1"/>
  <c r="C79" i="5"/>
  <c r="D79" i="5" s="1"/>
  <c r="E79" i="5" s="1"/>
  <c r="F79" i="5" s="1"/>
  <c r="G79" i="5" s="1"/>
  <c r="H79" i="5" s="1"/>
  <c r="I79" i="5" s="1"/>
  <c r="J79" i="5" s="1"/>
  <c r="K79" i="5" s="1"/>
  <c r="L79" i="5" s="1"/>
  <c r="M79" i="5" s="1"/>
  <c r="N79" i="5" s="1"/>
  <c r="O79" i="5" s="1"/>
  <c r="P79" i="5" s="1"/>
  <c r="Q79" i="5" s="1"/>
  <c r="R79" i="5" s="1"/>
  <c r="S79" i="5" s="1"/>
  <c r="T79" i="5" s="1"/>
  <c r="U79" i="5" s="1"/>
  <c r="V79" i="5" s="1"/>
  <c r="W79" i="5" s="1"/>
  <c r="X79" i="5" s="1"/>
  <c r="Y79" i="5" s="1"/>
  <c r="Z79" i="5" s="1"/>
  <c r="AA79" i="5" s="1"/>
  <c r="AB79" i="5" s="1"/>
  <c r="AC79" i="5" s="1"/>
  <c r="AD79" i="5" s="1"/>
  <c r="AE79" i="5" s="1"/>
  <c r="AF79" i="5" s="1"/>
  <c r="AG79" i="5" s="1"/>
  <c r="AH79" i="5" s="1"/>
  <c r="AI79" i="5" s="1"/>
  <c r="AJ79" i="5" s="1"/>
  <c r="AK79" i="5" s="1"/>
  <c r="AL79" i="5" s="1"/>
  <c r="AM79" i="5" s="1"/>
  <c r="AN79" i="5" s="1"/>
  <c r="AO79" i="5" s="1"/>
  <c r="AP79" i="5" s="1"/>
  <c r="AQ79" i="5" s="1"/>
  <c r="AR79" i="5" s="1"/>
  <c r="AS79" i="5" s="1"/>
  <c r="AT79" i="5" s="1"/>
  <c r="AU79" i="5" s="1"/>
  <c r="AV79" i="5" s="1"/>
  <c r="AW79" i="5" s="1"/>
  <c r="AX79" i="5" s="1"/>
  <c r="M70" i="5"/>
  <c r="Y4" i="5"/>
  <c r="Y12" i="5" s="1"/>
  <c r="X14" i="5"/>
  <c r="X17" i="5"/>
  <c r="X9" i="5"/>
  <c r="X16" i="5"/>
  <c r="X18" i="5"/>
  <c r="X6" i="5"/>
  <c r="X7" i="5"/>
  <c r="X5" i="5"/>
  <c r="X19" i="5"/>
  <c r="N86" i="5" s="1"/>
  <c r="X8" i="5"/>
  <c r="X11" i="5"/>
  <c r="C51" i="1"/>
  <c r="AX87" i="1"/>
  <c r="AW87" i="1"/>
  <c r="AV87" i="1"/>
  <c r="AU87" i="1"/>
  <c r="AT87" i="1"/>
  <c r="AS87" i="1"/>
  <c r="AR87" i="1"/>
  <c r="AQ87" i="1"/>
  <c r="AP87" i="1"/>
  <c r="AO87" i="1"/>
  <c r="AN87" i="1"/>
  <c r="AM87" i="1"/>
  <c r="AL87" i="1"/>
  <c r="AX71" i="1"/>
  <c r="AW71" i="1"/>
  <c r="AV71" i="1"/>
  <c r="AU71" i="1"/>
  <c r="AT71" i="1"/>
  <c r="AS71" i="1"/>
  <c r="AR71" i="1"/>
  <c r="AQ71" i="1"/>
  <c r="AP71" i="1"/>
  <c r="AO71" i="1"/>
  <c r="AN71" i="1"/>
  <c r="AM71" i="1"/>
  <c r="AL71" i="1"/>
  <c r="D68" i="5" l="1"/>
  <c r="E66" i="5" s="1"/>
  <c r="E67" i="5" s="1"/>
  <c r="D38" i="5"/>
  <c r="D72" i="5"/>
  <c r="C88" i="5"/>
  <c r="C90" i="5" s="1"/>
  <c r="C84" i="5"/>
  <c r="D82" i="5" s="1"/>
  <c r="D83" i="5" s="1"/>
  <c r="C39" i="5"/>
  <c r="C44" i="5" s="1"/>
  <c r="C42" i="4"/>
  <c r="C83" i="4"/>
  <c r="D81" i="4" s="1"/>
  <c r="D82" i="4" s="1"/>
  <c r="C38" i="4"/>
  <c r="C43" i="4" s="1"/>
  <c r="C87" i="4"/>
  <c r="C89" i="4" s="1"/>
  <c r="C43" i="5"/>
  <c r="N70" i="5"/>
  <c r="Z4" i="5"/>
  <c r="Z12" i="5" s="1"/>
  <c r="Y5" i="5"/>
  <c r="Y16" i="5"/>
  <c r="Y7" i="5"/>
  <c r="Y18" i="5"/>
  <c r="Y6" i="5"/>
  <c r="Y9" i="5"/>
  <c r="Y14" i="5"/>
  <c r="Y17" i="5"/>
  <c r="Y11" i="5"/>
  <c r="Y19" i="5"/>
  <c r="O86" i="5" s="1"/>
  <c r="Y8" i="5"/>
  <c r="N19" i="1"/>
  <c r="O70" i="5" l="1"/>
  <c r="C40" i="5"/>
  <c r="C45" i="5"/>
  <c r="C44" i="4"/>
  <c r="D71" i="4"/>
  <c r="D37" i="4"/>
  <c r="D67" i="4"/>
  <c r="E65" i="4" s="1"/>
  <c r="E66" i="4" s="1"/>
  <c r="D43" i="5"/>
  <c r="E68" i="5"/>
  <c r="F66" i="5" s="1"/>
  <c r="C39" i="4"/>
  <c r="Z9" i="5"/>
  <c r="AA4" i="5"/>
  <c r="AA12" i="5" s="1"/>
  <c r="Z7" i="5"/>
  <c r="Z18" i="5"/>
  <c r="Z6" i="5"/>
  <c r="Z5" i="5"/>
  <c r="Z16" i="5"/>
  <c r="Z17" i="5"/>
  <c r="Z14" i="5"/>
  <c r="Z8" i="5"/>
  <c r="Z11" i="5"/>
  <c r="Z19" i="5"/>
  <c r="P86" i="5" s="1"/>
  <c r="K19" i="1"/>
  <c r="G19" i="1"/>
  <c r="E27" i="3"/>
  <c r="F13" i="7" s="1"/>
  <c r="F27" i="3"/>
  <c r="G13" i="7" s="1"/>
  <c r="F67" i="5" l="1"/>
  <c r="F72" i="5" s="1"/>
  <c r="E72" i="5"/>
  <c r="E38" i="5"/>
  <c r="D38" i="4"/>
  <c r="D43" i="4" s="1"/>
  <c r="D87" i="4"/>
  <c r="D89" i="4" s="1"/>
  <c r="D88" i="5"/>
  <c r="D90" i="5" s="1"/>
  <c r="D39" i="5"/>
  <c r="D42" i="4"/>
  <c r="E67" i="4"/>
  <c r="F65" i="4" s="1"/>
  <c r="F66" i="4" s="1"/>
  <c r="D83" i="4"/>
  <c r="E81" i="4" s="1"/>
  <c r="E82" i="4" s="1"/>
  <c r="D84" i="5"/>
  <c r="E82" i="5" s="1"/>
  <c r="E83" i="5" s="1"/>
  <c r="P70" i="5"/>
  <c r="AB4" i="5"/>
  <c r="AB12" i="5" s="1"/>
  <c r="AA14" i="5"/>
  <c r="AA18" i="5"/>
  <c r="AA9" i="5"/>
  <c r="AA7" i="5"/>
  <c r="AA6" i="5"/>
  <c r="AA5" i="5"/>
  <c r="AA17" i="5"/>
  <c r="AA16" i="5"/>
  <c r="AA8" i="5"/>
  <c r="AA19" i="5"/>
  <c r="Q86" i="5" s="1"/>
  <c r="AA11" i="5"/>
  <c r="D44" i="4" l="1"/>
  <c r="F68" i="5"/>
  <c r="G66" i="5" s="1"/>
  <c r="G67" i="5" s="1"/>
  <c r="G38" i="5" s="1"/>
  <c r="G43" i="5" s="1"/>
  <c r="F38" i="5"/>
  <c r="F43" i="5" s="1"/>
  <c r="Q70" i="5"/>
  <c r="D39" i="4"/>
  <c r="E43" i="5"/>
  <c r="F67" i="4"/>
  <c r="G65" i="4" s="1"/>
  <c r="G66" i="4" s="1"/>
  <c r="E84" i="5"/>
  <c r="F82" i="5" s="1"/>
  <c r="F83" i="5" s="1"/>
  <c r="D44" i="5"/>
  <c r="D45" i="5" s="1"/>
  <c r="D40" i="5"/>
  <c r="E83" i="4"/>
  <c r="F81" i="4" s="1"/>
  <c r="F82" i="4" s="1"/>
  <c r="E87" i="4"/>
  <c r="E38" i="4"/>
  <c r="E43" i="4" s="1"/>
  <c r="E37" i="4"/>
  <c r="E71" i="4"/>
  <c r="AC4" i="5"/>
  <c r="AC12" i="5" s="1"/>
  <c r="AB14" i="5"/>
  <c r="AB18" i="5"/>
  <c r="AB17" i="5"/>
  <c r="AB7" i="5"/>
  <c r="AB6" i="5"/>
  <c r="AB9" i="5"/>
  <c r="AB16" i="5"/>
  <c r="AB5" i="5"/>
  <c r="AB11" i="5"/>
  <c r="AB8" i="5"/>
  <c r="AB19" i="5"/>
  <c r="R86" i="5" s="1"/>
  <c r="K14" i="1"/>
  <c r="G14" i="1"/>
  <c r="H14" i="1"/>
  <c r="G72" i="5" l="1"/>
  <c r="G68" i="5"/>
  <c r="H66" i="5" s="1"/>
  <c r="H67" i="5" s="1"/>
  <c r="H72" i="5" s="1"/>
  <c r="R70" i="5"/>
  <c r="G67" i="4"/>
  <c r="H65" i="4" s="1"/>
  <c r="H66" i="4" s="1"/>
  <c r="F84" i="5"/>
  <c r="G82" i="5" s="1"/>
  <c r="G83" i="5" s="1"/>
  <c r="E42" i="4"/>
  <c r="E44" i="4" s="1"/>
  <c r="E39" i="4"/>
  <c r="F71" i="4"/>
  <c r="F37" i="4"/>
  <c r="E89" i="4"/>
  <c r="F83" i="4"/>
  <c r="G81" i="4" s="1"/>
  <c r="G82" i="4" s="1"/>
  <c r="E88" i="5"/>
  <c r="E90" i="5" s="1"/>
  <c r="E39" i="5"/>
  <c r="AD4" i="5"/>
  <c r="AC17" i="5"/>
  <c r="AC5" i="5"/>
  <c r="AC14" i="5"/>
  <c r="AC16" i="5"/>
  <c r="AC7" i="5"/>
  <c r="AC9" i="5"/>
  <c r="AC6" i="5"/>
  <c r="AC18" i="5"/>
  <c r="AC8" i="5"/>
  <c r="AC11" i="5"/>
  <c r="AC19" i="5"/>
  <c r="S86" i="5" s="1"/>
  <c r="N9" i="1"/>
  <c r="G88" i="5" l="1"/>
  <c r="G90" i="5" s="1"/>
  <c r="H67" i="4"/>
  <c r="I65" i="4" s="1"/>
  <c r="H71" i="4"/>
  <c r="G83" i="4"/>
  <c r="H81" i="4" s="1"/>
  <c r="H82" i="4" s="1"/>
  <c r="G38" i="4"/>
  <c r="G43" i="4" s="1"/>
  <c r="G87" i="4"/>
  <c r="F42" i="4"/>
  <c r="F88" i="5"/>
  <c r="F90" i="5" s="1"/>
  <c r="F39" i="5"/>
  <c r="G84" i="5"/>
  <c r="H82" i="5" s="1"/>
  <c r="H83" i="5" s="1"/>
  <c r="F87" i="4"/>
  <c r="F89" i="4" s="1"/>
  <c r="F38" i="4"/>
  <c r="F43" i="4" s="1"/>
  <c r="E44" i="5"/>
  <c r="E45" i="5" s="1"/>
  <c r="E40" i="5"/>
  <c r="G37" i="4"/>
  <c r="G71" i="4"/>
  <c r="S70" i="5"/>
  <c r="H68" i="5"/>
  <c r="I66" i="5" s="1"/>
  <c r="E31" i="3"/>
  <c r="F17" i="7" s="1"/>
  <c r="E30" i="3"/>
  <c r="F31" i="3"/>
  <c r="G17" i="7" s="1"/>
  <c r="F30" i="3"/>
  <c r="E23" i="3"/>
  <c r="F9" i="7" s="1"/>
  <c r="F23" i="3"/>
  <c r="G9" i="7" s="1"/>
  <c r="E22" i="3"/>
  <c r="F22" i="3"/>
  <c r="AK85" i="1"/>
  <c r="AK69" i="1"/>
  <c r="AJ85" i="1"/>
  <c r="AJ69" i="1"/>
  <c r="AI85" i="1"/>
  <c r="AI69" i="1"/>
  <c r="AH85" i="1"/>
  <c r="AH69" i="1"/>
  <c r="AG85" i="1"/>
  <c r="AG69" i="1"/>
  <c r="AF85" i="1"/>
  <c r="AF69" i="1"/>
  <c r="AE85" i="1"/>
  <c r="AE69" i="1"/>
  <c r="AD85" i="1"/>
  <c r="AD69" i="1"/>
  <c r="AC85" i="1"/>
  <c r="AC69" i="1"/>
  <c r="AB85" i="1"/>
  <c r="AB69" i="1"/>
  <c r="AA85" i="1"/>
  <c r="AA69" i="1"/>
  <c r="Z85" i="1"/>
  <c r="Z69" i="1"/>
  <c r="Y85" i="1"/>
  <c r="Y69" i="1"/>
  <c r="X85" i="1"/>
  <c r="X69" i="1"/>
  <c r="W85" i="1"/>
  <c r="W69" i="1"/>
  <c r="V85" i="1"/>
  <c r="V69" i="1"/>
  <c r="U85" i="1"/>
  <c r="U69" i="1"/>
  <c r="T85" i="1"/>
  <c r="T69" i="1"/>
  <c r="G34" i="3" l="1"/>
  <c r="G35" i="3"/>
  <c r="H88" i="5"/>
  <c r="H90" i="5" s="1"/>
  <c r="G39" i="5"/>
  <c r="G44" i="5" s="1"/>
  <c r="G45" i="5" s="1"/>
  <c r="I67" i="5"/>
  <c r="I68" i="5" s="1"/>
  <c r="J66" i="5" s="1"/>
  <c r="J67" i="5" s="1"/>
  <c r="I66" i="4"/>
  <c r="I71" i="4" s="1"/>
  <c r="G89" i="4"/>
  <c r="H87" i="4"/>
  <c r="H89" i="4" s="1"/>
  <c r="G42" i="4"/>
  <c r="G44" i="4" s="1"/>
  <c r="G39" i="4"/>
  <c r="F39" i="4"/>
  <c r="F44" i="5"/>
  <c r="F45" i="5" s="1"/>
  <c r="F40" i="5"/>
  <c r="F44" i="4"/>
  <c r="G8" i="7"/>
  <c r="F34" i="3"/>
  <c r="E35" i="3"/>
  <c r="F21" i="7" s="1"/>
  <c r="F16" i="7"/>
  <c r="G16" i="7"/>
  <c r="F35" i="3"/>
  <c r="G21" i="7" s="1"/>
  <c r="E34" i="3"/>
  <c r="F8" i="7"/>
  <c r="I34" i="3"/>
  <c r="H34" i="3"/>
  <c r="C81" i="1"/>
  <c r="C82" i="1" s="1"/>
  <c r="K18" i="1"/>
  <c r="K22" i="1" s="1"/>
  <c r="H18" i="1"/>
  <c r="G18" i="1"/>
  <c r="AU89" i="1"/>
  <c r="AQ89" i="1"/>
  <c r="AM89" i="1"/>
  <c r="AX89" i="1"/>
  <c r="AW89" i="1"/>
  <c r="AV89" i="1"/>
  <c r="AT89" i="1"/>
  <c r="AS89" i="1"/>
  <c r="AR89" i="1"/>
  <c r="AP89" i="1"/>
  <c r="AO89" i="1"/>
  <c r="AN89" i="1"/>
  <c r="AL89" i="1"/>
  <c r="N4" i="1"/>
  <c r="O4" i="1" s="1"/>
  <c r="P4" i="1" s="1"/>
  <c r="Q4" i="1" s="1"/>
  <c r="E19" i="1"/>
  <c r="E18" i="7" s="1"/>
  <c r="E18" i="1"/>
  <c r="E17" i="7" s="1"/>
  <c r="E17" i="1"/>
  <c r="E16" i="7" s="1"/>
  <c r="E16" i="1"/>
  <c r="E15" i="7" s="1"/>
  <c r="E14" i="1"/>
  <c r="E14" i="7" s="1"/>
  <c r="E13" i="1"/>
  <c r="E13" i="7" s="1"/>
  <c r="E12" i="1"/>
  <c r="E12" i="7" s="1"/>
  <c r="E11" i="1"/>
  <c r="E11" i="7" s="1"/>
  <c r="E9" i="1"/>
  <c r="E10" i="7" s="1"/>
  <c r="E8" i="1"/>
  <c r="E9" i="7" s="1"/>
  <c r="E7" i="1"/>
  <c r="E8" i="7" s="1"/>
  <c r="E6" i="1"/>
  <c r="E7" i="7" s="1"/>
  <c r="G36" i="3" l="1"/>
  <c r="I67" i="4"/>
  <c r="J65" i="4" s="1"/>
  <c r="J66" i="4" s="1"/>
  <c r="J71" i="4" s="1"/>
  <c r="I72" i="5"/>
  <c r="H84" i="5"/>
  <c r="I82" i="5" s="1"/>
  <c r="I83" i="5" s="1"/>
  <c r="I88" i="5" s="1"/>
  <c r="G40" i="5"/>
  <c r="H83" i="4"/>
  <c r="I81" i="4" s="1"/>
  <c r="F36" i="3"/>
  <c r="G22" i="7" s="1"/>
  <c r="G20" i="7"/>
  <c r="E36" i="3"/>
  <c r="F22" i="7" s="1"/>
  <c r="F20" i="7"/>
  <c r="H36" i="3"/>
  <c r="H37" i="3" s="1"/>
  <c r="I36" i="3"/>
  <c r="I37" i="3" s="1"/>
  <c r="J72" i="5"/>
  <c r="Q7" i="1"/>
  <c r="Q17" i="1"/>
  <c r="Q8" i="1"/>
  <c r="Q18" i="1"/>
  <c r="Q9" i="1"/>
  <c r="O9" i="1"/>
  <c r="P9" i="1"/>
  <c r="Q19" i="1"/>
  <c r="O19" i="1"/>
  <c r="P19" i="1"/>
  <c r="G22" i="1"/>
  <c r="C85" i="1"/>
  <c r="C33" i="1" s="1"/>
  <c r="R4" i="1"/>
  <c r="S4" i="1" s="1"/>
  <c r="S8" i="1" s="1"/>
  <c r="J67" i="4" l="1"/>
  <c r="K65" i="4" s="1"/>
  <c r="K66" i="4" s="1"/>
  <c r="K71" i="4" s="1"/>
  <c r="I90" i="5"/>
  <c r="I82" i="4"/>
  <c r="I87" i="4" s="1"/>
  <c r="I89" i="4" s="1"/>
  <c r="I84" i="5"/>
  <c r="J82" i="5" s="1"/>
  <c r="J83" i="5" s="1"/>
  <c r="J68" i="5"/>
  <c r="K66" i="5" s="1"/>
  <c r="K67" i="5" s="1"/>
  <c r="R19" i="1"/>
  <c r="R17" i="1"/>
  <c r="S7" i="1"/>
  <c r="S16" i="1"/>
  <c r="S14" i="1"/>
  <c r="S9" i="1"/>
  <c r="S6" i="1"/>
  <c r="R8" i="1"/>
  <c r="R9" i="1"/>
  <c r="R18" i="1"/>
  <c r="S17" i="1"/>
  <c r="R16" i="1"/>
  <c r="S19" i="1"/>
  <c r="S18" i="1"/>
  <c r="R7" i="1"/>
  <c r="E85" i="1"/>
  <c r="E33" i="1" s="1"/>
  <c r="F85" i="1"/>
  <c r="F33" i="1" s="1"/>
  <c r="G85" i="1"/>
  <c r="G33" i="1" s="1"/>
  <c r="D85" i="1"/>
  <c r="D33" i="1" s="1"/>
  <c r="T4" i="1"/>
  <c r="I83" i="4" l="1"/>
  <c r="J81" i="4" s="1"/>
  <c r="J82" i="4" s="1"/>
  <c r="J87" i="4" s="1"/>
  <c r="J89" i="4" s="1"/>
  <c r="K72" i="5"/>
  <c r="J88" i="5"/>
  <c r="J90" i="5" s="1"/>
  <c r="K67" i="4"/>
  <c r="L65" i="4" s="1"/>
  <c r="L66" i="4" s="1"/>
  <c r="T18" i="1"/>
  <c r="T19" i="1"/>
  <c r="T17" i="1"/>
  <c r="T6" i="1"/>
  <c r="T7" i="1"/>
  <c r="T8" i="1"/>
  <c r="T14" i="1"/>
  <c r="T9" i="1"/>
  <c r="T16" i="1"/>
  <c r="H85" i="1"/>
  <c r="I85" i="1"/>
  <c r="U4" i="1"/>
  <c r="J83" i="4" l="1"/>
  <c r="K81" i="4" s="1"/>
  <c r="K82" i="4" s="1"/>
  <c r="K87" i="4" s="1"/>
  <c r="K89" i="4" s="1"/>
  <c r="J84" i="5"/>
  <c r="K82" i="5" s="1"/>
  <c r="K83" i="5" s="1"/>
  <c r="K68" i="5"/>
  <c r="L66" i="5" s="1"/>
  <c r="L67" i="5" s="1"/>
  <c r="L71" i="4"/>
  <c r="U7" i="1"/>
  <c r="U9" i="1"/>
  <c r="U17" i="1"/>
  <c r="U8" i="1"/>
  <c r="U6" i="1"/>
  <c r="U19" i="1"/>
  <c r="U18" i="1"/>
  <c r="U14" i="1"/>
  <c r="U16" i="1"/>
  <c r="J85" i="1"/>
  <c r="V4" i="1"/>
  <c r="K83" i="4" l="1"/>
  <c r="L81" i="4" s="1"/>
  <c r="L82" i="4" s="1"/>
  <c r="L87" i="4" s="1"/>
  <c r="L89" i="4" s="1"/>
  <c r="L72" i="5"/>
  <c r="K88" i="5"/>
  <c r="K90" i="5" s="1"/>
  <c r="L67" i="4"/>
  <c r="M65" i="4" s="1"/>
  <c r="M66" i="4" s="1"/>
  <c r="V8" i="1"/>
  <c r="V18" i="1"/>
  <c r="V9" i="1"/>
  <c r="V16" i="1"/>
  <c r="V17" i="1"/>
  <c r="V19" i="1"/>
  <c r="V7" i="1"/>
  <c r="V6" i="1"/>
  <c r="V14" i="1"/>
  <c r="K85" i="1"/>
  <c r="W4" i="1"/>
  <c r="L83" i="4" l="1"/>
  <c r="M81" i="4" s="1"/>
  <c r="M82" i="4" s="1"/>
  <c r="M87" i="4" s="1"/>
  <c r="K84" i="5"/>
  <c r="L82" i="5" s="1"/>
  <c r="L83" i="5" s="1"/>
  <c r="L68" i="5"/>
  <c r="M66" i="5" s="1"/>
  <c r="M67" i="5" s="1"/>
  <c r="M71" i="4"/>
  <c r="W8" i="1"/>
  <c r="W6" i="1"/>
  <c r="W9" i="1"/>
  <c r="W14" i="1"/>
  <c r="W16" i="1"/>
  <c r="W7" i="1"/>
  <c r="W17" i="1"/>
  <c r="W18" i="1"/>
  <c r="W19" i="1"/>
  <c r="L85" i="1"/>
  <c r="X4" i="1"/>
  <c r="M83" i="4" l="1"/>
  <c r="N81" i="4" s="1"/>
  <c r="N82" i="4" s="1"/>
  <c r="N87" i="4" s="1"/>
  <c r="M89" i="4"/>
  <c r="M72" i="5"/>
  <c r="L88" i="5"/>
  <c r="L90" i="5" s="1"/>
  <c r="M67" i="4"/>
  <c r="N65" i="4" s="1"/>
  <c r="N66" i="4" s="1"/>
  <c r="X6" i="1"/>
  <c r="X19" i="1"/>
  <c r="X7" i="1"/>
  <c r="X17" i="1"/>
  <c r="X8" i="1"/>
  <c r="X14" i="1"/>
  <c r="X18" i="1"/>
  <c r="X9" i="1"/>
  <c r="X16" i="1"/>
  <c r="X11" i="1"/>
  <c r="M85" i="1"/>
  <c r="Y4" i="1"/>
  <c r="C52" i="1"/>
  <c r="D52" i="1" s="1"/>
  <c r="E52" i="1" s="1"/>
  <c r="F52" i="1" s="1"/>
  <c r="G52" i="1" s="1"/>
  <c r="H52" i="1" s="1"/>
  <c r="I52" i="1" s="1"/>
  <c r="J52" i="1" s="1"/>
  <c r="K52" i="1" s="1"/>
  <c r="L52" i="1" s="1"/>
  <c r="M52" i="1" s="1"/>
  <c r="N52" i="1" s="1"/>
  <c r="O52" i="1" s="1"/>
  <c r="P52" i="1" s="1"/>
  <c r="Q52" i="1" s="1"/>
  <c r="R52" i="1" s="1"/>
  <c r="S52" i="1" s="1"/>
  <c r="T52" i="1" s="1"/>
  <c r="U52" i="1" s="1"/>
  <c r="V52" i="1" s="1"/>
  <c r="W52" i="1" s="1"/>
  <c r="X52" i="1" s="1"/>
  <c r="Y52" i="1" s="1"/>
  <c r="Z52" i="1" s="1"/>
  <c r="AA52" i="1" s="1"/>
  <c r="AB52" i="1" s="1"/>
  <c r="AC52" i="1" s="1"/>
  <c r="AD52" i="1" s="1"/>
  <c r="AE52" i="1" s="1"/>
  <c r="AF52" i="1" s="1"/>
  <c r="AG52" i="1" s="1"/>
  <c r="AH52" i="1" s="1"/>
  <c r="AI52" i="1" s="1"/>
  <c r="AJ52" i="1" s="1"/>
  <c r="AK52" i="1" s="1"/>
  <c r="AL52" i="1" s="1"/>
  <c r="AM52" i="1" s="1"/>
  <c r="AN52" i="1" s="1"/>
  <c r="AO52" i="1" s="1"/>
  <c r="AP52" i="1" s="1"/>
  <c r="AQ52" i="1" s="1"/>
  <c r="AR52" i="1" s="1"/>
  <c r="AS52" i="1" s="1"/>
  <c r="AT52" i="1" s="1"/>
  <c r="AU52" i="1" s="1"/>
  <c r="AV52" i="1" s="1"/>
  <c r="AW52" i="1" s="1"/>
  <c r="AX52" i="1" s="1"/>
  <c r="AX55" i="1"/>
  <c r="AW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C61" i="1" s="1"/>
  <c r="L84" i="5" l="1"/>
  <c r="M82" i="5" s="1"/>
  <c r="M83" i="5" s="1"/>
  <c r="M68" i="5"/>
  <c r="N66" i="5" s="1"/>
  <c r="N67" i="5" s="1"/>
  <c r="N71" i="4"/>
  <c r="N89" i="4" s="1"/>
  <c r="N83" i="4"/>
  <c r="O81" i="4" s="1"/>
  <c r="O82" i="4" s="1"/>
  <c r="Y7" i="1"/>
  <c r="Y17" i="1"/>
  <c r="Y9" i="1"/>
  <c r="Y14" i="1"/>
  <c r="Y19" i="1"/>
  <c r="Y12" i="1"/>
  <c r="Y6" i="1"/>
  <c r="Y11" i="1"/>
  <c r="Y18" i="1"/>
  <c r="Y16" i="1"/>
  <c r="Y8" i="1"/>
  <c r="F61" i="1"/>
  <c r="N61" i="1"/>
  <c r="V61" i="1"/>
  <c r="AD61" i="1"/>
  <c r="AL61" i="1"/>
  <c r="G61" i="1"/>
  <c r="K61" i="1"/>
  <c r="O61" i="1"/>
  <c r="S61" i="1"/>
  <c r="W61" i="1"/>
  <c r="AA61" i="1"/>
  <c r="AE61" i="1"/>
  <c r="AI61" i="1"/>
  <c r="AM61" i="1"/>
  <c r="AQ61" i="1"/>
  <c r="AU61" i="1"/>
  <c r="D61" i="1"/>
  <c r="H61" i="1"/>
  <c r="L61" i="1"/>
  <c r="P61" i="1"/>
  <c r="T61" i="1"/>
  <c r="X61" i="1"/>
  <c r="AB61" i="1"/>
  <c r="AF61" i="1"/>
  <c r="AJ61" i="1"/>
  <c r="AN61" i="1"/>
  <c r="AR61" i="1"/>
  <c r="AV61" i="1"/>
  <c r="J61" i="1"/>
  <c r="R61" i="1"/>
  <c r="Z61" i="1"/>
  <c r="AH61" i="1"/>
  <c r="AP61" i="1"/>
  <c r="AT61" i="1"/>
  <c r="AX61" i="1"/>
  <c r="E61" i="1"/>
  <c r="I61" i="1"/>
  <c r="M61" i="1"/>
  <c r="Q61" i="1"/>
  <c r="U61" i="1"/>
  <c r="Y61" i="1"/>
  <c r="AC61" i="1"/>
  <c r="AG61" i="1"/>
  <c r="AK61" i="1"/>
  <c r="AO61" i="1"/>
  <c r="AS61" i="1"/>
  <c r="AW61" i="1"/>
  <c r="N85" i="1"/>
  <c r="Z4" i="1"/>
  <c r="C56" i="1"/>
  <c r="D56" i="1" s="1"/>
  <c r="E56" i="1" s="1"/>
  <c r="F56" i="1" s="1"/>
  <c r="G56" i="1" s="1"/>
  <c r="H56" i="1" s="1"/>
  <c r="I56" i="1" s="1"/>
  <c r="J56" i="1" s="1"/>
  <c r="K56" i="1" s="1"/>
  <c r="L56" i="1" s="1"/>
  <c r="M56" i="1" s="1"/>
  <c r="N56" i="1" s="1"/>
  <c r="O56" i="1" s="1"/>
  <c r="P56" i="1" s="1"/>
  <c r="Q56" i="1" s="1"/>
  <c r="R56" i="1" s="1"/>
  <c r="S56" i="1" s="1"/>
  <c r="T56" i="1" s="1"/>
  <c r="U56" i="1" s="1"/>
  <c r="V56" i="1" s="1"/>
  <c r="W56" i="1" s="1"/>
  <c r="X56" i="1" s="1"/>
  <c r="Y56" i="1" s="1"/>
  <c r="Z56" i="1" s="1"/>
  <c r="AA56" i="1" s="1"/>
  <c r="AB56" i="1" s="1"/>
  <c r="AC56" i="1" s="1"/>
  <c r="AD56" i="1" s="1"/>
  <c r="AE56" i="1" s="1"/>
  <c r="AF56" i="1" s="1"/>
  <c r="AG56" i="1" s="1"/>
  <c r="AH56" i="1" s="1"/>
  <c r="AI56" i="1" s="1"/>
  <c r="AJ56" i="1" s="1"/>
  <c r="AK56" i="1" s="1"/>
  <c r="AL56" i="1" s="1"/>
  <c r="AM56" i="1" s="1"/>
  <c r="AN56" i="1" s="1"/>
  <c r="AO56" i="1" s="1"/>
  <c r="AP56" i="1" s="1"/>
  <c r="AQ56" i="1" s="1"/>
  <c r="AR56" i="1" s="1"/>
  <c r="AS56" i="1" s="1"/>
  <c r="AT56" i="1" s="1"/>
  <c r="AU56" i="1" s="1"/>
  <c r="AV56" i="1" s="1"/>
  <c r="AW56" i="1" s="1"/>
  <c r="AX56" i="1" s="1"/>
  <c r="F77" i="1"/>
  <c r="G44" i="3" l="1"/>
  <c r="H39" i="3"/>
  <c r="N72" i="5"/>
  <c r="M88" i="5"/>
  <c r="M90" i="5" s="1"/>
  <c r="O87" i="4"/>
  <c r="N67" i="4"/>
  <c r="O65" i="4" s="1"/>
  <c r="O66" i="4" s="1"/>
  <c r="Z17" i="1"/>
  <c r="Z11" i="1"/>
  <c r="Z12" i="1"/>
  <c r="Z7" i="1"/>
  <c r="Z8" i="1"/>
  <c r="Z19" i="1"/>
  <c r="Z18" i="1"/>
  <c r="Z6" i="1"/>
  <c r="Z14" i="1"/>
  <c r="Z9" i="1"/>
  <c r="Z16" i="1"/>
  <c r="AV77" i="1"/>
  <c r="X77" i="1"/>
  <c r="AA77" i="1"/>
  <c r="C77" i="1"/>
  <c r="AN77" i="1"/>
  <c r="P77" i="1"/>
  <c r="AQ77" i="1"/>
  <c r="R77" i="1"/>
  <c r="AF77" i="1"/>
  <c r="K77" i="1"/>
  <c r="H77" i="1"/>
  <c r="AW77" i="1"/>
  <c r="AO77" i="1"/>
  <c r="AG77" i="1"/>
  <c r="Y77" i="1"/>
  <c r="Q77" i="1"/>
  <c r="I77" i="1"/>
  <c r="AX77" i="1"/>
  <c r="AP77" i="1"/>
  <c r="AU77" i="1"/>
  <c r="AM77" i="1"/>
  <c r="G77" i="1"/>
  <c r="AD77" i="1"/>
  <c r="N77" i="1"/>
  <c r="Z77" i="1"/>
  <c r="J77" i="1"/>
  <c r="AR77" i="1"/>
  <c r="AJ77" i="1"/>
  <c r="AB77" i="1"/>
  <c r="T77" i="1"/>
  <c r="L77" i="1"/>
  <c r="D77" i="1"/>
  <c r="AE77" i="1"/>
  <c r="W77" i="1"/>
  <c r="O77" i="1"/>
  <c r="AS77" i="1"/>
  <c r="AK77" i="1"/>
  <c r="AC77" i="1"/>
  <c r="U77" i="1"/>
  <c r="M77" i="1"/>
  <c r="E77" i="1"/>
  <c r="AT77" i="1"/>
  <c r="AH77" i="1"/>
  <c r="AI77" i="1"/>
  <c r="S77" i="1"/>
  <c r="AL77" i="1"/>
  <c r="V77" i="1"/>
  <c r="O85" i="1"/>
  <c r="AA4" i="1"/>
  <c r="C62" i="1"/>
  <c r="D62" i="1" s="1"/>
  <c r="E62" i="1" s="1"/>
  <c r="F62" i="1" s="1"/>
  <c r="G62" i="1" s="1"/>
  <c r="H62" i="1" s="1"/>
  <c r="I62" i="1" s="1"/>
  <c r="J62" i="1" s="1"/>
  <c r="K62" i="1" s="1"/>
  <c r="L62" i="1" s="1"/>
  <c r="M62" i="1" s="1"/>
  <c r="N62" i="1" s="1"/>
  <c r="O62" i="1" s="1"/>
  <c r="P62" i="1" s="1"/>
  <c r="Q62" i="1" s="1"/>
  <c r="R62" i="1" s="1"/>
  <c r="S62" i="1" s="1"/>
  <c r="T62" i="1" s="1"/>
  <c r="U62" i="1" s="1"/>
  <c r="V62" i="1" s="1"/>
  <c r="W62" i="1" s="1"/>
  <c r="X62" i="1" s="1"/>
  <c r="Y62" i="1" s="1"/>
  <c r="Z62" i="1" s="1"/>
  <c r="AA62" i="1" s="1"/>
  <c r="AB62" i="1" s="1"/>
  <c r="AC62" i="1" s="1"/>
  <c r="AD62" i="1" s="1"/>
  <c r="AE62" i="1" s="1"/>
  <c r="AF62" i="1" s="1"/>
  <c r="AG62" i="1" s="1"/>
  <c r="AH62" i="1" s="1"/>
  <c r="AI62" i="1" s="1"/>
  <c r="AJ62" i="1" s="1"/>
  <c r="AK62" i="1" s="1"/>
  <c r="AL62" i="1" s="1"/>
  <c r="AM62" i="1" s="1"/>
  <c r="AN62" i="1" s="1"/>
  <c r="AO62" i="1" s="1"/>
  <c r="AP62" i="1" s="1"/>
  <c r="AQ62" i="1" s="1"/>
  <c r="AR62" i="1" s="1"/>
  <c r="AS62" i="1" s="1"/>
  <c r="AT62" i="1" s="1"/>
  <c r="AU62" i="1" s="1"/>
  <c r="AV62" i="1" s="1"/>
  <c r="AW62" i="1" s="1"/>
  <c r="AX62" i="1" s="1"/>
  <c r="I39" i="3" l="1"/>
  <c r="H44" i="3"/>
  <c r="G45" i="3"/>
  <c r="G46" i="3" s="1"/>
  <c r="H40" i="3"/>
  <c r="M84" i="5"/>
  <c r="N82" i="5" s="1"/>
  <c r="N83" i="5" s="1"/>
  <c r="N68" i="5"/>
  <c r="O66" i="5" s="1"/>
  <c r="O67" i="5" s="1"/>
  <c r="O71" i="4"/>
  <c r="O89" i="4" s="1"/>
  <c r="O83" i="4"/>
  <c r="P81" i="4" s="1"/>
  <c r="P82" i="4" s="1"/>
  <c r="G41" i="3"/>
  <c r="AA7" i="1"/>
  <c r="AA8" i="1"/>
  <c r="AA6" i="1"/>
  <c r="AA9" i="1"/>
  <c r="AA14" i="1"/>
  <c r="AA16" i="1"/>
  <c r="AA11" i="1"/>
  <c r="AA17" i="1"/>
  <c r="AA19" i="1"/>
  <c r="AA12" i="1"/>
  <c r="AA18" i="1"/>
  <c r="P85" i="1"/>
  <c r="AB4" i="1"/>
  <c r="J19" i="1"/>
  <c r="J18" i="1"/>
  <c r="J14" i="1"/>
  <c r="H42" i="4" l="1"/>
  <c r="A24" i="4" s="1"/>
  <c r="I44" i="3"/>
  <c r="I40" i="3"/>
  <c r="I45" i="3" s="1"/>
  <c r="H44" i="5" s="1"/>
  <c r="A25" i="5" s="1"/>
  <c r="H45" i="3"/>
  <c r="H43" i="4" s="1"/>
  <c r="A25" i="4" s="1"/>
  <c r="H41" i="3"/>
  <c r="O72" i="5"/>
  <c r="N88" i="5"/>
  <c r="N90" i="5" s="1"/>
  <c r="P87" i="4"/>
  <c r="O67" i="4"/>
  <c r="P65" i="4" s="1"/>
  <c r="P66" i="4" s="1"/>
  <c r="AB17" i="1"/>
  <c r="AB14" i="1"/>
  <c r="AB16" i="1"/>
  <c r="AB7" i="1"/>
  <c r="AB18" i="1"/>
  <c r="AB9" i="1"/>
  <c r="AB11" i="1"/>
  <c r="AB12" i="1"/>
  <c r="AB8" i="1"/>
  <c r="AB6" i="1"/>
  <c r="AB19" i="1"/>
  <c r="Q85" i="1"/>
  <c r="H22" i="1"/>
  <c r="C83" i="1"/>
  <c r="C78" i="1"/>
  <c r="AC4" i="1"/>
  <c r="J22" i="1"/>
  <c r="I41" i="3" l="1"/>
  <c r="I46" i="3"/>
  <c r="H43" i="5"/>
  <c r="A24" i="5" s="1"/>
  <c r="H46" i="3"/>
  <c r="N84" i="5"/>
  <c r="O82" i="5" s="1"/>
  <c r="O83" i="5" s="1"/>
  <c r="O68" i="5"/>
  <c r="P66" i="5" s="1"/>
  <c r="P67" i="5" s="1"/>
  <c r="P71" i="4"/>
  <c r="P89" i="4" s="1"/>
  <c r="P83" i="4"/>
  <c r="Q81" i="4" s="1"/>
  <c r="Q82" i="4" s="1"/>
  <c r="AD4" i="1"/>
  <c r="AC6" i="1"/>
  <c r="AC11" i="1"/>
  <c r="AC16" i="1"/>
  <c r="AC7" i="1"/>
  <c r="AC8" i="1"/>
  <c r="AC9" i="1"/>
  <c r="AC17" i="1"/>
  <c r="AC18" i="1"/>
  <c r="AC14" i="1"/>
  <c r="AC19" i="1"/>
  <c r="AC12" i="1"/>
  <c r="C38" i="1"/>
  <c r="C43" i="1" s="1"/>
  <c r="C87" i="1"/>
  <c r="R85" i="1"/>
  <c r="D78" i="1"/>
  <c r="D81" i="1"/>
  <c r="D82" i="1" s="1"/>
  <c r="O88" i="5" l="1"/>
  <c r="O90" i="5" s="1"/>
  <c r="P72" i="5"/>
  <c r="Q87" i="4"/>
  <c r="P67" i="4"/>
  <c r="Q65" i="4" s="1"/>
  <c r="Q66" i="4" s="1"/>
  <c r="D83" i="1"/>
  <c r="E81" i="1" s="1"/>
  <c r="E82" i="1" s="1"/>
  <c r="S85" i="1"/>
  <c r="E78" i="1"/>
  <c r="P68" i="5" l="1"/>
  <c r="Q66" i="5" s="1"/>
  <c r="Q67" i="5" s="1"/>
  <c r="O84" i="5"/>
  <c r="P82" i="5" s="1"/>
  <c r="P83" i="5" s="1"/>
  <c r="Q71" i="4"/>
  <c r="Q89" i="4" s="1"/>
  <c r="Q83" i="4"/>
  <c r="R81" i="4" s="1"/>
  <c r="R82" i="4" s="1"/>
  <c r="D38" i="1"/>
  <c r="D43" i="1" s="1"/>
  <c r="D87" i="1"/>
  <c r="H43" i="1"/>
  <c r="F78" i="1"/>
  <c r="E83" i="1"/>
  <c r="F7" i="3" l="1"/>
  <c r="G7" i="3"/>
  <c r="P88" i="5"/>
  <c r="P90" i="5" s="1"/>
  <c r="Q72" i="5"/>
  <c r="R87" i="4"/>
  <c r="Q67" i="4"/>
  <c r="R65" i="4" s="1"/>
  <c r="R66" i="4" s="1"/>
  <c r="A25" i="1"/>
  <c r="E7" i="3" s="1"/>
  <c r="E38" i="1"/>
  <c r="E43" i="1" s="1"/>
  <c r="E87" i="1"/>
  <c r="F81" i="1"/>
  <c r="F82" i="1" s="1"/>
  <c r="G78" i="1"/>
  <c r="Q68" i="5" l="1"/>
  <c r="R66" i="5" s="1"/>
  <c r="R67" i="5" s="1"/>
  <c r="P84" i="5"/>
  <c r="Q82" i="5" s="1"/>
  <c r="Q83" i="5" s="1"/>
  <c r="R71" i="4"/>
  <c r="R89" i="4" s="1"/>
  <c r="R83" i="4"/>
  <c r="S81" i="4" s="1"/>
  <c r="S82" i="4" s="1"/>
  <c r="H78" i="1"/>
  <c r="F83" i="1"/>
  <c r="Q88" i="5" l="1"/>
  <c r="Q90" i="5" s="1"/>
  <c r="R72" i="5"/>
  <c r="S87" i="4"/>
  <c r="R67" i="4"/>
  <c r="S65" i="4" s="1"/>
  <c r="S66" i="4" s="1"/>
  <c r="F38" i="1"/>
  <c r="F43" i="1" s="1"/>
  <c r="F87" i="1"/>
  <c r="I78" i="1"/>
  <c r="G81" i="1"/>
  <c r="G82" i="1" s="1"/>
  <c r="R68" i="5" l="1"/>
  <c r="S66" i="5" s="1"/>
  <c r="S67" i="5" s="1"/>
  <c r="Q84" i="5"/>
  <c r="R82" i="5" s="1"/>
  <c r="R83" i="5" s="1"/>
  <c r="S71" i="4"/>
  <c r="S89" i="4" s="1"/>
  <c r="S83" i="4"/>
  <c r="T81" i="4" s="1"/>
  <c r="T82" i="4" s="1"/>
  <c r="G83" i="1"/>
  <c r="J78" i="1"/>
  <c r="R88" i="5" l="1"/>
  <c r="R90" i="5" s="1"/>
  <c r="S72" i="5"/>
  <c r="T87" i="4"/>
  <c r="S67" i="4"/>
  <c r="T65" i="4" s="1"/>
  <c r="T66" i="4" s="1"/>
  <c r="G38" i="1"/>
  <c r="G43" i="1" s="1"/>
  <c r="G87" i="1"/>
  <c r="H81" i="1"/>
  <c r="H82" i="1" s="1"/>
  <c r="K78" i="1"/>
  <c r="S68" i="5" l="1"/>
  <c r="T66" i="5" s="1"/>
  <c r="T67" i="5" s="1"/>
  <c r="R84" i="5"/>
  <c r="S82" i="5" s="1"/>
  <c r="S83" i="5" s="1"/>
  <c r="T71" i="4"/>
  <c r="T89" i="4" s="1"/>
  <c r="T83" i="4"/>
  <c r="U81" i="4" s="1"/>
  <c r="U82" i="4" s="1"/>
  <c r="H87" i="1"/>
  <c r="L78" i="1"/>
  <c r="S88" i="5" l="1"/>
  <c r="S90" i="5" s="1"/>
  <c r="T72" i="5"/>
  <c r="U87" i="4"/>
  <c r="T67" i="4"/>
  <c r="U65" i="4" s="1"/>
  <c r="U66" i="4" s="1"/>
  <c r="H83" i="1"/>
  <c r="I81" i="1" s="1"/>
  <c r="M78" i="1"/>
  <c r="I82" i="1" l="1"/>
  <c r="I87" i="1" s="1"/>
  <c r="T68" i="5"/>
  <c r="U66" i="5" s="1"/>
  <c r="U67" i="5" s="1"/>
  <c r="S84" i="5"/>
  <c r="T82" i="5" s="1"/>
  <c r="T83" i="5" s="1"/>
  <c r="U71" i="4"/>
  <c r="U89" i="4" s="1"/>
  <c r="U83" i="4"/>
  <c r="V81" i="4" s="1"/>
  <c r="V82" i="4" s="1"/>
  <c r="N78" i="1"/>
  <c r="O78" i="1" s="1"/>
  <c r="I83" i="1" l="1"/>
  <c r="J81" i="1" s="1"/>
  <c r="J82" i="1" s="1"/>
  <c r="J87" i="1" s="1"/>
  <c r="T88" i="5"/>
  <c r="T90" i="5" s="1"/>
  <c r="U72" i="5"/>
  <c r="V87" i="4"/>
  <c r="U67" i="4"/>
  <c r="V65" i="4" s="1"/>
  <c r="V66" i="4" s="1"/>
  <c r="U68" i="5" l="1"/>
  <c r="V66" i="5" s="1"/>
  <c r="V67" i="5" s="1"/>
  <c r="T84" i="5"/>
  <c r="U82" i="5" s="1"/>
  <c r="U83" i="5" s="1"/>
  <c r="V71" i="4"/>
  <c r="V89" i="4" s="1"/>
  <c r="V83" i="4"/>
  <c r="W81" i="4" s="1"/>
  <c r="W82" i="4" s="1"/>
  <c r="J83" i="1"/>
  <c r="K81" i="1" s="1"/>
  <c r="P78" i="1"/>
  <c r="K82" i="1" l="1"/>
  <c r="K87" i="1" s="1"/>
  <c r="U88" i="5"/>
  <c r="U90" i="5" s="1"/>
  <c r="V72" i="5"/>
  <c r="W87" i="4"/>
  <c r="V67" i="4"/>
  <c r="W65" i="4" s="1"/>
  <c r="W66" i="4" s="1"/>
  <c r="Q78" i="1"/>
  <c r="K83" i="1" l="1"/>
  <c r="L81" i="1" s="1"/>
  <c r="L82" i="1" s="1"/>
  <c r="L87" i="1" s="1"/>
  <c r="V68" i="5"/>
  <c r="W66" i="5" s="1"/>
  <c r="W67" i="5" s="1"/>
  <c r="U84" i="5"/>
  <c r="V82" i="5" s="1"/>
  <c r="V83" i="5" s="1"/>
  <c r="W71" i="4"/>
  <c r="W89" i="4" s="1"/>
  <c r="W83" i="4"/>
  <c r="X81" i="4" s="1"/>
  <c r="X82" i="4" s="1"/>
  <c r="R78" i="1"/>
  <c r="V88" i="5" l="1"/>
  <c r="V90" i="5" s="1"/>
  <c r="W72" i="5"/>
  <c r="X87" i="4"/>
  <c r="W67" i="4"/>
  <c r="X65" i="4" s="1"/>
  <c r="X66" i="4" s="1"/>
  <c r="L83" i="1"/>
  <c r="M81" i="1" s="1"/>
  <c r="S78" i="1"/>
  <c r="M82" i="1" l="1"/>
  <c r="M87" i="1" s="1"/>
  <c r="W68" i="5"/>
  <c r="X66" i="5" s="1"/>
  <c r="X67" i="5" s="1"/>
  <c r="V84" i="5"/>
  <c r="W82" i="5" s="1"/>
  <c r="W83" i="5" s="1"/>
  <c r="X71" i="4"/>
  <c r="X89" i="4" s="1"/>
  <c r="X83" i="4"/>
  <c r="Y81" i="4" s="1"/>
  <c r="Y82" i="4" s="1"/>
  <c r="T78" i="1"/>
  <c r="M83" i="1" l="1"/>
  <c r="N81" i="1" s="1"/>
  <c r="W88" i="5"/>
  <c r="W90" i="5" s="1"/>
  <c r="X72" i="5"/>
  <c r="Y87" i="4"/>
  <c r="X67" i="4"/>
  <c r="Y65" i="4" s="1"/>
  <c r="Y66" i="4" s="1"/>
  <c r="U78" i="1"/>
  <c r="N82" i="1" l="1"/>
  <c r="N83" i="1" s="1"/>
  <c r="O81" i="1" s="1"/>
  <c r="O82" i="1" s="1"/>
  <c r="O87" i="1" s="1"/>
  <c r="X68" i="5"/>
  <c r="Y66" i="5" s="1"/>
  <c r="Y67" i="5" s="1"/>
  <c r="W84" i="5"/>
  <c r="X82" i="5" s="1"/>
  <c r="X83" i="5" s="1"/>
  <c r="Y71" i="4"/>
  <c r="Y89" i="4" s="1"/>
  <c r="Y83" i="4"/>
  <c r="Z81" i="4" s="1"/>
  <c r="Z82" i="4" s="1"/>
  <c r="V78" i="1"/>
  <c r="N87" i="1" l="1"/>
  <c r="X88" i="5"/>
  <c r="X90" i="5" s="1"/>
  <c r="Y72" i="5"/>
  <c r="Y67" i="4"/>
  <c r="Z65" i="4" s="1"/>
  <c r="Z87" i="4"/>
  <c r="O83" i="1"/>
  <c r="P81" i="1" s="1"/>
  <c r="P82" i="1" s="1"/>
  <c r="W78" i="1"/>
  <c r="Z66" i="4" l="1"/>
  <c r="Z71" i="4" s="1"/>
  <c r="Z89" i="4" s="1"/>
  <c r="Y68" i="5"/>
  <c r="Z66" i="5" s="1"/>
  <c r="Z67" i="5" s="1"/>
  <c r="X84" i="5"/>
  <c r="Y82" i="5" s="1"/>
  <c r="Y83" i="5" s="1"/>
  <c r="Z83" i="4"/>
  <c r="AA81" i="4" s="1"/>
  <c r="AA82" i="4" s="1"/>
  <c r="P87" i="1"/>
  <c r="X78" i="1"/>
  <c r="Z67" i="4" l="1"/>
  <c r="AA65" i="4" s="1"/>
  <c r="AA66" i="4" s="1"/>
  <c r="AA67" i="4" s="1"/>
  <c r="Z72" i="5"/>
  <c r="Y88" i="5"/>
  <c r="Y90" i="5" s="1"/>
  <c r="AA87" i="4"/>
  <c r="P83" i="1"/>
  <c r="Q81" i="1" s="1"/>
  <c r="Q82" i="1" s="1"/>
  <c r="Y78" i="1"/>
  <c r="Y84" i="5" l="1"/>
  <c r="Z82" i="5" s="1"/>
  <c r="Z83" i="5" s="1"/>
  <c r="Z68" i="5"/>
  <c r="AA66" i="5" s="1"/>
  <c r="AA67" i="5" s="1"/>
  <c r="AA71" i="4"/>
  <c r="AA89" i="4" s="1"/>
  <c r="AA83" i="4"/>
  <c r="AB81" i="4" s="1"/>
  <c r="AB82" i="4" s="1"/>
  <c r="AB65" i="4"/>
  <c r="AB66" i="4" s="1"/>
  <c r="Q87" i="1"/>
  <c r="Z78" i="1"/>
  <c r="AA72" i="5" l="1"/>
  <c r="Z88" i="5"/>
  <c r="Z90" i="5" s="1"/>
  <c r="AB71" i="4"/>
  <c r="AB87" i="4"/>
  <c r="Q83" i="1"/>
  <c r="R81" i="1" s="1"/>
  <c r="R82" i="1" s="1"/>
  <c r="AB67" i="4" l="1"/>
  <c r="AC65" i="4" s="1"/>
  <c r="AC66" i="4" s="1"/>
  <c r="Z84" i="5"/>
  <c r="AA82" i="5" s="1"/>
  <c r="AA83" i="5" s="1"/>
  <c r="AA68" i="5"/>
  <c r="AB66" i="5" s="1"/>
  <c r="AB67" i="5" s="1"/>
  <c r="AB83" i="4"/>
  <c r="AC81" i="4" s="1"/>
  <c r="AC82" i="4" s="1"/>
  <c r="AB89" i="4"/>
  <c r="AA78" i="1"/>
  <c r="R87" i="1"/>
  <c r="AB72" i="5" l="1"/>
  <c r="AA88" i="5"/>
  <c r="AA90" i="5" s="1"/>
  <c r="AC67" i="4"/>
  <c r="AC87" i="4"/>
  <c r="R83" i="1"/>
  <c r="S81" i="1" s="1"/>
  <c r="S82" i="1" s="1"/>
  <c r="AA84" i="5" l="1"/>
  <c r="AB82" i="5" s="1"/>
  <c r="AB83" i="5" s="1"/>
  <c r="AB68" i="5"/>
  <c r="AC66" i="5" s="1"/>
  <c r="AC67" i="5" s="1"/>
  <c r="AC83" i="4"/>
  <c r="AD81" i="4" s="1"/>
  <c r="AD82" i="4" s="1"/>
  <c r="AC71" i="4"/>
  <c r="AC89" i="4" s="1"/>
  <c r="AD65" i="4"/>
  <c r="AD66" i="4" s="1"/>
  <c r="AB78" i="1"/>
  <c r="S87" i="1"/>
  <c r="AC72" i="5" l="1"/>
  <c r="AB88" i="5"/>
  <c r="AB90" i="5" s="1"/>
  <c r="AD83" i="4"/>
  <c r="AD71" i="4"/>
  <c r="S83" i="1"/>
  <c r="T81" i="1" s="1"/>
  <c r="T82" i="1" s="1"/>
  <c r="AD67" i="4" l="1"/>
  <c r="AE65" i="4" s="1"/>
  <c r="AE66" i="4" s="1"/>
  <c r="AB84" i="5"/>
  <c r="AC82" i="5" s="1"/>
  <c r="AC83" i="5" s="1"/>
  <c r="AC68" i="5"/>
  <c r="AD66" i="5" s="1"/>
  <c r="AD67" i="5" s="1"/>
  <c r="AD87" i="4"/>
  <c r="AD89" i="4" s="1"/>
  <c r="AE81" i="4"/>
  <c r="AE82" i="4" s="1"/>
  <c r="T87" i="1"/>
  <c r="AC78" i="1"/>
  <c r="AD72" i="5" l="1"/>
  <c r="AC88" i="5"/>
  <c r="AC90" i="5" s="1"/>
  <c r="AE67" i="4"/>
  <c r="AE87" i="4"/>
  <c r="T83" i="1"/>
  <c r="U81" i="1" s="1"/>
  <c r="U82" i="1" l="1"/>
  <c r="U87" i="1" s="1"/>
  <c r="AE71" i="4"/>
  <c r="AE89" i="4" s="1"/>
  <c r="AC84" i="5"/>
  <c r="AD82" i="5" s="1"/>
  <c r="AD83" i="5" s="1"/>
  <c r="AD68" i="5"/>
  <c r="AE66" i="5" s="1"/>
  <c r="AE67" i="5" s="1"/>
  <c r="AE83" i="4"/>
  <c r="AF81" i="4" s="1"/>
  <c r="AF82" i="4" s="1"/>
  <c r="AF65" i="4"/>
  <c r="AF66" i="4" s="1"/>
  <c r="AD78" i="1"/>
  <c r="U83" i="1" l="1"/>
  <c r="V81" i="1" s="1"/>
  <c r="AE72" i="5"/>
  <c r="AD88" i="5"/>
  <c r="AD90" i="5" s="1"/>
  <c r="AF67" i="4"/>
  <c r="AF87" i="4"/>
  <c r="AE78" i="1"/>
  <c r="V82" i="1" l="1"/>
  <c r="V83" i="1" s="1"/>
  <c r="W81" i="1" s="1"/>
  <c r="W82" i="1" s="1"/>
  <c r="W87" i="1" s="1"/>
  <c r="AD84" i="5"/>
  <c r="AE82" i="5" s="1"/>
  <c r="AE83" i="5" s="1"/>
  <c r="AE68" i="5"/>
  <c r="AF66" i="5" s="1"/>
  <c r="AF67" i="5" s="1"/>
  <c r="AF83" i="4"/>
  <c r="AG81" i="4" s="1"/>
  <c r="AG82" i="4" s="1"/>
  <c r="AF71" i="4"/>
  <c r="AF89" i="4" s="1"/>
  <c r="AG65" i="4"/>
  <c r="AG66" i="4" s="1"/>
  <c r="V87" i="1" l="1"/>
  <c r="AF72" i="5"/>
  <c r="AE88" i="5"/>
  <c r="AE90" i="5" s="1"/>
  <c r="AG83" i="4"/>
  <c r="AG71" i="4"/>
  <c r="W83" i="1"/>
  <c r="X81" i="1" s="1"/>
  <c r="X82" i="1" s="1"/>
  <c r="AF78" i="1"/>
  <c r="AG87" i="4" l="1"/>
  <c r="AG89" i="4" s="1"/>
  <c r="AE84" i="5"/>
  <c r="AF82" i="5" s="1"/>
  <c r="AF83" i="5" s="1"/>
  <c r="AF68" i="5"/>
  <c r="AG66" i="5" s="1"/>
  <c r="AG67" i="5" s="1"/>
  <c r="AG67" i="4"/>
  <c r="AH65" i="4" s="1"/>
  <c r="AH66" i="4" s="1"/>
  <c r="AH81" i="4"/>
  <c r="AH82" i="4" s="1"/>
  <c r="X87" i="1"/>
  <c r="AG72" i="5" l="1"/>
  <c r="AF88" i="5"/>
  <c r="AF90" i="5" s="1"/>
  <c r="AH67" i="4"/>
  <c r="AH87" i="4"/>
  <c r="X83" i="1"/>
  <c r="Y81" i="1" s="1"/>
  <c r="AG78" i="1"/>
  <c r="Y82" i="1" l="1"/>
  <c r="Y87" i="1" s="1"/>
  <c r="AF84" i="5"/>
  <c r="AG82" i="5" s="1"/>
  <c r="AG83" i="5" s="1"/>
  <c r="AG68" i="5"/>
  <c r="AH66" i="5" s="1"/>
  <c r="AH67" i="5" s="1"/>
  <c r="AH71" i="4"/>
  <c r="AH89" i="4" s="1"/>
  <c r="AH83" i="4"/>
  <c r="AI81" i="4" s="1"/>
  <c r="AI82" i="4" s="1"/>
  <c r="AI65" i="4"/>
  <c r="AI66" i="4" s="1"/>
  <c r="AH78" i="1"/>
  <c r="Y83" i="1" l="1"/>
  <c r="Z81" i="1" s="1"/>
  <c r="Z82" i="1" s="1"/>
  <c r="Z87" i="1" s="1"/>
  <c r="AH72" i="5"/>
  <c r="AG88" i="5"/>
  <c r="AG90" i="5" s="1"/>
  <c r="AI83" i="4"/>
  <c r="AI67" i="4"/>
  <c r="Z83" i="1" l="1"/>
  <c r="AA81" i="1" s="1"/>
  <c r="AA82" i="1" s="1"/>
  <c r="AI87" i="4"/>
  <c r="AG84" i="5"/>
  <c r="AH82" i="5" s="1"/>
  <c r="AH83" i="5" s="1"/>
  <c r="AH68" i="5"/>
  <c r="AI66" i="5" s="1"/>
  <c r="AI67" i="5" s="1"/>
  <c r="AI71" i="4"/>
  <c r="AJ81" i="4"/>
  <c r="AJ82" i="4" s="1"/>
  <c r="AJ65" i="4"/>
  <c r="AJ66" i="4" s="1"/>
  <c r="AI78" i="1"/>
  <c r="AA87" i="1"/>
  <c r="AI89" i="4" l="1"/>
  <c r="AI72" i="5"/>
  <c r="AH88" i="5"/>
  <c r="AH90" i="5" s="1"/>
  <c r="AJ67" i="4"/>
  <c r="AJ87" i="4"/>
  <c r="AA83" i="1"/>
  <c r="AB81" i="1" s="1"/>
  <c r="AB82" i="1" s="1"/>
  <c r="AJ78" i="1"/>
  <c r="AH84" i="5" l="1"/>
  <c r="AI82" i="5" s="1"/>
  <c r="AI83" i="5" s="1"/>
  <c r="AI68" i="5"/>
  <c r="AJ66" i="5" s="1"/>
  <c r="AJ67" i="5" s="1"/>
  <c r="AJ83" i="4"/>
  <c r="AK81" i="4" s="1"/>
  <c r="AK82" i="4" s="1"/>
  <c r="AJ71" i="4"/>
  <c r="AJ89" i="4" s="1"/>
  <c r="AK65" i="4"/>
  <c r="AK66" i="4" s="1"/>
  <c r="AB87" i="1"/>
  <c r="AK78" i="1"/>
  <c r="AL78" i="1" s="1"/>
  <c r="AM78" i="1" s="1"/>
  <c r="AN78" i="1" s="1"/>
  <c r="AO78" i="1" s="1"/>
  <c r="AP78" i="1" s="1"/>
  <c r="AQ78" i="1" s="1"/>
  <c r="AR78" i="1" s="1"/>
  <c r="AS78" i="1" s="1"/>
  <c r="AT78" i="1" s="1"/>
  <c r="AU78" i="1" s="1"/>
  <c r="AV78" i="1" s="1"/>
  <c r="AW78" i="1" s="1"/>
  <c r="AX78" i="1" s="1"/>
  <c r="AJ72" i="5" l="1"/>
  <c r="AI88" i="5"/>
  <c r="AI90" i="5" s="1"/>
  <c r="AK83" i="4"/>
  <c r="AK67" i="4"/>
  <c r="AB83" i="1"/>
  <c r="AC81" i="1" s="1"/>
  <c r="AC82" i="1" l="1"/>
  <c r="AC87" i="1" s="1"/>
  <c r="AI84" i="5"/>
  <c r="AJ82" i="5" s="1"/>
  <c r="AJ83" i="5" s="1"/>
  <c r="AJ68" i="5"/>
  <c r="AK66" i="5" s="1"/>
  <c r="AK67" i="5" s="1"/>
  <c r="AK87" i="4"/>
  <c r="B82" i="4"/>
  <c r="F12" i="3" s="1"/>
  <c r="AK71" i="4"/>
  <c r="B66" i="4"/>
  <c r="F11" i="3" s="1"/>
  <c r="AC83" i="1" l="1"/>
  <c r="AD81" i="1" s="1"/>
  <c r="AK89" i="4"/>
  <c r="AJ88" i="5"/>
  <c r="AJ90" i="5" s="1"/>
  <c r="AD82" i="1" l="1"/>
  <c r="AD83" i="1" s="1"/>
  <c r="AE81" i="1" s="1"/>
  <c r="AE82" i="1" s="1"/>
  <c r="AE87" i="1" s="1"/>
  <c r="AJ84" i="5"/>
  <c r="AK82" i="5" s="1"/>
  <c r="AK83" i="5" s="1"/>
  <c r="AK72" i="5"/>
  <c r="B67" i="5"/>
  <c r="G11" i="3" s="1"/>
  <c r="AK68" i="5"/>
  <c r="AD87" i="1" l="1"/>
  <c r="AE83" i="1"/>
  <c r="AF81" i="1" s="1"/>
  <c r="AF82" i="1" s="1"/>
  <c r="AK88" i="5" l="1"/>
  <c r="AK90" i="5" s="1"/>
  <c r="B83" i="5"/>
  <c r="G12" i="3" s="1"/>
  <c r="AK84" i="5"/>
  <c r="AF87" i="1"/>
  <c r="AF83" i="1" l="1"/>
  <c r="AG81" i="1" s="1"/>
  <c r="AG82" i="1" s="1"/>
  <c r="AG87" i="1" l="1"/>
  <c r="AG83" i="1" l="1"/>
  <c r="AH81" i="1" s="1"/>
  <c r="AH82" i="1" l="1"/>
  <c r="AH87" i="1" s="1"/>
  <c r="AH83" i="1" l="1"/>
  <c r="AI81" i="1" s="1"/>
  <c r="AI82" i="1" s="1"/>
  <c r="AI87" i="1" l="1"/>
  <c r="AI83" i="1"/>
  <c r="AJ81" i="1" s="1"/>
  <c r="AJ82" i="1" s="1"/>
  <c r="AJ87" i="1" s="1"/>
  <c r="AJ83" i="1" l="1"/>
  <c r="AK81" i="1" s="1"/>
  <c r="AK82" i="1" s="1"/>
  <c r="AK83" i="1" l="1"/>
  <c r="AK87" i="1" l="1"/>
  <c r="B82" i="1"/>
  <c r="E12" i="3" s="1"/>
  <c r="G9" i="1" l="1"/>
  <c r="H9" i="1"/>
  <c r="H21" i="1" l="1"/>
  <c r="H23" i="1" s="1"/>
  <c r="G37" i="3" s="1"/>
  <c r="G21" i="1"/>
  <c r="G23" i="1" s="1"/>
  <c r="K9" i="1" l="1"/>
  <c r="K21" i="1" s="1"/>
  <c r="K23" i="1" s="1"/>
  <c r="C65" i="1"/>
  <c r="C66" i="1" s="1"/>
  <c r="E5" i="1"/>
  <c r="E6" i="7" s="1"/>
  <c r="J9" i="1"/>
  <c r="J21" i="1" s="1"/>
  <c r="J23" i="1" s="1"/>
  <c r="Z5" i="1" l="1"/>
  <c r="V5" i="1"/>
  <c r="R5" i="1"/>
  <c r="H69" i="1" s="1"/>
  <c r="Y5" i="1"/>
  <c r="O69" i="1" s="1"/>
  <c r="AA5" i="1"/>
  <c r="W5" i="1"/>
  <c r="S5" i="1"/>
  <c r="I69" i="1" s="1"/>
  <c r="U5" i="1"/>
  <c r="K69" i="1" s="1"/>
  <c r="AB5" i="1"/>
  <c r="X5" i="1"/>
  <c r="N69" i="1" s="1"/>
  <c r="T5" i="1"/>
  <c r="J69" i="1" s="1"/>
  <c r="AC5" i="1"/>
  <c r="P69" i="1"/>
  <c r="Q69" i="1"/>
  <c r="E69" i="1"/>
  <c r="E32" i="1" s="1"/>
  <c r="E34" i="1" s="1"/>
  <c r="G69" i="1"/>
  <c r="G32" i="1" s="1"/>
  <c r="G34" i="1" s="1"/>
  <c r="C69" i="1"/>
  <c r="C32" i="1" s="1"/>
  <c r="F69" i="1"/>
  <c r="F32" i="1" s="1"/>
  <c r="F34" i="1" s="1"/>
  <c r="D69" i="1"/>
  <c r="D32" i="1" s="1"/>
  <c r="D34" i="1" s="1"/>
  <c r="L69" i="1"/>
  <c r="M69" i="1"/>
  <c r="R69" i="1"/>
  <c r="C67" i="1" l="1"/>
  <c r="D65" i="1" s="1"/>
  <c r="D66" i="1" s="1"/>
  <c r="C37" i="1"/>
  <c r="C34" i="1"/>
  <c r="C71" i="1"/>
  <c r="C89" i="1" s="1"/>
  <c r="S69" i="1"/>
  <c r="C39" i="1" l="1"/>
  <c r="C42" i="1"/>
  <c r="H42" i="1" s="1"/>
  <c r="D67" i="1"/>
  <c r="E65" i="1" s="1"/>
  <c r="E66" i="1" s="1"/>
  <c r="C44" i="1" l="1"/>
  <c r="D71" i="1"/>
  <c r="D89" i="1" s="1"/>
  <c r="D37" i="1"/>
  <c r="E71" i="1"/>
  <c r="E89" i="1" s="1"/>
  <c r="D39" i="1" l="1"/>
  <c r="D42" i="1"/>
  <c r="D44" i="1" s="1"/>
  <c r="A24" i="1"/>
  <c r="E37" i="1"/>
  <c r="E39" i="1" s="1"/>
  <c r="E67" i="1"/>
  <c r="F65" i="1" s="1"/>
  <c r="F66" i="1" s="1"/>
  <c r="E42" i="1" l="1"/>
  <c r="E44" i="1" s="1"/>
  <c r="A26" i="5"/>
  <c r="G6" i="3"/>
  <c r="A26" i="4"/>
  <c r="F6" i="3"/>
  <c r="A26" i="1"/>
  <c r="E6" i="3"/>
  <c r="F67" i="1"/>
  <c r="G65" i="1" s="1"/>
  <c r="F71" i="1"/>
  <c r="F89" i="1" s="1"/>
  <c r="F37" i="1"/>
  <c r="G66" i="1" l="1"/>
  <c r="G67" i="1" s="1"/>
  <c r="H65" i="1" s="1"/>
  <c r="H47" i="3"/>
  <c r="F42" i="1"/>
  <c r="F44" i="1" s="1"/>
  <c r="F39" i="1"/>
  <c r="E8" i="3"/>
  <c r="G47" i="3" s="1"/>
  <c r="F8" i="3"/>
  <c r="G8" i="3"/>
  <c r="I47" i="3" s="1"/>
  <c r="H66" i="1" l="1"/>
  <c r="H67" i="1" s="1"/>
  <c r="I65" i="1" s="1"/>
  <c r="I66" i="1" s="1"/>
  <c r="G71" i="1"/>
  <c r="G89" i="1" s="1"/>
  <c r="G37" i="1"/>
  <c r="G39" i="1" s="1"/>
  <c r="H71" i="1" l="1"/>
  <c r="H89" i="1" s="1"/>
  <c r="G42" i="1"/>
  <c r="G44" i="1" s="1"/>
  <c r="I67" i="1"/>
  <c r="J65" i="1" s="1"/>
  <c r="J66" i="1" s="1"/>
  <c r="I71" i="1"/>
  <c r="I89" i="1" s="1"/>
  <c r="J71" i="1" l="1"/>
  <c r="J89" i="1" s="1"/>
  <c r="J67" i="1" l="1"/>
  <c r="K65" i="1" s="1"/>
  <c r="K66" i="1" s="1"/>
  <c r="K71" i="1" l="1"/>
  <c r="K89" i="1" s="1"/>
  <c r="K67" i="1" l="1"/>
  <c r="L65" i="1" s="1"/>
  <c r="L66" i="1" s="1"/>
  <c r="L71" i="1" l="1"/>
  <c r="L89" i="1" s="1"/>
  <c r="L67" i="1" l="1"/>
  <c r="M65" i="1" s="1"/>
  <c r="M66" i="1" s="1"/>
  <c r="M71" i="1" l="1"/>
  <c r="M89" i="1" s="1"/>
  <c r="M67" i="1" l="1"/>
  <c r="N65" i="1" s="1"/>
  <c r="N66" i="1" s="1"/>
  <c r="N71" i="1" l="1"/>
  <c r="N89" i="1" s="1"/>
  <c r="N67" i="1" l="1"/>
  <c r="O65" i="1" s="1"/>
  <c r="O66" i="1" s="1"/>
  <c r="O71" i="1" l="1"/>
  <c r="O89" i="1" s="1"/>
  <c r="O67" i="1" l="1"/>
  <c r="P65" i="1" s="1"/>
  <c r="P66" i="1" s="1"/>
  <c r="P71" i="1" l="1"/>
  <c r="P89" i="1" s="1"/>
  <c r="P67" i="1"/>
  <c r="Q65" i="1" s="1"/>
  <c r="Q66" i="1" s="1"/>
  <c r="Q71" i="1" l="1"/>
  <c r="Q89" i="1" s="1"/>
  <c r="Q67" i="1" l="1"/>
  <c r="R65" i="1" s="1"/>
  <c r="R66" i="1" s="1"/>
  <c r="R71" i="1" l="1"/>
  <c r="R89" i="1" s="1"/>
  <c r="R67" i="1" l="1"/>
  <c r="S65" i="1" s="1"/>
  <c r="S66" i="1" s="1"/>
  <c r="S71" i="1" l="1"/>
  <c r="S89" i="1" s="1"/>
  <c r="S67" i="1" l="1"/>
  <c r="T65" i="1" s="1"/>
  <c r="T66" i="1" s="1"/>
  <c r="T71" i="1" l="1"/>
  <c r="T89" i="1" s="1"/>
  <c r="T67" i="1" l="1"/>
  <c r="U65" i="1" s="1"/>
  <c r="U66" i="1" s="1"/>
  <c r="U71" i="1" l="1"/>
  <c r="U89" i="1" s="1"/>
  <c r="U67" i="1" l="1"/>
  <c r="V65" i="1" s="1"/>
  <c r="V66" i="1" s="1"/>
  <c r="V71" i="1" l="1"/>
  <c r="V89" i="1" s="1"/>
  <c r="V67" i="1"/>
  <c r="W65" i="1" s="1"/>
  <c r="W66" i="1" s="1"/>
  <c r="W71" i="1" l="1"/>
  <c r="W89" i="1" s="1"/>
  <c r="W67" i="1" l="1"/>
  <c r="X65" i="1" s="1"/>
  <c r="X66" i="1" s="1"/>
  <c r="X71" i="1" l="1"/>
  <c r="X89" i="1" s="1"/>
  <c r="X67" i="1" l="1"/>
  <c r="Y65" i="1" s="1"/>
  <c r="Y66" i="1" s="1"/>
  <c r="Y71" i="1" l="1"/>
  <c r="Y89" i="1" s="1"/>
  <c r="Y67" i="1"/>
  <c r="Z65" i="1" s="1"/>
  <c r="Z66" i="1" s="1"/>
  <c r="Z71" i="1" l="1"/>
  <c r="Z89" i="1" s="1"/>
  <c r="Z67" i="1"/>
  <c r="AA65" i="1" s="1"/>
  <c r="AA66" i="1" s="1"/>
  <c r="AA71" i="1" l="1"/>
  <c r="AA89" i="1" s="1"/>
  <c r="AA67" i="1"/>
  <c r="AB65" i="1" s="1"/>
  <c r="AB66" i="1" s="1"/>
  <c r="AB71" i="1" l="1"/>
  <c r="AB89" i="1" s="1"/>
  <c r="AB67" i="1"/>
  <c r="AC65" i="1" s="1"/>
  <c r="AC66" i="1" s="1"/>
  <c r="AC71" i="1" l="1"/>
  <c r="AC89" i="1" s="1"/>
  <c r="AC67" i="1"/>
  <c r="AD65" i="1" s="1"/>
  <c r="AD66" i="1" s="1"/>
  <c r="AD71" i="1" l="1"/>
  <c r="AD89" i="1" s="1"/>
  <c r="AD67" i="1"/>
  <c r="AE65" i="1" s="1"/>
  <c r="AE66" i="1" s="1"/>
  <c r="AE71" i="1" l="1"/>
  <c r="AE89" i="1" s="1"/>
  <c r="AE67" i="1" l="1"/>
  <c r="AF65" i="1" s="1"/>
  <c r="AF66" i="1" s="1"/>
  <c r="AF71" i="1" l="1"/>
  <c r="AF89" i="1" s="1"/>
  <c r="AF67" i="1"/>
  <c r="AG65" i="1" s="1"/>
  <c r="AG66" i="1" s="1"/>
  <c r="AG71" i="1" l="1"/>
  <c r="AG89" i="1" s="1"/>
  <c r="AG67" i="1" l="1"/>
  <c r="AH65" i="1" s="1"/>
  <c r="AH66" i="1" s="1"/>
  <c r="AH71" i="1" l="1"/>
  <c r="AH89" i="1" s="1"/>
  <c r="AH67" i="1" l="1"/>
  <c r="AI65" i="1" s="1"/>
  <c r="AI66" i="1" s="1"/>
  <c r="AI71" i="1" l="1"/>
  <c r="AI89" i="1" s="1"/>
  <c r="AI67" i="1" l="1"/>
  <c r="AJ65" i="1" s="1"/>
  <c r="AJ66" i="1" s="1"/>
  <c r="AJ71" i="1" l="1"/>
  <c r="AJ89" i="1" s="1"/>
  <c r="AJ67" i="1"/>
  <c r="AK65" i="1" s="1"/>
  <c r="AK66" i="1" s="1"/>
  <c r="AK71" i="1" l="1"/>
  <c r="AK89" i="1" s="1"/>
  <c r="B66" i="1"/>
  <c r="E11" i="3" s="1"/>
  <c r="AK67" i="1"/>
</calcChain>
</file>

<file path=xl/sharedStrings.xml><?xml version="1.0" encoding="utf-8"?>
<sst xmlns="http://schemas.openxmlformats.org/spreadsheetml/2006/main" count="434" uniqueCount="93">
  <si>
    <t>Description</t>
  </si>
  <si>
    <t>Storm</t>
  </si>
  <si>
    <t>Major Maint.</t>
  </si>
  <si>
    <t>Chelan PPA Prepayment</t>
  </si>
  <si>
    <t>LSR BPA LGIA Prepayment</t>
  </si>
  <si>
    <t>Mint Farm Deferral</t>
  </si>
  <si>
    <t>Env. Deferrals - Electric</t>
  </si>
  <si>
    <t>Env. Deferrals - Gas</t>
  </si>
  <si>
    <t>GTZ Deferrals - Electric</t>
  </si>
  <si>
    <t>GTZ Deferrals - Gas</t>
  </si>
  <si>
    <t>AMI Deferrals - Gas</t>
  </si>
  <si>
    <t>AMI Deferrals - Electric</t>
  </si>
  <si>
    <t>PGA 106B</t>
  </si>
  <si>
    <t>Decoupling Deferrals - Electric</t>
  </si>
  <si>
    <t>Area</t>
  </si>
  <si>
    <t>Electric T&amp;D</t>
  </si>
  <si>
    <t>Electric Gen.</t>
  </si>
  <si>
    <t>Gas</t>
  </si>
  <si>
    <t>Gas Supply</t>
  </si>
  <si>
    <t>Electric</t>
  </si>
  <si>
    <t>Balance</t>
  </si>
  <si>
    <t>Annual Rate</t>
  </si>
  <si>
    <t>Recovery</t>
  </si>
  <si>
    <t>Total</t>
  </si>
  <si>
    <t>EDIT Amort</t>
  </si>
  <si>
    <t>Accum EDIT Amort</t>
  </si>
  <si>
    <t>Tax Adjusted EDIT Amort</t>
  </si>
  <si>
    <t>Tax Adjusted Accum Edit Amort</t>
  </si>
  <si>
    <t xml:space="preserve">  - Annual Amort</t>
  </si>
  <si>
    <t>Total Protected EDIT</t>
  </si>
  <si>
    <t>Electric Protected EDIT</t>
  </si>
  <si>
    <t>Electric Regulatory Asset Holding Acct</t>
  </si>
  <si>
    <t>ELECTRIC ANALYSIS</t>
  </si>
  <si>
    <t>Amort. of Elec. Reg. Assets in Rates</t>
  </si>
  <si>
    <t xml:space="preserve">  - Beginning Balance</t>
  </si>
  <si>
    <t xml:space="preserve">  - Ending Balance</t>
  </si>
  <si>
    <t>Annual Amortization ==&gt;</t>
  </si>
  <si>
    <t>Electric Customer Rate Relief</t>
  </si>
  <si>
    <t>GAS ANALYSIS</t>
  </si>
  <si>
    <t>Gas Protected EDIT</t>
  </si>
  <si>
    <t>Gas Regulatory Asset Holding Acct</t>
  </si>
  <si>
    <t>Amort. of Gas Reg. Assets in Rates</t>
  </si>
  <si>
    <t>Gas Customer Rate Relief</t>
  </si>
  <si>
    <t>2020 Starts in July</t>
  </si>
  <si>
    <t>Yes</t>
  </si>
  <si>
    <t>No</t>
  </si>
  <si>
    <t>Current Amortization of Assets in Holding Account</t>
  </si>
  <si>
    <t>Amortization of Assets Equal to Passback of EDIT</t>
  </si>
  <si>
    <t xml:space="preserve">Reduction in Costs Recovered from Customer </t>
  </si>
  <si>
    <t>Subtotals All</t>
  </si>
  <si>
    <t>Amounts</t>
  </si>
  <si>
    <t>Subtotals for</t>
  </si>
  <si>
    <t>Amounts in</t>
  </si>
  <si>
    <t>Holding Account</t>
  </si>
  <si>
    <t>TOTAL CUSTOMER RATE RELIEF (PAY LESS) / PAY  MORE</t>
  </si>
  <si>
    <t>Electric EDIt</t>
  </si>
  <si>
    <t>Gas EDIT</t>
  </si>
  <si>
    <t>Combined EDIT</t>
  </si>
  <si>
    <t>Jul - Dec 2020</t>
  </si>
  <si>
    <t>Scenario 2</t>
  </si>
  <si>
    <t>Estimated GRC Benefit:</t>
  </si>
  <si>
    <t>Scenario 3</t>
  </si>
  <si>
    <t>Input Values</t>
  </si>
  <si>
    <t>Do Not Delete</t>
  </si>
  <si>
    <t>Customer Impacts → Pay More (Pay Less)</t>
  </si>
  <si>
    <t>All In</t>
  </si>
  <si>
    <t>ARAM</t>
  </si>
  <si>
    <t>Scenario 1</t>
  </si>
  <si>
    <t>"All In"</t>
  </si>
  <si>
    <t>Combined</t>
  </si>
  <si>
    <t>Regulatory Asset Holding Accounts</t>
  </si>
  <si>
    <t>Amortization Life in Years*</t>
  </si>
  <si>
    <t>* Decoupling and PGA if included will amortize first</t>
  </si>
  <si>
    <t>Current</t>
  </si>
  <si>
    <t>Remaining Life</t>
  </si>
  <si>
    <t>2020 ARAM</t>
  </si>
  <si>
    <t>Scenario 3 Only</t>
  </si>
  <si>
    <t>Decoupling Deferrals</t>
  </si>
  <si>
    <t>Decoupling Deferral</t>
  </si>
  <si>
    <t>Holding Accounts</t>
  </si>
  <si>
    <t>Estimated Rate Year Benefit:</t>
  </si>
  <si>
    <t>Estimated Rate Year Benefit</t>
  </si>
  <si>
    <t>Table 2</t>
  </si>
  <si>
    <t>Table 1</t>
  </si>
  <si>
    <t>Table 3</t>
  </si>
  <si>
    <t>Grossed Up</t>
  </si>
  <si>
    <t>Allocation</t>
  </si>
  <si>
    <t>(Bench Request 5)</t>
  </si>
  <si>
    <t>Amort Life</t>
  </si>
  <si>
    <t>Type</t>
  </si>
  <si>
    <t>GRC</t>
  </si>
  <si>
    <t>Sch. 142</t>
  </si>
  <si>
    <t>Sch. 106B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</si>
</sst>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_(* #,##0.0_);_(* \(#,##0.0\);_(* &quot;-&quot;?_);_(@_)"/>
    <numFmt numFmtId="168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u val="singleAccounting"/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0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FF"/>
      </bottom>
      <diagonal/>
    </border>
    <border>
      <left/>
      <right/>
      <top style="thin">
        <color indexed="64"/>
      </top>
      <bottom style="thin">
        <color rgb="FF0000FF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rgb="FF0000FF"/>
      </right>
      <top/>
      <bottom style="thin">
        <color rgb="FF0000F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FF"/>
      </left>
      <right/>
      <top style="thin">
        <color rgb="FF0000FF"/>
      </top>
      <bottom style="double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5">
    <xf numFmtId="0" fontId="0" fillId="0" borderId="0" xfId="0"/>
    <xf numFmtId="164" fontId="0" fillId="0" borderId="0" xfId="2" applyNumberFormat="1" applyFont="1"/>
    <xf numFmtId="164" fontId="0" fillId="0" borderId="0" xfId="0" applyNumberForma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2" xfId="0" applyNumberFormat="1" applyFont="1" applyBorder="1"/>
    <xf numFmtId="9" fontId="0" fillId="0" borderId="0" xfId="3" applyFont="1"/>
    <xf numFmtId="0" fontId="4" fillId="0" borderId="0" xfId="0" applyFont="1"/>
    <xf numFmtId="0" fontId="0" fillId="0" borderId="1" xfId="0" applyBorder="1" applyAlignment="1">
      <alignment horizontal="center"/>
    </xf>
    <xf numFmtId="165" fontId="0" fillId="0" borderId="0" xfId="1" applyNumberFormat="1" applyFont="1"/>
    <xf numFmtId="0" fontId="6" fillId="0" borderId="0" xfId="0" applyFont="1"/>
    <xf numFmtId="165" fontId="0" fillId="0" borderId="0" xfId="0" applyNumberFormat="1"/>
    <xf numFmtId="165" fontId="7" fillId="0" borderId="0" xfId="0" applyNumberFormat="1" applyFont="1"/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1" xfId="0" applyBorder="1"/>
    <xf numFmtId="164" fontId="0" fillId="0" borderId="0" xfId="2" applyNumberFormat="1" applyFont="1" applyFill="1"/>
    <xf numFmtId="164" fontId="3" fillId="0" borderId="0" xfId="0" applyNumberFormat="1" applyFont="1"/>
    <xf numFmtId="0" fontId="0" fillId="0" borderId="0" xfId="0" applyFill="1"/>
    <xf numFmtId="0" fontId="0" fillId="2" borderId="0" xfId="0" applyFill="1"/>
    <xf numFmtId="37" fontId="11" fillId="0" borderId="0" xfId="2" applyNumberFormat="1" applyFont="1"/>
    <xf numFmtId="0" fontId="0" fillId="0" borderId="0" xfId="0" applyAlignment="1">
      <alignment horizontal="center"/>
    </xf>
    <xf numFmtId="0" fontId="8" fillId="3" borderId="0" xfId="0" applyFont="1" applyFill="1"/>
    <xf numFmtId="0" fontId="8" fillId="3" borderId="0" xfId="0" applyFont="1" applyFill="1" applyAlignment="1">
      <alignment horizontal="center"/>
    </xf>
    <xf numFmtId="0" fontId="3" fillId="0" borderId="1" xfId="0" applyFont="1" applyBorder="1" applyAlignment="1">
      <alignment horizontal="centerContinuous"/>
    </xf>
    <xf numFmtId="0" fontId="3" fillId="0" borderId="8" xfId="0" applyFont="1" applyBorder="1" applyAlignment="1">
      <alignment horizontal="centerContinuous"/>
    </xf>
    <xf numFmtId="164" fontId="3" fillId="0" borderId="7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3" fillId="0" borderId="11" xfId="2" applyNumberFormat="1" applyFont="1" applyBorder="1" applyAlignment="1">
      <alignment horizontal="center"/>
    </xf>
    <xf numFmtId="164" fontId="0" fillId="0" borderId="7" xfId="2" applyNumberFormat="1" applyFont="1" applyBorder="1"/>
    <xf numFmtId="164" fontId="0" fillId="0" borderId="0" xfId="2" applyNumberFormat="1" applyFont="1" applyBorder="1"/>
    <xf numFmtId="164" fontId="3" fillId="0" borderId="8" xfId="2" applyNumberFormat="1" applyFont="1" applyBorder="1" applyAlignment="1">
      <alignment horizontal="center"/>
    </xf>
    <xf numFmtId="164" fontId="3" fillId="0" borderId="1" xfId="2" applyNumberFormat="1" applyFont="1" applyBorder="1" applyAlignment="1">
      <alignment horizontal="center"/>
    </xf>
    <xf numFmtId="164" fontId="3" fillId="0" borderId="12" xfId="2" applyNumberFormat="1" applyFont="1" applyBorder="1" applyAlignment="1">
      <alignment horizontal="center"/>
    </xf>
    <xf numFmtId="0" fontId="5" fillId="0" borderId="0" xfId="0" applyFont="1"/>
    <xf numFmtId="0" fontId="0" fillId="0" borderId="7" xfId="0" applyFill="1" applyBorder="1" applyAlignment="1">
      <alignment horizontal="left" indent="1"/>
    </xf>
    <xf numFmtId="43" fontId="0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left" indent="1"/>
    </xf>
    <xf numFmtId="0" fontId="0" fillId="0" borderId="0" xfId="0" applyBorder="1"/>
    <xf numFmtId="0" fontId="0" fillId="0" borderId="0" xfId="0" applyFill="1" applyBorder="1"/>
    <xf numFmtId="166" fontId="0" fillId="0" borderId="0" xfId="3" applyNumberFormat="1" applyFont="1"/>
    <xf numFmtId="166" fontId="0" fillId="0" borderId="0" xfId="3" applyNumberFormat="1" applyFont="1" applyFill="1"/>
    <xf numFmtId="0" fontId="3" fillId="0" borderId="19" xfId="0" applyFont="1" applyFill="1" applyBorder="1"/>
    <xf numFmtId="0" fontId="0" fillId="0" borderId="20" xfId="0" applyFill="1" applyBorder="1"/>
    <xf numFmtId="0" fontId="0" fillId="0" borderId="21" xfId="0" applyFill="1" applyBorder="1"/>
    <xf numFmtId="0" fontId="0" fillId="0" borderId="7" xfId="0" applyFill="1" applyBorder="1"/>
    <xf numFmtId="0" fontId="0" fillId="0" borderId="11" xfId="0" applyFill="1" applyBorder="1"/>
    <xf numFmtId="0" fontId="3" fillId="0" borderId="7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Continuous"/>
    </xf>
    <xf numFmtId="0" fontId="3" fillId="0" borderId="1" xfId="0" applyFont="1" applyFill="1" applyBorder="1" applyAlignment="1">
      <alignment horizontal="centerContinuous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164" fontId="0" fillId="0" borderId="11" xfId="0" applyNumberFormat="1" applyFill="1" applyBorder="1"/>
    <xf numFmtId="164" fontId="3" fillId="0" borderId="23" xfId="0" applyNumberFormat="1" applyFont="1" applyFill="1" applyBorder="1"/>
    <xf numFmtId="0" fontId="0" fillId="0" borderId="8" xfId="0" applyFill="1" applyBorder="1"/>
    <xf numFmtId="0" fontId="0" fillId="0" borderId="1" xfId="0" applyFill="1" applyBorder="1"/>
    <xf numFmtId="10" fontId="0" fillId="0" borderId="0" xfId="3" applyNumberFormat="1" applyFont="1"/>
    <xf numFmtId="0" fontId="0" fillId="0" borderId="20" xfId="0" applyBorder="1"/>
    <xf numFmtId="0" fontId="0" fillId="0" borderId="21" xfId="0" applyBorder="1"/>
    <xf numFmtId="0" fontId="0" fillId="0" borderId="11" xfId="0" applyBorder="1"/>
    <xf numFmtId="0" fontId="0" fillId="0" borderId="8" xfId="0" applyFill="1" applyBorder="1" applyAlignment="1">
      <alignment horizontal="left" indent="1"/>
    </xf>
    <xf numFmtId="0" fontId="0" fillId="0" borderId="12" xfId="0" applyBorder="1"/>
    <xf numFmtId="0" fontId="0" fillId="0" borderId="7" xfId="0" applyBorder="1"/>
    <xf numFmtId="0" fontId="0" fillId="0" borderId="19" xfId="0" applyFill="1" applyBorder="1" applyAlignment="1">
      <alignment horizontal="left" indent="1"/>
    </xf>
    <xf numFmtId="164" fontId="3" fillId="0" borderId="19" xfId="2" applyNumberFormat="1" applyFont="1" applyBorder="1" applyAlignment="1">
      <alignment horizontal="center"/>
    </xf>
    <xf numFmtId="164" fontId="3" fillId="0" borderId="20" xfId="2" applyNumberFormat="1" applyFont="1" applyBorder="1" applyAlignment="1">
      <alignment horizontal="center"/>
    </xf>
    <xf numFmtId="164" fontId="3" fillId="0" borderId="21" xfId="2" applyNumberFormat="1" applyFont="1" applyBorder="1" applyAlignment="1">
      <alignment horizontal="center"/>
    </xf>
    <xf numFmtId="0" fontId="0" fillId="0" borderId="20" xfId="0" applyFill="1" applyBorder="1" applyAlignment="1">
      <alignment horizontal="left" indent="1"/>
    </xf>
    <xf numFmtId="164" fontId="0" fillId="0" borderId="20" xfId="2" applyNumberFormat="1" applyFont="1" applyFill="1" applyBorder="1"/>
    <xf numFmtId="164" fontId="0" fillId="0" borderId="21" xfId="2" applyNumberFormat="1" applyFont="1" applyFill="1" applyBorder="1"/>
    <xf numFmtId="0" fontId="0" fillId="0" borderId="1" xfId="0" applyFill="1" applyBorder="1" applyAlignment="1">
      <alignment horizontal="left" indent="1"/>
    </xf>
    <xf numFmtId="0" fontId="0" fillId="0" borderId="19" xfId="0" applyFill="1" applyBorder="1"/>
    <xf numFmtId="164" fontId="0" fillId="0" borderId="0" xfId="0" applyNumberFormat="1" applyFill="1" applyBorder="1"/>
    <xf numFmtId="164" fontId="3" fillId="0" borderId="2" xfId="0" applyNumberFormat="1" applyFont="1" applyFill="1" applyBorder="1"/>
    <xf numFmtId="14" fontId="3" fillId="0" borderId="0" xfId="0" applyNumberFormat="1" applyFont="1" applyFill="1" applyBorder="1" applyAlignment="1">
      <alignment horizontal="center"/>
    </xf>
    <xf numFmtId="41" fontId="0" fillId="0" borderId="0" xfId="2" applyNumberFormat="1" applyFont="1" applyFill="1" applyBorder="1"/>
    <xf numFmtId="41" fontId="0" fillId="0" borderId="1" xfId="2" applyNumberFormat="1" applyFont="1" applyFill="1" applyBorder="1"/>
    <xf numFmtId="41" fontId="0" fillId="0" borderId="20" xfId="2" applyNumberFormat="1" applyFont="1" applyFill="1" applyBorder="1"/>
    <xf numFmtId="3" fontId="2" fillId="0" borderId="1" xfId="0" applyNumberFormat="1" applyFont="1" applyBorder="1"/>
    <xf numFmtId="3" fontId="2" fillId="0" borderId="12" xfId="0" applyNumberFormat="1" applyFont="1" applyBorder="1"/>
    <xf numFmtId="1" fontId="2" fillId="0" borderId="0" xfId="0" applyNumberFormat="1" applyFont="1" applyBorder="1"/>
    <xf numFmtId="1" fontId="2" fillId="0" borderId="11" xfId="0" applyNumberFormat="1" applyFont="1" applyBorder="1"/>
    <xf numFmtId="0" fontId="3" fillId="0" borderId="26" xfId="0" applyFont="1" applyFill="1" applyBorder="1"/>
    <xf numFmtId="0" fontId="3" fillId="0" borderId="29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Continuous"/>
    </xf>
    <xf numFmtId="0" fontId="0" fillId="0" borderId="26" xfId="0" applyFill="1" applyBorder="1" applyAlignment="1">
      <alignment horizontal="left" indent="1"/>
    </xf>
    <xf numFmtId="0" fontId="0" fillId="0" borderId="29" xfId="0" applyFill="1" applyBorder="1" applyAlignment="1">
      <alignment horizontal="left" indent="1"/>
    </xf>
    <xf numFmtId="0" fontId="0" fillId="0" borderId="30" xfId="0" applyFill="1" applyBorder="1" applyAlignment="1">
      <alignment horizontal="left" indent="1"/>
    </xf>
    <xf numFmtId="41" fontId="0" fillId="0" borderId="11" xfId="2" applyNumberFormat="1" applyFont="1" applyFill="1" applyBorder="1"/>
    <xf numFmtId="41" fontId="0" fillId="0" borderId="12" xfId="2" applyNumberFormat="1" applyFont="1" applyFill="1" applyBorder="1"/>
    <xf numFmtId="41" fontId="0" fillId="0" borderId="21" xfId="2" applyNumberFormat="1" applyFont="1" applyFill="1" applyBorder="1"/>
    <xf numFmtId="0" fontId="0" fillId="0" borderId="8" xfId="0" applyBorder="1"/>
    <xf numFmtId="14" fontId="3" fillId="0" borderId="11" xfId="0" applyNumberFormat="1" applyFont="1" applyFill="1" applyBorder="1" applyAlignment="1">
      <alignment horizontal="center"/>
    </xf>
    <xf numFmtId="42" fontId="0" fillId="0" borderId="0" xfId="0" applyNumberFormat="1"/>
    <xf numFmtId="42" fontId="0" fillId="0" borderId="2" xfId="0" applyNumberFormat="1" applyBorder="1"/>
    <xf numFmtId="41" fontId="0" fillId="0" borderId="0" xfId="0" applyNumberFormat="1" applyFill="1" applyBorder="1"/>
    <xf numFmtId="41" fontId="0" fillId="0" borderId="11" xfId="0" applyNumberFormat="1" applyFill="1" applyBorder="1"/>
    <xf numFmtId="168" fontId="0" fillId="0" borderId="20" xfId="0" applyNumberFormat="1" applyFill="1" applyBorder="1" applyAlignment="1">
      <alignment horizontal="left" indent="1"/>
    </xf>
    <xf numFmtId="168" fontId="0" fillId="0" borderId="0" xfId="0" applyNumberFormat="1" applyFill="1" applyBorder="1" applyAlignment="1">
      <alignment horizontal="left" indent="1"/>
    </xf>
    <xf numFmtId="168" fontId="0" fillId="0" borderId="1" xfId="0" applyNumberFormat="1" applyFill="1" applyBorder="1" applyAlignment="1">
      <alignment horizontal="left" indent="1"/>
    </xf>
    <xf numFmtId="0" fontId="13" fillId="0" borderId="0" xfId="0" applyFont="1"/>
    <xf numFmtId="164" fontId="12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Continuous"/>
    </xf>
    <xf numFmtId="164" fontId="12" fillId="0" borderId="0" xfId="0" applyNumberFormat="1" applyFont="1" applyFill="1" applyBorder="1"/>
    <xf numFmtId="41" fontId="12" fillId="0" borderId="0" xfId="0" applyNumberFormat="1" applyFont="1" applyFill="1" applyBorder="1"/>
    <xf numFmtId="167" fontId="12" fillId="0" borderId="0" xfId="0" applyNumberFormat="1" applyFont="1" applyFill="1" applyBorder="1" applyAlignment="1">
      <alignment horizontal="centerContinuous"/>
    </xf>
    <xf numFmtId="37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0" fontId="13" fillId="0" borderId="20" xfId="0" applyFont="1" applyFill="1" applyBorder="1"/>
    <xf numFmtId="0" fontId="12" fillId="0" borderId="0" xfId="0" applyFont="1" applyFill="1" applyBorder="1" applyAlignment="1">
      <alignment horizontal="center"/>
    </xf>
    <xf numFmtId="14" fontId="12" fillId="0" borderId="0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164" fontId="12" fillId="0" borderId="19" xfId="0" applyNumberFormat="1" applyFont="1" applyFill="1" applyBorder="1" applyAlignment="1">
      <alignment horizontal="center"/>
    </xf>
    <xf numFmtId="164" fontId="12" fillId="0" borderId="20" xfId="0" applyNumberFormat="1" applyFont="1" applyFill="1" applyBorder="1" applyAlignment="1">
      <alignment horizontal="center"/>
    </xf>
    <xf numFmtId="164" fontId="12" fillId="0" borderId="21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Continuous"/>
    </xf>
    <xf numFmtId="164" fontId="12" fillId="0" borderId="11" xfId="0" applyNumberFormat="1" applyFont="1" applyFill="1" applyBorder="1" applyAlignment="1">
      <alignment horizontal="center"/>
    </xf>
    <xf numFmtId="164" fontId="12" fillId="0" borderId="11" xfId="0" applyNumberFormat="1" applyFont="1" applyFill="1" applyBorder="1" applyAlignment="1">
      <alignment horizontal="centerContinuous"/>
    </xf>
    <xf numFmtId="0" fontId="12" fillId="0" borderId="7" xfId="0" applyFont="1" applyFill="1" applyBorder="1"/>
    <xf numFmtId="164" fontId="12" fillId="0" borderId="11" xfId="0" applyNumberFormat="1" applyFont="1" applyFill="1" applyBorder="1"/>
    <xf numFmtId="41" fontId="12" fillId="0" borderId="11" xfId="0" applyNumberFormat="1" applyFont="1" applyFill="1" applyBorder="1"/>
    <xf numFmtId="167" fontId="12" fillId="0" borderId="11" xfId="0" applyNumberFormat="1" applyFont="1" applyFill="1" applyBorder="1" applyAlignment="1">
      <alignment horizontal="centerContinuous"/>
    </xf>
    <xf numFmtId="37" fontId="12" fillId="0" borderId="11" xfId="0" applyNumberFormat="1" applyFont="1" applyFill="1" applyBorder="1" applyAlignment="1">
      <alignment horizontal="center"/>
    </xf>
    <xf numFmtId="0" fontId="13" fillId="0" borderId="7" xfId="0" applyFont="1" applyFill="1" applyBorder="1"/>
    <xf numFmtId="0" fontId="13" fillId="0" borderId="11" xfId="0" applyFont="1" applyFill="1" applyBorder="1"/>
    <xf numFmtId="0" fontId="13" fillId="0" borderId="7" xfId="0" applyFont="1" applyFill="1" applyBorder="1" applyAlignment="1">
      <alignment horizontal="left" indent="1"/>
    </xf>
    <xf numFmtId="0" fontId="12" fillId="0" borderId="8" xfId="0" applyFont="1" applyFill="1" applyBorder="1"/>
    <xf numFmtId="9" fontId="13" fillId="0" borderId="1" xfId="3" applyFont="1" applyFill="1" applyBorder="1"/>
    <xf numFmtId="9" fontId="13" fillId="0" borderId="12" xfId="3" applyFont="1" applyFill="1" applyBorder="1"/>
    <xf numFmtId="0" fontId="12" fillId="0" borderId="4" xfId="0" applyFont="1" applyFill="1" applyBorder="1" applyAlignment="1">
      <alignment horizontal="centerContinuous"/>
    </xf>
    <xf numFmtId="164" fontId="12" fillId="0" borderId="5" xfId="0" applyNumberFormat="1" applyFont="1" applyFill="1" applyBorder="1" applyAlignment="1">
      <alignment horizontal="center"/>
    </xf>
    <xf numFmtId="164" fontId="12" fillId="0" borderId="6" xfId="0" applyNumberFormat="1" applyFont="1" applyFill="1" applyBorder="1" applyAlignment="1">
      <alignment horizontal="center"/>
    </xf>
    <xf numFmtId="164" fontId="12" fillId="0" borderId="2" xfId="0" applyNumberFormat="1" applyFont="1" applyFill="1" applyBorder="1"/>
    <xf numFmtId="164" fontId="12" fillId="0" borderId="23" xfId="0" applyNumberFormat="1" applyFont="1" applyFill="1" applyBorder="1"/>
    <xf numFmtId="0" fontId="3" fillId="4" borderId="4" xfId="0" applyFont="1" applyFill="1" applyBorder="1" applyAlignment="1">
      <alignment horizontal="centerContinuous"/>
    </xf>
    <xf numFmtId="164" fontId="10" fillId="4" borderId="9" xfId="0" applyNumberFormat="1" applyFont="1" applyFill="1" applyBorder="1" applyAlignment="1">
      <alignment horizontal="center"/>
    </xf>
    <xf numFmtId="0" fontId="10" fillId="4" borderId="13" xfId="0" applyFont="1" applyFill="1" applyBorder="1" applyAlignment="1">
      <alignment horizontal="left"/>
    </xf>
    <xf numFmtId="0" fontId="0" fillId="4" borderId="14" xfId="0" applyFill="1" applyBorder="1"/>
    <xf numFmtId="164" fontId="10" fillId="4" borderId="15" xfId="0" applyNumberFormat="1" applyFont="1" applyFill="1" applyBorder="1" applyAlignment="1">
      <alignment horizontal="center"/>
    </xf>
    <xf numFmtId="0" fontId="0" fillId="4" borderId="16" xfId="0" applyFill="1" applyBorder="1"/>
    <xf numFmtId="164" fontId="10" fillId="4" borderId="17" xfId="0" applyNumberFormat="1" applyFont="1" applyFill="1" applyBorder="1"/>
    <xf numFmtId="0" fontId="10" fillId="4" borderId="16" xfId="0" applyFont="1" applyFill="1" applyBorder="1"/>
    <xf numFmtId="164" fontId="10" fillId="4" borderId="24" xfId="0" applyNumberFormat="1" applyFont="1" applyFill="1" applyBorder="1"/>
    <xf numFmtId="9" fontId="0" fillId="4" borderId="15" xfId="3" applyFont="1" applyFill="1" applyBorder="1"/>
    <xf numFmtId="0" fontId="0" fillId="4" borderId="18" xfId="0" applyFill="1" applyBorder="1"/>
    <xf numFmtId="0" fontId="0" fillId="4" borderId="19" xfId="0" applyFill="1" applyBorder="1"/>
    <xf numFmtId="0" fontId="0" fillId="4" borderId="20" xfId="0" applyFill="1" applyBorder="1"/>
    <xf numFmtId="0" fontId="5" fillId="4" borderId="27" xfId="0" applyFont="1" applyFill="1" applyBorder="1" applyAlignment="1">
      <alignment horizontal="centerContinuous"/>
    </xf>
    <xf numFmtId="0" fontId="3" fillId="4" borderId="27" xfId="0" applyFont="1" applyFill="1" applyBorder="1" applyAlignment="1">
      <alignment horizontal="centerContinuous"/>
    </xf>
    <xf numFmtId="0" fontId="3" fillId="4" borderId="28" xfId="0" applyFont="1" applyFill="1" applyBorder="1" applyAlignment="1">
      <alignment horizontal="centerContinuous"/>
    </xf>
    <xf numFmtId="0" fontId="0" fillId="4" borderId="7" xfId="0" applyFill="1" applyBorder="1"/>
    <xf numFmtId="0" fontId="0" fillId="4" borderId="0" xfId="0" applyFill="1" applyBorder="1"/>
    <xf numFmtId="0" fontId="0" fillId="4" borderId="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4" fillId="4" borderId="7" xfId="0" applyFont="1" applyFill="1" applyBorder="1"/>
    <xf numFmtId="0" fontId="0" fillId="4" borderId="11" xfId="0" applyFill="1" applyBorder="1"/>
    <xf numFmtId="164" fontId="0" fillId="4" borderId="0" xfId="0" applyNumberFormat="1" applyFill="1" applyBorder="1"/>
    <xf numFmtId="164" fontId="0" fillId="4" borderId="11" xfId="0" applyNumberFormat="1" applyFill="1" applyBorder="1"/>
    <xf numFmtId="164" fontId="3" fillId="4" borderId="2" xfId="0" applyNumberFormat="1" applyFont="1" applyFill="1" applyBorder="1"/>
    <xf numFmtId="164" fontId="3" fillId="4" borderId="23" xfId="0" applyNumberFormat="1" applyFont="1" applyFill="1" applyBorder="1"/>
    <xf numFmtId="165" fontId="0" fillId="4" borderId="0" xfId="0" applyNumberFormat="1" applyFill="1" applyBorder="1"/>
    <xf numFmtId="165" fontId="0" fillId="4" borderId="11" xfId="0" applyNumberFormat="1" applyFill="1" applyBorder="1"/>
    <xf numFmtId="0" fontId="0" fillId="4" borderId="8" xfId="0" applyFill="1" applyBorder="1"/>
    <xf numFmtId="0" fontId="0" fillId="4" borderId="1" xfId="0" applyFill="1" applyBorder="1"/>
    <xf numFmtId="164" fontId="3" fillId="4" borderId="1" xfId="0" applyNumberFormat="1" applyFont="1" applyFill="1" applyBorder="1"/>
    <xf numFmtId="164" fontId="3" fillId="4" borderId="12" xfId="0" applyNumberFormat="1" applyFont="1" applyFill="1" applyBorder="1"/>
    <xf numFmtId="165" fontId="9" fillId="4" borderId="0" xfId="1" applyNumberFormat="1" applyFont="1" applyFill="1"/>
    <xf numFmtId="164" fontId="0" fillId="4" borderId="0" xfId="2" applyNumberFormat="1" applyFont="1" applyFill="1"/>
    <xf numFmtId="0" fontId="3" fillId="4" borderId="25" xfId="0" applyFont="1" applyFill="1" applyBorder="1" applyAlignment="1">
      <alignment horizontal="centerContinuous"/>
    </xf>
    <xf numFmtId="164" fontId="10" fillId="4" borderId="10" xfId="0" applyNumberFormat="1" applyFont="1" applyFill="1" applyBorder="1" applyAlignment="1">
      <alignment horizontal="center"/>
    </xf>
    <xf numFmtId="42" fontId="10" fillId="4" borderId="17" xfId="0" applyNumberFormat="1" applyFont="1" applyFill="1" applyBorder="1"/>
    <xf numFmtId="0" fontId="3" fillId="4" borderId="20" xfId="0" applyFont="1" applyFill="1" applyBorder="1" applyAlignment="1">
      <alignment horizontal="centerContinuous"/>
    </xf>
    <xf numFmtId="0" fontId="3" fillId="4" borderId="21" xfId="0" applyFont="1" applyFill="1" applyBorder="1" applyAlignment="1">
      <alignment horizontal="centerContinuous"/>
    </xf>
    <xf numFmtId="0" fontId="5" fillId="4" borderId="3" xfId="0" applyFont="1" applyFill="1" applyBorder="1" applyAlignment="1">
      <alignment horizontal="centerContinuous"/>
    </xf>
    <xf numFmtId="0" fontId="3" fillId="4" borderId="3" xfId="0" applyFont="1" applyFill="1" applyBorder="1" applyAlignment="1">
      <alignment horizontal="centerContinuous"/>
    </xf>
    <xf numFmtId="0" fontId="3" fillId="4" borderId="22" xfId="0" applyFont="1" applyFill="1" applyBorder="1" applyAlignment="1">
      <alignment horizontal="centerContinuous"/>
    </xf>
    <xf numFmtId="0" fontId="12" fillId="0" borderId="19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00FF"/>
      <color rgb="FFFFC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Tax Adjusted EDIT Amortization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'Scenario 1'!$A$55</c:f>
              <c:strCache>
                <c:ptCount val="1"/>
                <c:pt idx="0">
                  <c:v>Tax Adjusted EDIT Amort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'Scenario 1'!$B$50:$AX$50</c:f>
              <c:strCache>
                <c:ptCount val="49"/>
                <c:pt idx="1">
                  <c:v>Jul - Dec 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  <c:pt idx="20">
                  <c:v>2039</c:v>
                </c:pt>
                <c:pt idx="21">
                  <c:v>2040</c:v>
                </c:pt>
                <c:pt idx="22">
                  <c:v>2041</c:v>
                </c:pt>
                <c:pt idx="23">
                  <c:v>2042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</c:strCache>
            </c:strRef>
          </c:cat>
          <c:val>
            <c:numRef>
              <c:f>'Scenario 1'!$B$55:$AX$55</c:f>
              <c:numCache>
                <c:formatCode>_(* #,##0_);_(* \(#,##0\);_(* "-"??_);_(@_)</c:formatCode>
                <c:ptCount val="49"/>
                <c:pt idx="1">
                  <c:v>16217633.469527341</c:v>
                </c:pt>
                <c:pt idx="2">
                  <c:v>30399322.548974659</c:v>
                </c:pt>
                <c:pt idx="3">
                  <c:v>30885079.488120139</c:v>
                </c:pt>
                <c:pt idx="4">
                  <c:v>29917033.869467515</c:v>
                </c:pt>
                <c:pt idx="5">
                  <c:v>30209064.950382195</c:v>
                </c:pt>
                <c:pt idx="6">
                  <c:v>30767461.806181408</c:v>
                </c:pt>
                <c:pt idx="7">
                  <c:v>31602266.424166437</c:v>
                </c:pt>
                <c:pt idx="8">
                  <c:v>30372347.779105786</c:v>
                </c:pt>
                <c:pt idx="9">
                  <c:v>31994649.232874922</c:v>
                </c:pt>
                <c:pt idx="10">
                  <c:v>33077286.197458144</c:v>
                </c:pt>
                <c:pt idx="11">
                  <c:v>32947900.114060938</c:v>
                </c:pt>
                <c:pt idx="12">
                  <c:v>31408739.120111316</c:v>
                </c:pt>
                <c:pt idx="13">
                  <c:v>29894351.131300531</c:v>
                </c:pt>
                <c:pt idx="14">
                  <c:v>31154979.155259963</c:v>
                </c:pt>
                <c:pt idx="15">
                  <c:v>30860577.426079702</c:v>
                </c:pt>
                <c:pt idx="16">
                  <c:v>27599214.995361779</c:v>
                </c:pt>
                <c:pt idx="17">
                  <c:v>27141906.408430345</c:v>
                </c:pt>
                <c:pt idx="18">
                  <c:v>25419447.266721144</c:v>
                </c:pt>
                <c:pt idx="19">
                  <c:v>24536619.631118666</c:v>
                </c:pt>
                <c:pt idx="20">
                  <c:v>23630210.682697408</c:v>
                </c:pt>
                <c:pt idx="21">
                  <c:v>22395689.211992677</c:v>
                </c:pt>
                <c:pt idx="22">
                  <c:v>21518485.330821581</c:v>
                </c:pt>
                <c:pt idx="23">
                  <c:v>20614548.1380255</c:v>
                </c:pt>
                <c:pt idx="24">
                  <c:v>18823759.442529809</c:v>
                </c:pt>
                <c:pt idx="25">
                  <c:v>18293417.146462858</c:v>
                </c:pt>
                <c:pt idx="26">
                  <c:v>17754803.987014167</c:v>
                </c:pt>
                <c:pt idx="27">
                  <c:v>17167499.990319088</c:v>
                </c:pt>
                <c:pt idx="28">
                  <c:v>16545743.084511636</c:v>
                </c:pt>
                <c:pt idx="29">
                  <c:v>15945515.176384535</c:v>
                </c:pt>
                <c:pt idx="30">
                  <c:v>14942211.794477524</c:v>
                </c:pt>
                <c:pt idx="31">
                  <c:v>14080078.092310933</c:v>
                </c:pt>
                <c:pt idx="32">
                  <c:v>13267687.663137311</c:v>
                </c:pt>
                <c:pt idx="33">
                  <c:v>12502170.426362623</c:v>
                </c:pt>
                <c:pt idx="34">
                  <c:v>11780821.898912268</c:v>
                </c:pt>
                <c:pt idx="35">
                  <c:v>11101093.640607944</c:v>
                </c:pt>
                <c:pt idx="36">
                  <c:v>10460584.250825869</c:v>
                </c:pt>
                <c:pt idx="37">
                  <c:v>9857030.8846285585</c:v>
                </c:pt>
                <c:pt idx="38">
                  <c:v>9288301.2583977208</c:v>
                </c:pt>
                <c:pt idx="39">
                  <c:v>8752386.1167250108</c:v>
                </c:pt>
                <c:pt idx="40">
                  <c:v>8247392.1339471443</c:v>
                </c:pt>
                <c:pt idx="41">
                  <c:v>7771535.2252472322</c:v>
                </c:pt>
                <c:pt idx="42">
                  <c:v>7323134.2436912898</c:v>
                </c:pt>
                <c:pt idx="43">
                  <c:v>6900605.0409323042</c:v>
                </c:pt>
                <c:pt idx="44">
                  <c:v>6502454.8705989411</c:v>
                </c:pt>
                <c:pt idx="45">
                  <c:v>6127277.1145968093</c:v>
                </c:pt>
                <c:pt idx="46">
                  <c:v>5773746.313690858</c:v>
                </c:pt>
                <c:pt idx="47">
                  <c:v>5440613.4848125586</c:v>
                </c:pt>
                <c:pt idx="48">
                  <c:v>4129602.9322167281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71-49BF-8DFB-7EDE5E843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9811872"/>
        <c:axId val="73981384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'Scenario 1'!$A$51</c15:sqref>
                        </c15:formulaRef>
                      </c:ext>
                    </c:extLst>
                    <c:strCache>
                      <c:ptCount val="1"/>
                      <c:pt idx="0">
                        <c:v>EDIT Amort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'Scenario 1'!$B$50:$AX$50</c15:sqref>
                        </c15:formulaRef>
                      </c:ext>
                    </c:extLst>
                    <c:strCache>
                      <c:ptCount val="49"/>
                      <c:pt idx="1">
                        <c:v>Jul - Dec 2020</c:v>
                      </c:pt>
                      <c:pt idx="2">
                        <c:v>2021</c:v>
                      </c:pt>
                      <c:pt idx="3">
                        <c:v>2022</c:v>
                      </c:pt>
                      <c:pt idx="4">
                        <c:v>2023</c:v>
                      </c:pt>
                      <c:pt idx="5">
                        <c:v>2024</c:v>
                      </c:pt>
                      <c:pt idx="6">
                        <c:v>2025</c:v>
                      </c:pt>
                      <c:pt idx="7">
                        <c:v>2026</c:v>
                      </c:pt>
                      <c:pt idx="8">
                        <c:v>2027</c:v>
                      </c:pt>
                      <c:pt idx="9">
                        <c:v>2028</c:v>
                      </c:pt>
                      <c:pt idx="10">
                        <c:v>2029</c:v>
                      </c:pt>
                      <c:pt idx="11">
                        <c:v>2030</c:v>
                      </c:pt>
                      <c:pt idx="12">
                        <c:v>2031</c:v>
                      </c:pt>
                      <c:pt idx="13">
                        <c:v>2032</c:v>
                      </c:pt>
                      <c:pt idx="14">
                        <c:v>2033</c:v>
                      </c:pt>
                      <c:pt idx="15">
                        <c:v>2034</c:v>
                      </c:pt>
                      <c:pt idx="16">
                        <c:v>2035</c:v>
                      </c:pt>
                      <c:pt idx="17">
                        <c:v>2036</c:v>
                      </c:pt>
                      <c:pt idx="18">
                        <c:v>2037</c:v>
                      </c:pt>
                      <c:pt idx="19">
                        <c:v>2038</c:v>
                      </c:pt>
                      <c:pt idx="20">
                        <c:v>2039</c:v>
                      </c:pt>
                      <c:pt idx="21">
                        <c:v>2040</c:v>
                      </c:pt>
                      <c:pt idx="22">
                        <c:v>2041</c:v>
                      </c:pt>
                      <c:pt idx="23">
                        <c:v>2042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  <c:pt idx="31">
                        <c:v>2051</c:v>
                      </c:pt>
                      <c:pt idx="32">
                        <c:v>2052</c:v>
                      </c:pt>
                      <c:pt idx="33">
                        <c:v>2053</c:v>
                      </c:pt>
                      <c:pt idx="34">
                        <c:v>2054</c:v>
                      </c:pt>
                      <c:pt idx="35">
                        <c:v>2055</c:v>
                      </c:pt>
                      <c:pt idx="36">
                        <c:v>2056</c:v>
                      </c:pt>
                      <c:pt idx="37">
                        <c:v>2057</c:v>
                      </c:pt>
                      <c:pt idx="38">
                        <c:v>2058</c:v>
                      </c:pt>
                      <c:pt idx="39">
                        <c:v>2059</c:v>
                      </c:pt>
                      <c:pt idx="40">
                        <c:v>2060</c:v>
                      </c:pt>
                      <c:pt idx="41">
                        <c:v>2061</c:v>
                      </c:pt>
                      <c:pt idx="42">
                        <c:v>2062</c:v>
                      </c:pt>
                      <c:pt idx="43">
                        <c:v>2063</c:v>
                      </c:pt>
                      <c:pt idx="44">
                        <c:v>2064</c:v>
                      </c:pt>
                      <c:pt idx="45">
                        <c:v>2065</c:v>
                      </c:pt>
                      <c:pt idx="46">
                        <c:v>2066</c:v>
                      </c:pt>
                      <c:pt idx="47">
                        <c:v>2067</c:v>
                      </c:pt>
                      <c:pt idx="48">
                        <c:v>2068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'Scenario 1'!$B$51:$AX$51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49"/>
                      <c:pt idx="1">
                        <c:v>12811930.4409266</c:v>
                      </c:pt>
                      <c:pt idx="2">
                        <c:v>24015464.813689981</c:v>
                      </c:pt>
                      <c:pt idx="3">
                        <c:v>24399212.795614909</c:v>
                      </c:pt>
                      <c:pt idx="4">
                        <c:v>23634456.756879337</c:v>
                      </c:pt>
                      <c:pt idx="5">
                        <c:v>23865161.310801934</c:v>
                      </c:pt>
                      <c:pt idx="6">
                        <c:v>24306294.826883312</c:v>
                      </c:pt>
                      <c:pt idx="7">
                        <c:v>24965790.475091487</c:v>
                      </c:pt>
                      <c:pt idx="8">
                        <c:v>23994154.745493572</c:v>
                      </c:pt>
                      <c:pt idx="9">
                        <c:v>25275772.89397119</c:v>
                      </c:pt>
                      <c:pt idx="10">
                        <c:v>26131056.095991936</c:v>
                      </c:pt>
                      <c:pt idx="11">
                        <c:v>26028841.090108141</c:v>
                      </c:pt>
                      <c:pt idx="12">
                        <c:v>24812903.904887941</c:v>
                      </c:pt>
                      <c:pt idx="13">
                        <c:v>23616537.393727422</c:v>
                      </c:pt>
                      <c:pt idx="14">
                        <c:v>24612433.532655373</c:v>
                      </c:pt>
                      <c:pt idx="15">
                        <c:v>24379856.166602965</c:v>
                      </c:pt>
                      <c:pt idx="16">
                        <c:v>21803379.846335806</c:v>
                      </c:pt>
                      <c:pt idx="17">
                        <c:v>21442106.062659975</c:v>
                      </c:pt>
                      <c:pt idx="18">
                        <c:v>20081363.340709705</c:v>
                      </c:pt>
                      <c:pt idx="19">
                        <c:v>19383929.508583747</c:v>
                      </c:pt>
                      <c:pt idx="20">
                        <c:v>18667866.439330954</c:v>
                      </c:pt>
                      <c:pt idx="21">
                        <c:v>17692594.477474216</c:v>
                      </c:pt>
                      <c:pt idx="22">
                        <c:v>16999603.411349051</c:v>
                      </c:pt>
                      <c:pt idx="23">
                        <c:v>16285493.029040147</c:v>
                      </c:pt>
                      <c:pt idx="24">
                        <c:v>14870769.959598551</c:v>
                      </c:pt>
                      <c:pt idx="25">
                        <c:v>14451799.545705659</c:v>
                      </c:pt>
                      <c:pt idx="26">
                        <c:v>14026295.149741191</c:v>
                      </c:pt>
                      <c:pt idx="27">
                        <c:v>13562324.99235208</c:v>
                      </c:pt>
                      <c:pt idx="28">
                        <c:v>13071137.036764193</c:v>
                      </c:pt>
                      <c:pt idx="29">
                        <c:v>12596956.989343783</c:v>
                      </c:pt>
                      <c:pt idx="30">
                        <c:v>11804347.317637244</c:v>
                      </c:pt>
                      <c:pt idx="31">
                        <c:v>11123261.692925638</c:v>
                      </c:pt>
                      <c:pt idx="32">
                        <c:v>10481473.253878476</c:v>
                      </c:pt>
                      <c:pt idx="33">
                        <c:v>9876714.6368264724</c:v>
                      </c:pt>
                      <c:pt idx="34">
                        <c:v>9306849.3001406919</c:v>
                      </c:pt>
                      <c:pt idx="35">
                        <c:v>8769863.9760802761</c:v>
                      </c:pt>
                      <c:pt idx="36">
                        <c:v>8263861.5581524372</c:v>
                      </c:pt>
                      <c:pt idx="37">
                        <c:v>7787054.3988565616</c:v>
                      </c:pt>
                      <c:pt idx="38">
                        <c:v>7337757.9941341998</c:v>
                      </c:pt>
                      <c:pt idx="39">
                        <c:v>6914385.0322127594</c:v>
                      </c:pt>
                      <c:pt idx="40">
                        <c:v>6515439.7858182443</c:v>
                      </c:pt>
                      <c:pt idx="41">
                        <c:v>6139512.8279453134</c:v>
                      </c:pt>
                      <c:pt idx="42">
                        <c:v>5785276.0525161196</c:v>
                      </c:pt>
                      <c:pt idx="43">
                        <c:v>5451477.9823365202</c:v>
                      </c:pt>
                      <c:pt idx="44">
                        <c:v>5136939.3477731636</c:v>
                      </c:pt>
                      <c:pt idx="45">
                        <c:v>4840548.9205314796</c:v>
                      </c:pt>
                      <c:pt idx="46">
                        <c:v>4561259.5878157783</c:v>
                      </c:pt>
                      <c:pt idx="47">
                        <c:v>4298084.6530019213</c:v>
                      </c:pt>
                      <c:pt idx="48">
                        <c:v>3262386.3164512152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571-49BF-8DFB-7EDE5E84342B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'Scenario 1'!$A$52</c15:sqref>
                        </c15:formulaRef>
                      </c:ext>
                    </c:extLst>
                    <c:strCache>
                      <c:ptCount val="1"/>
                      <c:pt idx="0">
                        <c:v>Accum EDIT Amort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'Scenario 1'!$B$50:$AX$50</c15:sqref>
                        </c15:formulaRef>
                      </c:ext>
                    </c:extLst>
                    <c:strCache>
                      <c:ptCount val="49"/>
                      <c:pt idx="1">
                        <c:v>Jul - Dec 2020</c:v>
                      </c:pt>
                      <c:pt idx="2">
                        <c:v>2021</c:v>
                      </c:pt>
                      <c:pt idx="3">
                        <c:v>2022</c:v>
                      </c:pt>
                      <c:pt idx="4">
                        <c:v>2023</c:v>
                      </c:pt>
                      <c:pt idx="5">
                        <c:v>2024</c:v>
                      </c:pt>
                      <c:pt idx="6">
                        <c:v>2025</c:v>
                      </c:pt>
                      <c:pt idx="7">
                        <c:v>2026</c:v>
                      </c:pt>
                      <c:pt idx="8">
                        <c:v>2027</c:v>
                      </c:pt>
                      <c:pt idx="9">
                        <c:v>2028</c:v>
                      </c:pt>
                      <c:pt idx="10">
                        <c:v>2029</c:v>
                      </c:pt>
                      <c:pt idx="11">
                        <c:v>2030</c:v>
                      </c:pt>
                      <c:pt idx="12">
                        <c:v>2031</c:v>
                      </c:pt>
                      <c:pt idx="13">
                        <c:v>2032</c:v>
                      </c:pt>
                      <c:pt idx="14">
                        <c:v>2033</c:v>
                      </c:pt>
                      <c:pt idx="15">
                        <c:v>2034</c:v>
                      </c:pt>
                      <c:pt idx="16">
                        <c:v>2035</c:v>
                      </c:pt>
                      <c:pt idx="17">
                        <c:v>2036</c:v>
                      </c:pt>
                      <c:pt idx="18">
                        <c:v>2037</c:v>
                      </c:pt>
                      <c:pt idx="19">
                        <c:v>2038</c:v>
                      </c:pt>
                      <c:pt idx="20">
                        <c:v>2039</c:v>
                      </c:pt>
                      <c:pt idx="21">
                        <c:v>2040</c:v>
                      </c:pt>
                      <c:pt idx="22">
                        <c:v>2041</c:v>
                      </c:pt>
                      <c:pt idx="23">
                        <c:v>2042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  <c:pt idx="31">
                        <c:v>2051</c:v>
                      </c:pt>
                      <c:pt idx="32">
                        <c:v>2052</c:v>
                      </c:pt>
                      <c:pt idx="33">
                        <c:v>2053</c:v>
                      </c:pt>
                      <c:pt idx="34">
                        <c:v>2054</c:v>
                      </c:pt>
                      <c:pt idx="35">
                        <c:v>2055</c:v>
                      </c:pt>
                      <c:pt idx="36">
                        <c:v>2056</c:v>
                      </c:pt>
                      <c:pt idx="37">
                        <c:v>2057</c:v>
                      </c:pt>
                      <c:pt idx="38">
                        <c:v>2058</c:v>
                      </c:pt>
                      <c:pt idx="39">
                        <c:v>2059</c:v>
                      </c:pt>
                      <c:pt idx="40">
                        <c:v>2060</c:v>
                      </c:pt>
                      <c:pt idx="41">
                        <c:v>2061</c:v>
                      </c:pt>
                      <c:pt idx="42">
                        <c:v>2062</c:v>
                      </c:pt>
                      <c:pt idx="43">
                        <c:v>2063</c:v>
                      </c:pt>
                      <c:pt idx="44">
                        <c:v>2064</c:v>
                      </c:pt>
                      <c:pt idx="45">
                        <c:v>2065</c:v>
                      </c:pt>
                      <c:pt idx="46">
                        <c:v>2066</c:v>
                      </c:pt>
                      <c:pt idx="47">
                        <c:v>2067</c:v>
                      </c:pt>
                      <c:pt idx="48">
                        <c:v>2068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'Scenario 1'!$B$52:$AX$52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49"/>
                      <c:pt idx="1">
                        <c:v>12811930.4409266</c:v>
                      </c:pt>
                      <c:pt idx="2">
                        <c:v>36827395.254616581</c:v>
                      </c:pt>
                      <c:pt idx="3">
                        <c:v>61226608.050231487</c:v>
                      </c:pt>
                      <c:pt idx="4">
                        <c:v>84861064.807110816</c:v>
                      </c:pt>
                      <c:pt idx="5">
                        <c:v>108726226.11791275</c:v>
                      </c:pt>
                      <c:pt idx="6">
                        <c:v>133032520.94479607</c:v>
                      </c:pt>
                      <c:pt idx="7">
                        <c:v>157998311.41988754</c:v>
                      </c:pt>
                      <c:pt idx="8">
                        <c:v>181992466.1653811</c:v>
                      </c:pt>
                      <c:pt idx="9">
                        <c:v>207268239.05935228</c:v>
                      </c:pt>
                      <c:pt idx="10">
                        <c:v>233399295.15534422</c:v>
                      </c:pt>
                      <c:pt idx="11">
                        <c:v>259428136.24545234</c:v>
                      </c:pt>
                      <c:pt idx="12">
                        <c:v>284241040.15034026</c:v>
                      </c:pt>
                      <c:pt idx="13">
                        <c:v>307857577.54406768</c:v>
                      </c:pt>
                      <c:pt idx="14">
                        <c:v>332470011.07672304</c:v>
                      </c:pt>
                      <c:pt idx="15">
                        <c:v>356849867.24332601</c:v>
                      </c:pt>
                      <c:pt idx="16">
                        <c:v>378653247.08966184</c:v>
                      </c:pt>
                      <c:pt idx="17">
                        <c:v>400095353.15232182</c:v>
                      </c:pt>
                      <c:pt idx="18">
                        <c:v>420176716.4930315</c:v>
                      </c:pt>
                      <c:pt idx="19">
                        <c:v>439560646.00161523</c:v>
                      </c:pt>
                      <c:pt idx="20">
                        <c:v>458228512.44094616</c:v>
                      </c:pt>
                      <c:pt idx="21">
                        <c:v>475921106.91842037</c:v>
                      </c:pt>
                      <c:pt idx="22">
                        <c:v>492920710.32976943</c:v>
                      </c:pt>
                      <c:pt idx="23">
                        <c:v>509206203.35880959</c:v>
                      </c:pt>
                      <c:pt idx="24">
                        <c:v>524076973.31840813</c:v>
                      </c:pt>
                      <c:pt idx="25">
                        <c:v>538528772.86411381</c:v>
                      </c:pt>
                      <c:pt idx="26">
                        <c:v>552555068.01385498</c:v>
                      </c:pt>
                      <c:pt idx="27">
                        <c:v>566117393.00620711</c:v>
                      </c:pt>
                      <c:pt idx="28">
                        <c:v>579188530.04297125</c:v>
                      </c:pt>
                      <c:pt idx="29">
                        <c:v>591785487.03231502</c:v>
                      </c:pt>
                      <c:pt idx="30">
                        <c:v>603589834.34995222</c:v>
                      </c:pt>
                      <c:pt idx="31">
                        <c:v>614713096.04287791</c:v>
                      </c:pt>
                      <c:pt idx="32">
                        <c:v>625194569.29675639</c:v>
                      </c:pt>
                      <c:pt idx="33">
                        <c:v>635071283.9335829</c:v>
                      </c:pt>
                      <c:pt idx="34">
                        <c:v>644378133.23372364</c:v>
                      </c:pt>
                      <c:pt idx="35">
                        <c:v>653147997.20980394</c:v>
                      </c:pt>
                      <c:pt idx="36">
                        <c:v>661411858.76795638</c:v>
                      </c:pt>
                      <c:pt idx="37">
                        <c:v>669198913.1668129</c:v>
                      </c:pt>
                      <c:pt idx="38">
                        <c:v>676536671.16094708</c:v>
                      </c:pt>
                      <c:pt idx="39">
                        <c:v>683451056.19315982</c:v>
                      </c:pt>
                      <c:pt idx="40">
                        <c:v>689966495.97897804</c:v>
                      </c:pt>
                      <c:pt idx="41">
                        <c:v>696106008.80692339</c:v>
                      </c:pt>
                      <c:pt idx="42">
                        <c:v>701891284.85943949</c:v>
                      </c:pt>
                      <c:pt idx="43">
                        <c:v>707342762.84177601</c:v>
                      </c:pt>
                      <c:pt idx="44">
                        <c:v>712479702.18954921</c:v>
                      </c:pt>
                      <c:pt idx="45">
                        <c:v>717320251.11008072</c:v>
                      </c:pt>
                      <c:pt idx="46">
                        <c:v>721881510.69789648</c:v>
                      </c:pt>
                      <c:pt idx="47">
                        <c:v>726179595.35089839</c:v>
                      </c:pt>
                      <c:pt idx="48">
                        <c:v>729441981.66734958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571-49BF-8DFB-7EDE5E84342B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'Scenario 1'!$A$53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'Scenario 1'!$B$50:$AX$50</c15:sqref>
                        </c15:formulaRef>
                      </c:ext>
                    </c:extLst>
                    <c:strCache>
                      <c:ptCount val="49"/>
                      <c:pt idx="1">
                        <c:v>Jul - Dec 2020</c:v>
                      </c:pt>
                      <c:pt idx="2">
                        <c:v>2021</c:v>
                      </c:pt>
                      <c:pt idx="3">
                        <c:v>2022</c:v>
                      </c:pt>
                      <c:pt idx="4">
                        <c:v>2023</c:v>
                      </c:pt>
                      <c:pt idx="5">
                        <c:v>2024</c:v>
                      </c:pt>
                      <c:pt idx="6">
                        <c:v>2025</c:v>
                      </c:pt>
                      <c:pt idx="7">
                        <c:v>2026</c:v>
                      </c:pt>
                      <c:pt idx="8">
                        <c:v>2027</c:v>
                      </c:pt>
                      <c:pt idx="9">
                        <c:v>2028</c:v>
                      </c:pt>
                      <c:pt idx="10">
                        <c:v>2029</c:v>
                      </c:pt>
                      <c:pt idx="11">
                        <c:v>2030</c:v>
                      </c:pt>
                      <c:pt idx="12">
                        <c:v>2031</c:v>
                      </c:pt>
                      <c:pt idx="13">
                        <c:v>2032</c:v>
                      </c:pt>
                      <c:pt idx="14">
                        <c:v>2033</c:v>
                      </c:pt>
                      <c:pt idx="15">
                        <c:v>2034</c:v>
                      </c:pt>
                      <c:pt idx="16">
                        <c:v>2035</c:v>
                      </c:pt>
                      <c:pt idx="17">
                        <c:v>2036</c:v>
                      </c:pt>
                      <c:pt idx="18">
                        <c:v>2037</c:v>
                      </c:pt>
                      <c:pt idx="19">
                        <c:v>2038</c:v>
                      </c:pt>
                      <c:pt idx="20">
                        <c:v>2039</c:v>
                      </c:pt>
                      <c:pt idx="21">
                        <c:v>2040</c:v>
                      </c:pt>
                      <c:pt idx="22">
                        <c:v>2041</c:v>
                      </c:pt>
                      <c:pt idx="23">
                        <c:v>2042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  <c:pt idx="31">
                        <c:v>2051</c:v>
                      </c:pt>
                      <c:pt idx="32">
                        <c:v>2052</c:v>
                      </c:pt>
                      <c:pt idx="33">
                        <c:v>2053</c:v>
                      </c:pt>
                      <c:pt idx="34">
                        <c:v>2054</c:v>
                      </c:pt>
                      <c:pt idx="35">
                        <c:v>2055</c:v>
                      </c:pt>
                      <c:pt idx="36">
                        <c:v>2056</c:v>
                      </c:pt>
                      <c:pt idx="37">
                        <c:v>2057</c:v>
                      </c:pt>
                      <c:pt idx="38">
                        <c:v>2058</c:v>
                      </c:pt>
                      <c:pt idx="39">
                        <c:v>2059</c:v>
                      </c:pt>
                      <c:pt idx="40">
                        <c:v>2060</c:v>
                      </c:pt>
                      <c:pt idx="41">
                        <c:v>2061</c:v>
                      </c:pt>
                      <c:pt idx="42">
                        <c:v>2062</c:v>
                      </c:pt>
                      <c:pt idx="43">
                        <c:v>2063</c:v>
                      </c:pt>
                      <c:pt idx="44">
                        <c:v>2064</c:v>
                      </c:pt>
                      <c:pt idx="45">
                        <c:v>2065</c:v>
                      </c:pt>
                      <c:pt idx="46">
                        <c:v>2066</c:v>
                      </c:pt>
                      <c:pt idx="47">
                        <c:v>2067</c:v>
                      </c:pt>
                      <c:pt idx="48">
                        <c:v>2068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'Scenario 1'!$B$53:$AX$53</c15:sqref>
                        </c15:formulaRef>
                      </c:ext>
                    </c:extLst>
                    <c:numCache>
                      <c:formatCode>General</c:formatCode>
                      <c:ptCount val="4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571-49BF-8DFB-7EDE5E84342B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4"/>
          <c:order val="4"/>
          <c:tx>
            <c:strRef>
              <c:f>'Scenario 1'!$A$56</c:f>
              <c:strCache>
                <c:ptCount val="1"/>
                <c:pt idx="0">
                  <c:v>Tax Adjusted Accum Edit Amort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'Scenario 1'!$B$50:$AX$50</c:f>
              <c:strCache>
                <c:ptCount val="49"/>
                <c:pt idx="1">
                  <c:v>Jul - Dec 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  <c:pt idx="20">
                  <c:v>2039</c:v>
                </c:pt>
                <c:pt idx="21">
                  <c:v>2040</c:v>
                </c:pt>
                <c:pt idx="22">
                  <c:v>2041</c:v>
                </c:pt>
                <c:pt idx="23">
                  <c:v>2042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</c:strCache>
            </c:strRef>
          </c:cat>
          <c:val>
            <c:numRef>
              <c:f>'Scenario 1'!$B$56:$AX$56</c:f>
              <c:numCache>
                <c:formatCode>_(* #,##0_);_(* \(#,##0\);_(* "-"??_);_(@_)</c:formatCode>
                <c:ptCount val="49"/>
                <c:pt idx="1">
                  <c:v>16217633.469527341</c:v>
                </c:pt>
                <c:pt idx="2">
                  <c:v>46616956.018501997</c:v>
                </c:pt>
                <c:pt idx="3">
                  <c:v>77502035.506622136</c:v>
                </c:pt>
                <c:pt idx="4">
                  <c:v>107419069.37608965</c:v>
                </c:pt>
                <c:pt idx="5">
                  <c:v>137628134.32647184</c:v>
                </c:pt>
                <c:pt idx="6">
                  <c:v>168395596.13265324</c:v>
                </c:pt>
                <c:pt idx="7">
                  <c:v>199997862.55681968</c:v>
                </c:pt>
                <c:pt idx="8">
                  <c:v>230370210.33592546</c:v>
                </c:pt>
                <c:pt idx="9">
                  <c:v>262364859.56880039</c:v>
                </c:pt>
                <c:pt idx="10">
                  <c:v>295442145.76625854</c:v>
                </c:pt>
                <c:pt idx="11">
                  <c:v>328390045.88031948</c:v>
                </c:pt>
                <c:pt idx="12">
                  <c:v>359798785.00043082</c:v>
                </c:pt>
                <c:pt idx="13">
                  <c:v>389693136.13173133</c:v>
                </c:pt>
                <c:pt idx="14">
                  <c:v>420848115.2869913</c:v>
                </c:pt>
                <c:pt idx="15">
                  <c:v>451708692.71307099</c:v>
                </c:pt>
                <c:pt idx="16">
                  <c:v>479307907.70843279</c:v>
                </c:pt>
                <c:pt idx="17">
                  <c:v>506449814.11686313</c:v>
                </c:pt>
                <c:pt idx="18">
                  <c:v>531869261.38358426</c:v>
                </c:pt>
                <c:pt idx="19">
                  <c:v>556405881.01470292</c:v>
                </c:pt>
                <c:pt idx="20">
                  <c:v>580036091.69740033</c:v>
                </c:pt>
                <c:pt idx="21">
                  <c:v>602431780.90939295</c:v>
                </c:pt>
                <c:pt idx="22">
                  <c:v>623950266.24021459</c:v>
                </c:pt>
                <c:pt idx="23">
                  <c:v>644564814.37824011</c:v>
                </c:pt>
                <c:pt idx="24">
                  <c:v>663388573.82076991</c:v>
                </c:pt>
                <c:pt idx="25">
                  <c:v>681681990.9672327</c:v>
                </c:pt>
                <c:pt idx="26">
                  <c:v>699436794.95424688</c:v>
                </c:pt>
                <c:pt idx="27">
                  <c:v>716604294.94456601</c:v>
                </c:pt>
                <c:pt idx="28">
                  <c:v>733150038.02907765</c:v>
                </c:pt>
                <c:pt idx="29">
                  <c:v>749095553.20546222</c:v>
                </c:pt>
                <c:pt idx="30">
                  <c:v>764037764.9999398</c:v>
                </c:pt>
                <c:pt idx="31">
                  <c:v>778117843.0922507</c:v>
                </c:pt>
                <c:pt idx="32">
                  <c:v>791385530.75538802</c:v>
                </c:pt>
                <c:pt idx="33">
                  <c:v>803887701.18175066</c:v>
                </c:pt>
                <c:pt idx="34">
                  <c:v>815668523.08066297</c:v>
                </c:pt>
                <c:pt idx="35">
                  <c:v>826769616.72127092</c:v>
                </c:pt>
                <c:pt idx="36">
                  <c:v>837230200.9720968</c:v>
                </c:pt>
                <c:pt idx="37">
                  <c:v>847087231.85672534</c:v>
                </c:pt>
                <c:pt idx="38">
                  <c:v>856375533.11512303</c:v>
                </c:pt>
                <c:pt idx="39">
                  <c:v>865127919.231848</c:v>
                </c:pt>
                <c:pt idx="40">
                  <c:v>873375311.36579514</c:v>
                </c:pt>
                <c:pt idx="41">
                  <c:v>881146846.5910424</c:v>
                </c:pt>
                <c:pt idx="42">
                  <c:v>888469980.83473372</c:v>
                </c:pt>
                <c:pt idx="43">
                  <c:v>895370585.87566602</c:v>
                </c:pt>
                <c:pt idx="44">
                  <c:v>901873040.74626493</c:v>
                </c:pt>
                <c:pt idx="45">
                  <c:v>908000317.86086178</c:v>
                </c:pt>
                <c:pt idx="46">
                  <c:v>913774064.17455268</c:v>
                </c:pt>
                <c:pt idx="47">
                  <c:v>919214677.6593653</c:v>
                </c:pt>
                <c:pt idx="48">
                  <c:v>923344280.59158206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571-49BF-8DFB-7EDE5E843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5837632"/>
        <c:axId val="725840256"/>
      </c:lineChart>
      <c:catAx>
        <c:axId val="72583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5840256"/>
        <c:crosses val="autoZero"/>
        <c:auto val="1"/>
        <c:lblAlgn val="ctr"/>
        <c:lblOffset val="100"/>
        <c:noMultiLvlLbl val="0"/>
      </c:catAx>
      <c:valAx>
        <c:axId val="725840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5837632"/>
        <c:crosses val="autoZero"/>
        <c:crossBetween val="between"/>
      </c:valAx>
      <c:valAx>
        <c:axId val="739813840"/>
        <c:scaling>
          <c:orientation val="minMax"/>
        </c:scaling>
        <c:delete val="0"/>
        <c:axPos val="r"/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811872"/>
        <c:crosses val="max"/>
        <c:crossBetween val="between"/>
      </c:valAx>
      <c:catAx>
        <c:axId val="739811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98138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Tax Adjusted EDIT Amortization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'Scenario 1'!$A$55</c:f>
              <c:strCache>
                <c:ptCount val="1"/>
                <c:pt idx="0">
                  <c:v>Tax Adjusted EDIT Amort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'Scenario 1'!$B$50:$AX$50</c:f>
              <c:strCache>
                <c:ptCount val="49"/>
                <c:pt idx="1">
                  <c:v>Jul - Dec 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  <c:pt idx="20">
                  <c:v>2039</c:v>
                </c:pt>
                <c:pt idx="21">
                  <c:v>2040</c:v>
                </c:pt>
                <c:pt idx="22">
                  <c:v>2041</c:v>
                </c:pt>
                <c:pt idx="23">
                  <c:v>2042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</c:strCache>
            </c:strRef>
          </c:cat>
          <c:val>
            <c:numRef>
              <c:f>'Scenario 1'!$B$55:$AX$55</c:f>
              <c:numCache>
                <c:formatCode>_(* #,##0_);_(* \(#,##0\);_(* "-"??_);_(@_)</c:formatCode>
                <c:ptCount val="49"/>
                <c:pt idx="1">
                  <c:v>16217633.469527341</c:v>
                </c:pt>
                <c:pt idx="2">
                  <c:v>30399322.548974659</c:v>
                </c:pt>
                <c:pt idx="3">
                  <c:v>30885079.488120139</c:v>
                </c:pt>
                <c:pt idx="4">
                  <c:v>29917033.869467515</c:v>
                </c:pt>
                <c:pt idx="5">
                  <c:v>30209064.950382195</c:v>
                </c:pt>
                <c:pt idx="6">
                  <c:v>30767461.806181408</c:v>
                </c:pt>
                <c:pt idx="7">
                  <c:v>31602266.424166437</c:v>
                </c:pt>
                <c:pt idx="8">
                  <c:v>30372347.779105786</c:v>
                </c:pt>
                <c:pt idx="9">
                  <c:v>31994649.232874922</c:v>
                </c:pt>
                <c:pt idx="10">
                  <c:v>33077286.197458144</c:v>
                </c:pt>
                <c:pt idx="11">
                  <c:v>32947900.114060938</c:v>
                </c:pt>
                <c:pt idx="12">
                  <c:v>31408739.120111316</c:v>
                </c:pt>
                <c:pt idx="13">
                  <c:v>29894351.131300531</c:v>
                </c:pt>
                <c:pt idx="14">
                  <c:v>31154979.155259963</c:v>
                </c:pt>
                <c:pt idx="15">
                  <c:v>30860577.426079702</c:v>
                </c:pt>
                <c:pt idx="16">
                  <c:v>27599214.995361779</c:v>
                </c:pt>
                <c:pt idx="17">
                  <c:v>27141906.408430345</c:v>
                </c:pt>
                <c:pt idx="18">
                  <c:v>25419447.266721144</c:v>
                </c:pt>
                <c:pt idx="19">
                  <c:v>24536619.631118666</c:v>
                </c:pt>
                <c:pt idx="20">
                  <c:v>23630210.682697408</c:v>
                </c:pt>
                <c:pt idx="21">
                  <c:v>22395689.211992677</c:v>
                </c:pt>
                <c:pt idx="22">
                  <c:v>21518485.330821581</c:v>
                </c:pt>
                <c:pt idx="23">
                  <c:v>20614548.1380255</c:v>
                </c:pt>
                <c:pt idx="24">
                  <c:v>18823759.442529809</c:v>
                </c:pt>
                <c:pt idx="25">
                  <c:v>18293417.146462858</c:v>
                </c:pt>
                <c:pt idx="26">
                  <c:v>17754803.987014167</c:v>
                </c:pt>
                <c:pt idx="27">
                  <c:v>17167499.990319088</c:v>
                </c:pt>
                <c:pt idx="28">
                  <c:v>16545743.084511636</c:v>
                </c:pt>
                <c:pt idx="29">
                  <c:v>15945515.176384535</c:v>
                </c:pt>
                <c:pt idx="30">
                  <c:v>14942211.794477524</c:v>
                </c:pt>
                <c:pt idx="31">
                  <c:v>14080078.092310933</c:v>
                </c:pt>
                <c:pt idx="32">
                  <c:v>13267687.663137311</c:v>
                </c:pt>
                <c:pt idx="33">
                  <c:v>12502170.426362623</c:v>
                </c:pt>
                <c:pt idx="34">
                  <c:v>11780821.898912268</c:v>
                </c:pt>
                <c:pt idx="35">
                  <c:v>11101093.640607944</c:v>
                </c:pt>
                <c:pt idx="36">
                  <c:v>10460584.250825869</c:v>
                </c:pt>
                <c:pt idx="37">
                  <c:v>9857030.8846285585</c:v>
                </c:pt>
                <c:pt idx="38">
                  <c:v>9288301.2583977208</c:v>
                </c:pt>
                <c:pt idx="39">
                  <c:v>8752386.1167250108</c:v>
                </c:pt>
                <c:pt idx="40">
                  <c:v>8247392.1339471443</c:v>
                </c:pt>
                <c:pt idx="41">
                  <c:v>7771535.2252472322</c:v>
                </c:pt>
                <c:pt idx="42">
                  <c:v>7323134.2436912898</c:v>
                </c:pt>
                <c:pt idx="43">
                  <c:v>6900605.0409323042</c:v>
                </c:pt>
                <c:pt idx="44">
                  <c:v>6502454.8705989411</c:v>
                </c:pt>
                <c:pt idx="45">
                  <c:v>6127277.1145968093</c:v>
                </c:pt>
                <c:pt idx="46">
                  <c:v>5773746.313690858</c:v>
                </c:pt>
                <c:pt idx="47">
                  <c:v>5440613.4848125586</c:v>
                </c:pt>
                <c:pt idx="48">
                  <c:v>4129602.9322167281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63-4490-AA70-BBBC51EC9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9811872"/>
        <c:axId val="73981384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'Scenario 1'!$A$51</c15:sqref>
                        </c15:formulaRef>
                      </c:ext>
                    </c:extLst>
                    <c:strCache>
                      <c:ptCount val="1"/>
                      <c:pt idx="0">
                        <c:v>EDIT Amort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'Scenario 1'!$B$50:$AX$50</c15:sqref>
                        </c15:formulaRef>
                      </c:ext>
                    </c:extLst>
                    <c:strCache>
                      <c:ptCount val="49"/>
                      <c:pt idx="1">
                        <c:v>Jul - Dec 2020</c:v>
                      </c:pt>
                      <c:pt idx="2">
                        <c:v>2021</c:v>
                      </c:pt>
                      <c:pt idx="3">
                        <c:v>2022</c:v>
                      </c:pt>
                      <c:pt idx="4">
                        <c:v>2023</c:v>
                      </c:pt>
                      <c:pt idx="5">
                        <c:v>2024</c:v>
                      </c:pt>
                      <c:pt idx="6">
                        <c:v>2025</c:v>
                      </c:pt>
                      <c:pt idx="7">
                        <c:v>2026</c:v>
                      </c:pt>
                      <c:pt idx="8">
                        <c:v>2027</c:v>
                      </c:pt>
                      <c:pt idx="9">
                        <c:v>2028</c:v>
                      </c:pt>
                      <c:pt idx="10">
                        <c:v>2029</c:v>
                      </c:pt>
                      <c:pt idx="11">
                        <c:v>2030</c:v>
                      </c:pt>
                      <c:pt idx="12">
                        <c:v>2031</c:v>
                      </c:pt>
                      <c:pt idx="13">
                        <c:v>2032</c:v>
                      </c:pt>
                      <c:pt idx="14">
                        <c:v>2033</c:v>
                      </c:pt>
                      <c:pt idx="15">
                        <c:v>2034</c:v>
                      </c:pt>
                      <c:pt idx="16">
                        <c:v>2035</c:v>
                      </c:pt>
                      <c:pt idx="17">
                        <c:v>2036</c:v>
                      </c:pt>
                      <c:pt idx="18">
                        <c:v>2037</c:v>
                      </c:pt>
                      <c:pt idx="19">
                        <c:v>2038</c:v>
                      </c:pt>
                      <c:pt idx="20">
                        <c:v>2039</c:v>
                      </c:pt>
                      <c:pt idx="21">
                        <c:v>2040</c:v>
                      </c:pt>
                      <c:pt idx="22">
                        <c:v>2041</c:v>
                      </c:pt>
                      <c:pt idx="23">
                        <c:v>2042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  <c:pt idx="31">
                        <c:v>2051</c:v>
                      </c:pt>
                      <c:pt idx="32">
                        <c:v>2052</c:v>
                      </c:pt>
                      <c:pt idx="33">
                        <c:v>2053</c:v>
                      </c:pt>
                      <c:pt idx="34">
                        <c:v>2054</c:v>
                      </c:pt>
                      <c:pt idx="35">
                        <c:v>2055</c:v>
                      </c:pt>
                      <c:pt idx="36">
                        <c:v>2056</c:v>
                      </c:pt>
                      <c:pt idx="37">
                        <c:v>2057</c:v>
                      </c:pt>
                      <c:pt idx="38">
                        <c:v>2058</c:v>
                      </c:pt>
                      <c:pt idx="39">
                        <c:v>2059</c:v>
                      </c:pt>
                      <c:pt idx="40">
                        <c:v>2060</c:v>
                      </c:pt>
                      <c:pt idx="41">
                        <c:v>2061</c:v>
                      </c:pt>
                      <c:pt idx="42">
                        <c:v>2062</c:v>
                      </c:pt>
                      <c:pt idx="43">
                        <c:v>2063</c:v>
                      </c:pt>
                      <c:pt idx="44">
                        <c:v>2064</c:v>
                      </c:pt>
                      <c:pt idx="45">
                        <c:v>2065</c:v>
                      </c:pt>
                      <c:pt idx="46">
                        <c:v>2066</c:v>
                      </c:pt>
                      <c:pt idx="47">
                        <c:v>2067</c:v>
                      </c:pt>
                      <c:pt idx="48">
                        <c:v>2068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'Scenario 1'!$B$51:$AX$51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49"/>
                      <c:pt idx="1">
                        <c:v>12811930.4409266</c:v>
                      </c:pt>
                      <c:pt idx="2">
                        <c:v>24015464.813689981</c:v>
                      </c:pt>
                      <c:pt idx="3">
                        <c:v>24399212.795614909</c:v>
                      </c:pt>
                      <c:pt idx="4">
                        <c:v>23634456.756879337</c:v>
                      </c:pt>
                      <c:pt idx="5">
                        <c:v>23865161.310801934</c:v>
                      </c:pt>
                      <c:pt idx="6">
                        <c:v>24306294.826883312</c:v>
                      </c:pt>
                      <c:pt idx="7">
                        <c:v>24965790.475091487</c:v>
                      </c:pt>
                      <c:pt idx="8">
                        <c:v>23994154.745493572</c:v>
                      </c:pt>
                      <c:pt idx="9">
                        <c:v>25275772.89397119</c:v>
                      </c:pt>
                      <c:pt idx="10">
                        <c:v>26131056.095991936</c:v>
                      </c:pt>
                      <c:pt idx="11">
                        <c:v>26028841.090108141</c:v>
                      </c:pt>
                      <c:pt idx="12">
                        <c:v>24812903.904887941</c:v>
                      </c:pt>
                      <c:pt idx="13">
                        <c:v>23616537.393727422</c:v>
                      </c:pt>
                      <c:pt idx="14">
                        <c:v>24612433.532655373</c:v>
                      </c:pt>
                      <c:pt idx="15">
                        <c:v>24379856.166602965</c:v>
                      </c:pt>
                      <c:pt idx="16">
                        <c:v>21803379.846335806</c:v>
                      </c:pt>
                      <c:pt idx="17">
                        <c:v>21442106.062659975</c:v>
                      </c:pt>
                      <c:pt idx="18">
                        <c:v>20081363.340709705</c:v>
                      </c:pt>
                      <c:pt idx="19">
                        <c:v>19383929.508583747</c:v>
                      </c:pt>
                      <c:pt idx="20">
                        <c:v>18667866.439330954</c:v>
                      </c:pt>
                      <c:pt idx="21">
                        <c:v>17692594.477474216</c:v>
                      </c:pt>
                      <c:pt idx="22">
                        <c:v>16999603.411349051</c:v>
                      </c:pt>
                      <c:pt idx="23">
                        <c:v>16285493.029040147</c:v>
                      </c:pt>
                      <c:pt idx="24">
                        <c:v>14870769.959598551</c:v>
                      </c:pt>
                      <c:pt idx="25">
                        <c:v>14451799.545705659</c:v>
                      </c:pt>
                      <c:pt idx="26">
                        <c:v>14026295.149741191</c:v>
                      </c:pt>
                      <c:pt idx="27">
                        <c:v>13562324.99235208</c:v>
                      </c:pt>
                      <c:pt idx="28">
                        <c:v>13071137.036764193</c:v>
                      </c:pt>
                      <c:pt idx="29">
                        <c:v>12596956.989343783</c:v>
                      </c:pt>
                      <c:pt idx="30">
                        <c:v>11804347.317637244</c:v>
                      </c:pt>
                      <c:pt idx="31">
                        <c:v>11123261.692925638</c:v>
                      </c:pt>
                      <c:pt idx="32">
                        <c:v>10481473.253878476</c:v>
                      </c:pt>
                      <c:pt idx="33">
                        <c:v>9876714.6368264724</c:v>
                      </c:pt>
                      <c:pt idx="34">
                        <c:v>9306849.3001406919</c:v>
                      </c:pt>
                      <c:pt idx="35">
                        <c:v>8769863.9760802761</c:v>
                      </c:pt>
                      <c:pt idx="36">
                        <c:v>8263861.5581524372</c:v>
                      </c:pt>
                      <c:pt idx="37">
                        <c:v>7787054.3988565616</c:v>
                      </c:pt>
                      <c:pt idx="38">
                        <c:v>7337757.9941341998</c:v>
                      </c:pt>
                      <c:pt idx="39">
                        <c:v>6914385.0322127594</c:v>
                      </c:pt>
                      <c:pt idx="40">
                        <c:v>6515439.7858182443</c:v>
                      </c:pt>
                      <c:pt idx="41">
                        <c:v>6139512.8279453134</c:v>
                      </c:pt>
                      <c:pt idx="42">
                        <c:v>5785276.0525161196</c:v>
                      </c:pt>
                      <c:pt idx="43">
                        <c:v>5451477.9823365202</c:v>
                      </c:pt>
                      <c:pt idx="44">
                        <c:v>5136939.3477731636</c:v>
                      </c:pt>
                      <c:pt idx="45">
                        <c:v>4840548.9205314796</c:v>
                      </c:pt>
                      <c:pt idx="46">
                        <c:v>4561259.5878157783</c:v>
                      </c:pt>
                      <c:pt idx="47">
                        <c:v>4298084.6530019213</c:v>
                      </c:pt>
                      <c:pt idx="48">
                        <c:v>3262386.3164512152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FE63-4490-AA70-BBBC51EC98CE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'Scenario 1'!$A$52</c15:sqref>
                        </c15:formulaRef>
                      </c:ext>
                    </c:extLst>
                    <c:strCache>
                      <c:ptCount val="1"/>
                      <c:pt idx="0">
                        <c:v>Accum EDIT Amort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'Scenario 1'!$B$50:$AX$50</c15:sqref>
                        </c15:formulaRef>
                      </c:ext>
                    </c:extLst>
                    <c:strCache>
                      <c:ptCount val="49"/>
                      <c:pt idx="1">
                        <c:v>Jul - Dec 2020</c:v>
                      </c:pt>
                      <c:pt idx="2">
                        <c:v>2021</c:v>
                      </c:pt>
                      <c:pt idx="3">
                        <c:v>2022</c:v>
                      </c:pt>
                      <c:pt idx="4">
                        <c:v>2023</c:v>
                      </c:pt>
                      <c:pt idx="5">
                        <c:v>2024</c:v>
                      </c:pt>
                      <c:pt idx="6">
                        <c:v>2025</c:v>
                      </c:pt>
                      <c:pt idx="7">
                        <c:v>2026</c:v>
                      </c:pt>
                      <c:pt idx="8">
                        <c:v>2027</c:v>
                      </c:pt>
                      <c:pt idx="9">
                        <c:v>2028</c:v>
                      </c:pt>
                      <c:pt idx="10">
                        <c:v>2029</c:v>
                      </c:pt>
                      <c:pt idx="11">
                        <c:v>2030</c:v>
                      </c:pt>
                      <c:pt idx="12">
                        <c:v>2031</c:v>
                      </c:pt>
                      <c:pt idx="13">
                        <c:v>2032</c:v>
                      </c:pt>
                      <c:pt idx="14">
                        <c:v>2033</c:v>
                      </c:pt>
                      <c:pt idx="15">
                        <c:v>2034</c:v>
                      </c:pt>
                      <c:pt idx="16">
                        <c:v>2035</c:v>
                      </c:pt>
                      <c:pt idx="17">
                        <c:v>2036</c:v>
                      </c:pt>
                      <c:pt idx="18">
                        <c:v>2037</c:v>
                      </c:pt>
                      <c:pt idx="19">
                        <c:v>2038</c:v>
                      </c:pt>
                      <c:pt idx="20">
                        <c:v>2039</c:v>
                      </c:pt>
                      <c:pt idx="21">
                        <c:v>2040</c:v>
                      </c:pt>
                      <c:pt idx="22">
                        <c:v>2041</c:v>
                      </c:pt>
                      <c:pt idx="23">
                        <c:v>2042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  <c:pt idx="31">
                        <c:v>2051</c:v>
                      </c:pt>
                      <c:pt idx="32">
                        <c:v>2052</c:v>
                      </c:pt>
                      <c:pt idx="33">
                        <c:v>2053</c:v>
                      </c:pt>
                      <c:pt idx="34">
                        <c:v>2054</c:v>
                      </c:pt>
                      <c:pt idx="35">
                        <c:v>2055</c:v>
                      </c:pt>
                      <c:pt idx="36">
                        <c:v>2056</c:v>
                      </c:pt>
                      <c:pt idx="37">
                        <c:v>2057</c:v>
                      </c:pt>
                      <c:pt idx="38">
                        <c:v>2058</c:v>
                      </c:pt>
                      <c:pt idx="39">
                        <c:v>2059</c:v>
                      </c:pt>
                      <c:pt idx="40">
                        <c:v>2060</c:v>
                      </c:pt>
                      <c:pt idx="41">
                        <c:v>2061</c:v>
                      </c:pt>
                      <c:pt idx="42">
                        <c:v>2062</c:v>
                      </c:pt>
                      <c:pt idx="43">
                        <c:v>2063</c:v>
                      </c:pt>
                      <c:pt idx="44">
                        <c:v>2064</c:v>
                      </c:pt>
                      <c:pt idx="45">
                        <c:v>2065</c:v>
                      </c:pt>
                      <c:pt idx="46">
                        <c:v>2066</c:v>
                      </c:pt>
                      <c:pt idx="47">
                        <c:v>2067</c:v>
                      </c:pt>
                      <c:pt idx="48">
                        <c:v>2068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'Scenario 1'!$B$52:$AX$52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49"/>
                      <c:pt idx="1">
                        <c:v>12811930.4409266</c:v>
                      </c:pt>
                      <c:pt idx="2">
                        <c:v>36827395.254616581</c:v>
                      </c:pt>
                      <c:pt idx="3">
                        <c:v>61226608.050231487</c:v>
                      </c:pt>
                      <c:pt idx="4">
                        <c:v>84861064.807110816</c:v>
                      </c:pt>
                      <c:pt idx="5">
                        <c:v>108726226.11791275</c:v>
                      </c:pt>
                      <c:pt idx="6">
                        <c:v>133032520.94479607</c:v>
                      </c:pt>
                      <c:pt idx="7">
                        <c:v>157998311.41988754</c:v>
                      </c:pt>
                      <c:pt idx="8">
                        <c:v>181992466.1653811</c:v>
                      </c:pt>
                      <c:pt idx="9">
                        <c:v>207268239.05935228</c:v>
                      </c:pt>
                      <c:pt idx="10">
                        <c:v>233399295.15534422</c:v>
                      </c:pt>
                      <c:pt idx="11">
                        <c:v>259428136.24545234</c:v>
                      </c:pt>
                      <c:pt idx="12">
                        <c:v>284241040.15034026</c:v>
                      </c:pt>
                      <c:pt idx="13">
                        <c:v>307857577.54406768</c:v>
                      </c:pt>
                      <c:pt idx="14">
                        <c:v>332470011.07672304</c:v>
                      </c:pt>
                      <c:pt idx="15">
                        <c:v>356849867.24332601</c:v>
                      </c:pt>
                      <c:pt idx="16">
                        <c:v>378653247.08966184</c:v>
                      </c:pt>
                      <c:pt idx="17">
                        <c:v>400095353.15232182</c:v>
                      </c:pt>
                      <c:pt idx="18">
                        <c:v>420176716.4930315</c:v>
                      </c:pt>
                      <c:pt idx="19">
                        <c:v>439560646.00161523</c:v>
                      </c:pt>
                      <c:pt idx="20">
                        <c:v>458228512.44094616</c:v>
                      </c:pt>
                      <c:pt idx="21">
                        <c:v>475921106.91842037</c:v>
                      </c:pt>
                      <c:pt idx="22">
                        <c:v>492920710.32976943</c:v>
                      </c:pt>
                      <c:pt idx="23">
                        <c:v>509206203.35880959</c:v>
                      </c:pt>
                      <c:pt idx="24">
                        <c:v>524076973.31840813</c:v>
                      </c:pt>
                      <c:pt idx="25">
                        <c:v>538528772.86411381</c:v>
                      </c:pt>
                      <c:pt idx="26">
                        <c:v>552555068.01385498</c:v>
                      </c:pt>
                      <c:pt idx="27">
                        <c:v>566117393.00620711</c:v>
                      </c:pt>
                      <c:pt idx="28">
                        <c:v>579188530.04297125</c:v>
                      </c:pt>
                      <c:pt idx="29">
                        <c:v>591785487.03231502</c:v>
                      </c:pt>
                      <c:pt idx="30">
                        <c:v>603589834.34995222</c:v>
                      </c:pt>
                      <c:pt idx="31">
                        <c:v>614713096.04287791</c:v>
                      </c:pt>
                      <c:pt idx="32">
                        <c:v>625194569.29675639</c:v>
                      </c:pt>
                      <c:pt idx="33">
                        <c:v>635071283.9335829</c:v>
                      </c:pt>
                      <c:pt idx="34">
                        <c:v>644378133.23372364</c:v>
                      </c:pt>
                      <c:pt idx="35">
                        <c:v>653147997.20980394</c:v>
                      </c:pt>
                      <c:pt idx="36">
                        <c:v>661411858.76795638</c:v>
                      </c:pt>
                      <c:pt idx="37">
                        <c:v>669198913.1668129</c:v>
                      </c:pt>
                      <c:pt idx="38">
                        <c:v>676536671.16094708</c:v>
                      </c:pt>
                      <c:pt idx="39">
                        <c:v>683451056.19315982</c:v>
                      </c:pt>
                      <c:pt idx="40">
                        <c:v>689966495.97897804</c:v>
                      </c:pt>
                      <c:pt idx="41">
                        <c:v>696106008.80692339</c:v>
                      </c:pt>
                      <c:pt idx="42">
                        <c:v>701891284.85943949</c:v>
                      </c:pt>
                      <c:pt idx="43">
                        <c:v>707342762.84177601</c:v>
                      </c:pt>
                      <c:pt idx="44">
                        <c:v>712479702.18954921</c:v>
                      </c:pt>
                      <c:pt idx="45">
                        <c:v>717320251.11008072</c:v>
                      </c:pt>
                      <c:pt idx="46">
                        <c:v>721881510.69789648</c:v>
                      </c:pt>
                      <c:pt idx="47">
                        <c:v>726179595.35089839</c:v>
                      </c:pt>
                      <c:pt idx="48">
                        <c:v>729441981.66734958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E63-4490-AA70-BBBC51EC98CE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'Scenario 1'!$A$53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'Scenario 1'!$B$50:$AX$50</c15:sqref>
                        </c15:formulaRef>
                      </c:ext>
                    </c:extLst>
                    <c:strCache>
                      <c:ptCount val="49"/>
                      <c:pt idx="1">
                        <c:v>Jul - Dec 2020</c:v>
                      </c:pt>
                      <c:pt idx="2">
                        <c:v>2021</c:v>
                      </c:pt>
                      <c:pt idx="3">
                        <c:v>2022</c:v>
                      </c:pt>
                      <c:pt idx="4">
                        <c:v>2023</c:v>
                      </c:pt>
                      <c:pt idx="5">
                        <c:v>2024</c:v>
                      </c:pt>
                      <c:pt idx="6">
                        <c:v>2025</c:v>
                      </c:pt>
                      <c:pt idx="7">
                        <c:v>2026</c:v>
                      </c:pt>
                      <c:pt idx="8">
                        <c:v>2027</c:v>
                      </c:pt>
                      <c:pt idx="9">
                        <c:v>2028</c:v>
                      </c:pt>
                      <c:pt idx="10">
                        <c:v>2029</c:v>
                      </c:pt>
                      <c:pt idx="11">
                        <c:v>2030</c:v>
                      </c:pt>
                      <c:pt idx="12">
                        <c:v>2031</c:v>
                      </c:pt>
                      <c:pt idx="13">
                        <c:v>2032</c:v>
                      </c:pt>
                      <c:pt idx="14">
                        <c:v>2033</c:v>
                      </c:pt>
                      <c:pt idx="15">
                        <c:v>2034</c:v>
                      </c:pt>
                      <c:pt idx="16">
                        <c:v>2035</c:v>
                      </c:pt>
                      <c:pt idx="17">
                        <c:v>2036</c:v>
                      </c:pt>
                      <c:pt idx="18">
                        <c:v>2037</c:v>
                      </c:pt>
                      <c:pt idx="19">
                        <c:v>2038</c:v>
                      </c:pt>
                      <c:pt idx="20">
                        <c:v>2039</c:v>
                      </c:pt>
                      <c:pt idx="21">
                        <c:v>2040</c:v>
                      </c:pt>
                      <c:pt idx="22">
                        <c:v>2041</c:v>
                      </c:pt>
                      <c:pt idx="23">
                        <c:v>2042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  <c:pt idx="31">
                        <c:v>2051</c:v>
                      </c:pt>
                      <c:pt idx="32">
                        <c:v>2052</c:v>
                      </c:pt>
                      <c:pt idx="33">
                        <c:v>2053</c:v>
                      </c:pt>
                      <c:pt idx="34">
                        <c:v>2054</c:v>
                      </c:pt>
                      <c:pt idx="35">
                        <c:v>2055</c:v>
                      </c:pt>
                      <c:pt idx="36">
                        <c:v>2056</c:v>
                      </c:pt>
                      <c:pt idx="37">
                        <c:v>2057</c:v>
                      </c:pt>
                      <c:pt idx="38">
                        <c:v>2058</c:v>
                      </c:pt>
                      <c:pt idx="39">
                        <c:v>2059</c:v>
                      </c:pt>
                      <c:pt idx="40">
                        <c:v>2060</c:v>
                      </c:pt>
                      <c:pt idx="41">
                        <c:v>2061</c:v>
                      </c:pt>
                      <c:pt idx="42">
                        <c:v>2062</c:v>
                      </c:pt>
                      <c:pt idx="43">
                        <c:v>2063</c:v>
                      </c:pt>
                      <c:pt idx="44">
                        <c:v>2064</c:v>
                      </c:pt>
                      <c:pt idx="45">
                        <c:v>2065</c:v>
                      </c:pt>
                      <c:pt idx="46">
                        <c:v>2066</c:v>
                      </c:pt>
                      <c:pt idx="47">
                        <c:v>2067</c:v>
                      </c:pt>
                      <c:pt idx="48">
                        <c:v>2068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'Scenario 1'!$B$53:$AX$53</c15:sqref>
                        </c15:formulaRef>
                      </c:ext>
                    </c:extLst>
                    <c:numCache>
                      <c:formatCode>General</c:formatCode>
                      <c:ptCount val="4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E63-4490-AA70-BBBC51EC98CE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4"/>
          <c:order val="4"/>
          <c:tx>
            <c:strRef>
              <c:f>'Scenario 1'!$A$56</c:f>
              <c:strCache>
                <c:ptCount val="1"/>
                <c:pt idx="0">
                  <c:v>Tax Adjusted Accum Edit Amort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'Scenario 1'!$B$50:$AX$50</c:f>
              <c:strCache>
                <c:ptCount val="49"/>
                <c:pt idx="1">
                  <c:v>Jul - Dec 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  <c:pt idx="20">
                  <c:v>2039</c:v>
                </c:pt>
                <c:pt idx="21">
                  <c:v>2040</c:v>
                </c:pt>
                <c:pt idx="22">
                  <c:v>2041</c:v>
                </c:pt>
                <c:pt idx="23">
                  <c:v>2042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</c:strCache>
            </c:strRef>
          </c:cat>
          <c:val>
            <c:numRef>
              <c:f>'Scenario 1'!$B$56:$AX$56</c:f>
              <c:numCache>
                <c:formatCode>_(* #,##0_);_(* \(#,##0\);_(* "-"??_);_(@_)</c:formatCode>
                <c:ptCount val="49"/>
                <c:pt idx="1">
                  <c:v>16217633.469527341</c:v>
                </c:pt>
                <c:pt idx="2">
                  <c:v>46616956.018501997</c:v>
                </c:pt>
                <c:pt idx="3">
                  <c:v>77502035.506622136</c:v>
                </c:pt>
                <c:pt idx="4">
                  <c:v>107419069.37608965</c:v>
                </c:pt>
                <c:pt idx="5">
                  <c:v>137628134.32647184</c:v>
                </c:pt>
                <c:pt idx="6">
                  <c:v>168395596.13265324</c:v>
                </c:pt>
                <c:pt idx="7">
                  <c:v>199997862.55681968</c:v>
                </c:pt>
                <c:pt idx="8">
                  <c:v>230370210.33592546</c:v>
                </c:pt>
                <c:pt idx="9">
                  <c:v>262364859.56880039</c:v>
                </c:pt>
                <c:pt idx="10">
                  <c:v>295442145.76625854</c:v>
                </c:pt>
                <c:pt idx="11">
                  <c:v>328390045.88031948</c:v>
                </c:pt>
                <c:pt idx="12">
                  <c:v>359798785.00043082</c:v>
                </c:pt>
                <c:pt idx="13">
                  <c:v>389693136.13173133</c:v>
                </c:pt>
                <c:pt idx="14">
                  <c:v>420848115.2869913</c:v>
                </c:pt>
                <c:pt idx="15">
                  <c:v>451708692.71307099</c:v>
                </c:pt>
                <c:pt idx="16">
                  <c:v>479307907.70843279</c:v>
                </c:pt>
                <c:pt idx="17">
                  <c:v>506449814.11686313</c:v>
                </c:pt>
                <c:pt idx="18">
                  <c:v>531869261.38358426</c:v>
                </c:pt>
                <c:pt idx="19">
                  <c:v>556405881.01470292</c:v>
                </c:pt>
                <c:pt idx="20">
                  <c:v>580036091.69740033</c:v>
                </c:pt>
                <c:pt idx="21">
                  <c:v>602431780.90939295</c:v>
                </c:pt>
                <c:pt idx="22">
                  <c:v>623950266.24021459</c:v>
                </c:pt>
                <c:pt idx="23">
                  <c:v>644564814.37824011</c:v>
                </c:pt>
                <c:pt idx="24">
                  <c:v>663388573.82076991</c:v>
                </c:pt>
                <c:pt idx="25">
                  <c:v>681681990.9672327</c:v>
                </c:pt>
                <c:pt idx="26">
                  <c:v>699436794.95424688</c:v>
                </c:pt>
                <c:pt idx="27">
                  <c:v>716604294.94456601</c:v>
                </c:pt>
                <c:pt idx="28">
                  <c:v>733150038.02907765</c:v>
                </c:pt>
                <c:pt idx="29">
                  <c:v>749095553.20546222</c:v>
                </c:pt>
                <c:pt idx="30">
                  <c:v>764037764.9999398</c:v>
                </c:pt>
                <c:pt idx="31">
                  <c:v>778117843.0922507</c:v>
                </c:pt>
                <c:pt idx="32">
                  <c:v>791385530.75538802</c:v>
                </c:pt>
                <c:pt idx="33">
                  <c:v>803887701.18175066</c:v>
                </c:pt>
                <c:pt idx="34">
                  <c:v>815668523.08066297</c:v>
                </c:pt>
                <c:pt idx="35">
                  <c:v>826769616.72127092</c:v>
                </c:pt>
                <c:pt idx="36">
                  <c:v>837230200.9720968</c:v>
                </c:pt>
                <c:pt idx="37">
                  <c:v>847087231.85672534</c:v>
                </c:pt>
                <c:pt idx="38">
                  <c:v>856375533.11512303</c:v>
                </c:pt>
                <c:pt idx="39">
                  <c:v>865127919.231848</c:v>
                </c:pt>
                <c:pt idx="40">
                  <c:v>873375311.36579514</c:v>
                </c:pt>
                <c:pt idx="41">
                  <c:v>881146846.5910424</c:v>
                </c:pt>
                <c:pt idx="42">
                  <c:v>888469980.83473372</c:v>
                </c:pt>
                <c:pt idx="43">
                  <c:v>895370585.87566602</c:v>
                </c:pt>
                <c:pt idx="44">
                  <c:v>901873040.74626493</c:v>
                </c:pt>
                <c:pt idx="45">
                  <c:v>908000317.86086178</c:v>
                </c:pt>
                <c:pt idx="46">
                  <c:v>913774064.17455268</c:v>
                </c:pt>
                <c:pt idx="47">
                  <c:v>919214677.6593653</c:v>
                </c:pt>
                <c:pt idx="48">
                  <c:v>923344280.59158206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63-4490-AA70-BBBC51EC9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5837632"/>
        <c:axId val="725840256"/>
      </c:lineChart>
      <c:catAx>
        <c:axId val="72583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5840256"/>
        <c:crosses val="autoZero"/>
        <c:auto val="1"/>
        <c:lblAlgn val="ctr"/>
        <c:lblOffset val="100"/>
        <c:noMultiLvlLbl val="0"/>
      </c:catAx>
      <c:valAx>
        <c:axId val="725840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5837632"/>
        <c:crosses val="autoZero"/>
        <c:crossBetween val="between"/>
      </c:valAx>
      <c:valAx>
        <c:axId val="739813840"/>
        <c:scaling>
          <c:orientation val="minMax"/>
        </c:scaling>
        <c:delete val="0"/>
        <c:axPos val="r"/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811872"/>
        <c:crosses val="max"/>
        <c:crossBetween val="between"/>
      </c:valAx>
      <c:catAx>
        <c:axId val="739811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98138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Tax Adjusted EDIT Amortization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'Scenario 1'!$A$55</c:f>
              <c:strCache>
                <c:ptCount val="1"/>
                <c:pt idx="0">
                  <c:v>Tax Adjusted EDIT Amort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'Scenario 1'!$B$50:$AX$50</c:f>
              <c:strCache>
                <c:ptCount val="49"/>
                <c:pt idx="1">
                  <c:v>Jul - Dec 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  <c:pt idx="20">
                  <c:v>2039</c:v>
                </c:pt>
                <c:pt idx="21">
                  <c:v>2040</c:v>
                </c:pt>
                <c:pt idx="22">
                  <c:v>2041</c:v>
                </c:pt>
                <c:pt idx="23">
                  <c:v>2042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</c:strCache>
            </c:strRef>
          </c:cat>
          <c:val>
            <c:numRef>
              <c:f>'Scenario 1'!$B$55:$AX$55</c:f>
              <c:numCache>
                <c:formatCode>_(* #,##0_);_(* \(#,##0\);_(* "-"??_);_(@_)</c:formatCode>
                <c:ptCount val="49"/>
                <c:pt idx="1">
                  <c:v>16217633.469527341</c:v>
                </c:pt>
                <c:pt idx="2">
                  <c:v>30399322.548974659</c:v>
                </c:pt>
                <c:pt idx="3">
                  <c:v>30885079.488120139</c:v>
                </c:pt>
                <c:pt idx="4">
                  <c:v>29917033.869467515</c:v>
                </c:pt>
                <c:pt idx="5">
                  <c:v>30209064.950382195</c:v>
                </c:pt>
                <c:pt idx="6">
                  <c:v>30767461.806181408</c:v>
                </c:pt>
                <c:pt idx="7">
                  <c:v>31602266.424166437</c:v>
                </c:pt>
                <c:pt idx="8">
                  <c:v>30372347.779105786</c:v>
                </c:pt>
                <c:pt idx="9">
                  <c:v>31994649.232874922</c:v>
                </c:pt>
                <c:pt idx="10">
                  <c:v>33077286.197458144</c:v>
                </c:pt>
                <c:pt idx="11">
                  <c:v>32947900.114060938</c:v>
                </c:pt>
                <c:pt idx="12">
                  <c:v>31408739.120111316</c:v>
                </c:pt>
                <c:pt idx="13">
                  <c:v>29894351.131300531</c:v>
                </c:pt>
                <c:pt idx="14">
                  <c:v>31154979.155259963</c:v>
                </c:pt>
                <c:pt idx="15">
                  <c:v>30860577.426079702</c:v>
                </c:pt>
                <c:pt idx="16">
                  <c:v>27599214.995361779</c:v>
                </c:pt>
                <c:pt idx="17">
                  <c:v>27141906.408430345</c:v>
                </c:pt>
                <c:pt idx="18">
                  <c:v>25419447.266721144</c:v>
                </c:pt>
                <c:pt idx="19">
                  <c:v>24536619.631118666</c:v>
                </c:pt>
                <c:pt idx="20">
                  <c:v>23630210.682697408</c:v>
                </c:pt>
                <c:pt idx="21">
                  <c:v>22395689.211992677</c:v>
                </c:pt>
                <c:pt idx="22">
                  <c:v>21518485.330821581</c:v>
                </c:pt>
                <c:pt idx="23">
                  <c:v>20614548.1380255</c:v>
                </c:pt>
                <c:pt idx="24">
                  <c:v>18823759.442529809</c:v>
                </c:pt>
                <c:pt idx="25">
                  <c:v>18293417.146462858</c:v>
                </c:pt>
                <c:pt idx="26">
                  <c:v>17754803.987014167</c:v>
                </c:pt>
                <c:pt idx="27">
                  <c:v>17167499.990319088</c:v>
                </c:pt>
                <c:pt idx="28">
                  <c:v>16545743.084511636</c:v>
                </c:pt>
                <c:pt idx="29">
                  <c:v>15945515.176384535</c:v>
                </c:pt>
                <c:pt idx="30">
                  <c:v>14942211.794477524</c:v>
                </c:pt>
                <c:pt idx="31">
                  <c:v>14080078.092310933</c:v>
                </c:pt>
                <c:pt idx="32">
                  <c:v>13267687.663137311</c:v>
                </c:pt>
                <c:pt idx="33">
                  <c:v>12502170.426362623</c:v>
                </c:pt>
                <c:pt idx="34">
                  <c:v>11780821.898912268</c:v>
                </c:pt>
                <c:pt idx="35">
                  <c:v>11101093.640607944</c:v>
                </c:pt>
                <c:pt idx="36">
                  <c:v>10460584.250825869</c:v>
                </c:pt>
                <c:pt idx="37">
                  <c:v>9857030.8846285585</c:v>
                </c:pt>
                <c:pt idx="38">
                  <c:v>9288301.2583977208</c:v>
                </c:pt>
                <c:pt idx="39">
                  <c:v>8752386.1167250108</c:v>
                </c:pt>
                <c:pt idx="40">
                  <c:v>8247392.1339471443</c:v>
                </c:pt>
                <c:pt idx="41">
                  <c:v>7771535.2252472322</c:v>
                </c:pt>
                <c:pt idx="42">
                  <c:v>7323134.2436912898</c:v>
                </c:pt>
                <c:pt idx="43">
                  <c:v>6900605.0409323042</c:v>
                </c:pt>
                <c:pt idx="44">
                  <c:v>6502454.8705989411</c:v>
                </c:pt>
                <c:pt idx="45">
                  <c:v>6127277.1145968093</c:v>
                </c:pt>
                <c:pt idx="46">
                  <c:v>5773746.313690858</c:v>
                </c:pt>
                <c:pt idx="47">
                  <c:v>5440613.4848125586</c:v>
                </c:pt>
                <c:pt idx="48">
                  <c:v>4129602.9322167281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97-4C8F-9DCC-C39058CE1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9811872"/>
        <c:axId val="73981384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'Scenario 1'!$A$51</c15:sqref>
                        </c15:formulaRef>
                      </c:ext>
                    </c:extLst>
                    <c:strCache>
                      <c:ptCount val="1"/>
                      <c:pt idx="0">
                        <c:v>EDIT Amort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'Scenario 1'!$B$50:$AX$50</c15:sqref>
                        </c15:formulaRef>
                      </c:ext>
                    </c:extLst>
                    <c:strCache>
                      <c:ptCount val="49"/>
                      <c:pt idx="1">
                        <c:v>Jul - Dec 2020</c:v>
                      </c:pt>
                      <c:pt idx="2">
                        <c:v>2021</c:v>
                      </c:pt>
                      <c:pt idx="3">
                        <c:v>2022</c:v>
                      </c:pt>
                      <c:pt idx="4">
                        <c:v>2023</c:v>
                      </c:pt>
                      <c:pt idx="5">
                        <c:v>2024</c:v>
                      </c:pt>
                      <c:pt idx="6">
                        <c:v>2025</c:v>
                      </c:pt>
                      <c:pt idx="7">
                        <c:v>2026</c:v>
                      </c:pt>
                      <c:pt idx="8">
                        <c:v>2027</c:v>
                      </c:pt>
                      <c:pt idx="9">
                        <c:v>2028</c:v>
                      </c:pt>
                      <c:pt idx="10">
                        <c:v>2029</c:v>
                      </c:pt>
                      <c:pt idx="11">
                        <c:v>2030</c:v>
                      </c:pt>
                      <c:pt idx="12">
                        <c:v>2031</c:v>
                      </c:pt>
                      <c:pt idx="13">
                        <c:v>2032</c:v>
                      </c:pt>
                      <c:pt idx="14">
                        <c:v>2033</c:v>
                      </c:pt>
                      <c:pt idx="15">
                        <c:v>2034</c:v>
                      </c:pt>
                      <c:pt idx="16">
                        <c:v>2035</c:v>
                      </c:pt>
                      <c:pt idx="17">
                        <c:v>2036</c:v>
                      </c:pt>
                      <c:pt idx="18">
                        <c:v>2037</c:v>
                      </c:pt>
                      <c:pt idx="19">
                        <c:v>2038</c:v>
                      </c:pt>
                      <c:pt idx="20">
                        <c:v>2039</c:v>
                      </c:pt>
                      <c:pt idx="21">
                        <c:v>2040</c:v>
                      </c:pt>
                      <c:pt idx="22">
                        <c:v>2041</c:v>
                      </c:pt>
                      <c:pt idx="23">
                        <c:v>2042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  <c:pt idx="31">
                        <c:v>2051</c:v>
                      </c:pt>
                      <c:pt idx="32">
                        <c:v>2052</c:v>
                      </c:pt>
                      <c:pt idx="33">
                        <c:v>2053</c:v>
                      </c:pt>
                      <c:pt idx="34">
                        <c:v>2054</c:v>
                      </c:pt>
                      <c:pt idx="35">
                        <c:v>2055</c:v>
                      </c:pt>
                      <c:pt idx="36">
                        <c:v>2056</c:v>
                      </c:pt>
                      <c:pt idx="37">
                        <c:v>2057</c:v>
                      </c:pt>
                      <c:pt idx="38">
                        <c:v>2058</c:v>
                      </c:pt>
                      <c:pt idx="39">
                        <c:v>2059</c:v>
                      </c:pt>
                      <c:pt idx="40">
                        <c:v>2060</c:v>
                      </c:pt>
                      <c:pt idx="41">
                        <c:v>2061</c:v>
                      </c:pt>
                      <c:pt idx="42">
                        <c:v>2062</c:v>
                      </c:pt>
                      <c:pt idx="43">
                        <c:v>2063</c:v>
                      </c:pt>
                      <c:pt idx="44">
                        <c:v>2064</c:v>
                      </c:pt>
                      <c:pt idx="45">
                        <c:v>2065</c:v>
                      </c:pt>
                      <c:pt idx="46">
                        <c:v>2066</c:v>
                      </c:pt>
                      <c:pt idx="47">
                        <c:v>2067</c:v>
                      </c:pt>
                      <c:pt idx="48">
                        <c:v>2068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'Scenario 1'!$B$51:$AX$51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49"/>
                      <c:pt idx="1">
                        <c:v>12811930.4409266</c:v>
                      </c:pt>
                      <c:pt idx="2">
                        <c:v>24015464.813689981</c:v>
                      </c:pt>
                      <c:pt idx="3">
                        <c:v>24399212.795614909</c:v>
                      </c:pt>
                      <c:pt idx="4">
                        <c:v>23634456.756879337</c:v>
                      </c:pt>
                      <c:pt idx="5">
                        <c:v>23865161.310801934</c:v>
                      </c:pt>
                      <c:pt idx="6">
                        <c:v>24306294.826883312</c:v>
                      </c:pt>
                      <c:pt idx="7">
                        <c:v>24965790.475091487</c:v>
                      </c:pt>
                      <c:pt idx="8">
                        <c:v>23994154.745493572</c:v>
                      </c:pt>
                      <c:pt idx="9">
                        <c:v>25275772.89397119</c:v>
                      </c:pt>
                      <c:pt idx="10">
                        <c:v>26131056.095991936</c:v>
                      </c:pt>
                      <c:pt idx="11">
                        <c:v>26028841.090108141</c:v>
                      </c:pt>
                      <c:pt idx="12">
                        <c:v>24812903.904887941</c:v>
                      </c:pt>
                      <c:pt idx="13">
                        <c:v>23616537.393727422</c:v>
                      </c:pt>
                      <c:pt idx="14">
                        <c:v>24612433.532655373</c:v>
                      </c:pt>
                      <c:pt idx="15">
                        <c:v>24379856.166602965</c:v>
                      </c:pt>
                      <c:pt idx="16">
                        <c:v>21803379.846335806</c:v>
                      </c:pt>
                      <c:pt idx="17">
                        <c:v>21442106.062659975</c:v>
                      </c:pt>
                      <c:pt idx="18">
                        <c:v>20081363.340709705</c:v>
                      </c:pt>
                      <c:pt idx="19">
                        <c:v>19383929.508583747</c:v>
                      </c:pt>
                      <c:pt idx="20">
                        <c:v>18667866.439330954</c:v>
                      </c:pt>
                      <c:pt idx="21">
                        <c:v>17692594.477474216</c:v>
                      </c:pt>
                      <c:pt idx="22">
                        <c:v>16999603.411349051</c:v>
                      </c:pt>
                      <c:pt idx="23">
                        <c:v>16285493.029040147</c:v>
                      </c:pt>
                      <c:pt idx="24">
                        <c:v>14870769.959598551</c:v>
                      </c:pt>
                      <c:pt idx="25">
                        <c:v>14451799.545705659</c:v>
                      </c:pt>
                      <c:pt idx="26">
                        <c:v>14026295.149741191</c:v>
                      </c:pt>
                      <c:pt idx="27">
                        <c:v>13562324.99235208</c:v>
                      </c:pt>
                      <c:pt idx="28">
                        <c:v>13071137.036764193</c:v>
                      </c:pt>
                      <c:pt idx="29">
                        <c:v>12596956.989343783</c:v>
                      </c:pt>
                      <c:pt idx="30">
                        <c:v>11804347.317637244</c:v>
                      </c:pt>
                      <c:pt idx="31">
                        <c:v>11123261.692925638</c:v>
                      </c:pt>
                      <c:pt idx="32">
                        <c:v>10481473.253878476</c:v>
                      </c:pt>
                      <c:pt idx="33">
                        <c:v>9876714.6368264724</c:v>
                      </c:pt>
                      <c:pt idx="34">
                        <c:v>9306849.3001406919</c:v>
                      </c:pt>
                      <c:pt idx="35">
                        <c:v>8769863.9760802761</c:v>
                      </c:pt>
                      <c:pt idx="36">
                        <c:v>8263861.5581524372</c:v>
                      </c:pt>
                      <c:pt idx="37">
                        <c:v>7787054.3988565616</c:v>
                      </c:pt>
                      <c:pt idx="38">
                        <c:v>7337757.9941341998</c:v>
                      </c:pt>
                      <c:pt idx="39">
                        <c:v>6914385.0322127594</c:v>
                      </c:pt>
                      <c:pt idx="40">
                        <c:v>6515439.7858182443</c:v>
                      </c:pt>
                      <c:pt idx="41">
                        <c:v>6139512.8279453134</c:v>
                      </c:pt>
                      <c:pt idx="42">
                        <c:v>5785276.0525161196</c:v>
                      </c:pt>
                      <c:pt idx="43">
                        <c:v>5451477.9823365202</c:v>
                      </c:pt>
                      <c:pt idx="44">
                        <c:v>5136939.3477731636</c:v>
                      </c:pt>
                      <c:pt idx="45">
                        <c:v>4840548.9205314796</c:v>
                      </c:pt>
                      <c:pt idx="46">
                        <c:v>4561259.5878157783</c:v>
                      </c:pt>
                      <c:pt idx="47">
                        <c:v>4298084.6530019213</c:v>
                      </c:pt>
                      <c:pt idx="48">
                        <c:v>3262386.3164512152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9B97-4C8F-9DCC-C39058CE15F3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'Scenario 1'!$A$52</c15:sqref>
                        </c15:formulaRef>
                      </c:ext>
                    </c:extLst>
                    <c:strCache>
                      <c:ptCount val="1"/>
                      <c:pt idx="0">
                        <c:v>Accum EDIT Amort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'Scenario 1'!$B$50:$AX$50</c15:sqref>
                        </c15:formulaRef>
                      </c:ext>
                    </c:extLst>
                    <c:strCache>
                      <c:ptCount val="49"/>
                      <c:pt idx="1">
                        <c:v>Jul - Dec 2020</c:v>
                      </c:pt>
                      <c:pt idx="2">
                        <c:v>2021</c:v>
                      </c:pt>
                      <c:pt idx="3">
                        <c:v>2022</c:v>
                      </c:pt>
                      <c:pt idx="4">
                        <c:v>2023</c:v>
                      </c:pt>
                      <c:pt idx="5">
                        <c:v>2024</c:v>
                      </c:pt>
                      <c:pt idx="6">
                        <c:v>2025</c:v>
                      </c:pt>
                      <c:pt idx="7">
                        <c:v>2026</c:v>
                      </c:pt>
                      <c:pt idx="8">
                        <c:v>2027</c:v>
                      </c:pt>
                      <c:pt idx="9">
                        <c:v>2028</c:v>
                      </c:pt>
                      <c:pt idx="10">
                        <c:v>2029</c:v>
                      </c:pt>
                      <c:pt idx="11">
                        <c:v>2030</c:v>
                      </c:pt>
                      <c:pt idx="12">
                        <c:v>2031</c:v>
                      </c:pt>
                      <c:pt idx="13">
                        <c:v>2032</c:v>
                      </c:pt>
                      <c:pt idx="14">
                        <c:v>2033</c:v>
                      </c:pt>
                      <c:pt idx="15">
                        <c:v>2034</c:v>
                      </c:pt>
                      <c:pt idx="16">
                        <c:v>2035</c:v>
                      </c:pt>
                      <c:pt idx="17">
                        <c:v>2036</c:v>
                      </c:pt>
                      <c:pt idx="18">
                        <c:v>2037</c:v>
                      </c:pt>
                      <c:pt idx="19">
                        <c:v>2038</c:v>
                      </c:pt>
                      <c:pt idx="20">
                        <c:v>2039</c:v>
                      </c:pt>
                      <c:pt idx="21">
                        <c:v>2040</c:v>
                      </c:pt>
                      <c:pt idx="22">
                        <c:v>2041</c:v>
                      </c:pt>
                      <c:pt idx="23">
                        <c:v>2042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  <c:pt idx="31">
                        <c:v>2051</c:v>
                      </c:pt>
                      <c:pt idx="32">
                        <c:v>2052</c:v>
                      </c:pt>
                      <c:pt idx="33">
                        <c:v>2053</c:v>
                      </c:pt>
                      <c:pt idx="34">
                        <c:v>2054</c:v>
                      </c:pt>
                      <c:pt idx="35">
                        <c:v>2055</c:v>
                      </c:pt>
                      <c:pt idx="36">
                        <c:v>2056</c:v>
                      </c:pt>
                      <c:pt idx="37">
                        <c:v>2057</c:v>
                      </c:pt>
                      <c:pt idx="38">
                        <c:v>2058</c:v>
                      </c:pt>
                      <c:pt idx="39">
                        <c:v>2059</c:v>
                      </c:pt>
                      <c:pt idx="40">
                        <c:v>2060</c:v>
                      </c:pt>
                      <c:pt idx="41">
                        <c:v>2061</c:v>
                      </c:pt>
                      <c:pt idx="42">
                        <c:v>2062</c:v>
                      </c:pt>
                      <c:pt idx="43">
                        <c:v>2063</c:v>
                      </c:pt>
                      <c:pt idx="44">
                        <c:v>2064</c:v>
                      </c:pt>
                      <c:pt idx="45">
                        <c:v>2065</c:v>
                      </c:pt>
                      <c:pt idx="46">
                        <c:v>2066</c:v>
                      </c:pt>
                      <c:pt idx="47">
                        <c:v>2067</c:v>
                      </c:pt>
                      <c:pt idx="48">
                        <c:v>2068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'Scenario 1'!$B$52:$AX$52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49"/>
                      <c:pt idx="1">
                        <c:v>12811930.4409266</c:v>
                      </c:pt>
                      <c:pt idx="2">
                        <c:v>36827395.254616581</c:v>
                      </c:pt>
                      <c:pt idx="3">
                        <c:v>61226608.050231487</c:v>
                      </c:pt>
                      <c:pt idx="4">
                        <c:v>84861064.807110816</c:v>
                      </c:pt>
                      <c:pt idx="5">
                        <c:v>108726226.11791275</c:v>
                      </c:pt>
                      <c:pt idx="6">
                        <c:v>133032520.94479607</c:v>
                      </c:pt>
                      <c:pt idx="7">
                        <c:v>157998311.41988754</c:v>
                      </c:pt>
                      <c:pt idx="8">
                        <c:v>181992466.1653811</c:v>
                      </c:pt>
                      <c:pt idx="9">
                        <c:v>207268239.05935228</c:v>
                      </c:pt>
                      <c:pt idx="10">
                        <c:v>233399295.15534422</c:v>
                      </c:pt>
                      <c:pt idx="11">
                        <c:v>259428136.24545234</c:v>
                      </c:pt>
                      <c:pt idx="12">
                        <c:v>284241040.15034026</c:v>
                      </c:pt>
                      <c:pt idx="13">
                        <c:v>307857577.54406768</c:v>
                      </c:pt>
                      <c:pt idx="14">
                        <c:v>332470011.07672304</c:v>
                      </c:pt>
                      <c:pt idx="15">
                        <c:v>356849867.24332601</c:v>
                      </c:pt>
                      <c:pt idx="16">
                        <c:v>378653247.08966184</c:v>
                      </c:pt>
                      <c:pt idx="17">
                        <c:v>400095353.15232182</c:v>
                      </c:pt>
                      <c:pt idx="18">
                        <c:v>420176716.4930315</c:v>
                      </c:pt>
                      <c:pt idx="19">
                        <c:v>439560646.00161523</c:v>
                      </c:pt>
                      <c:pt idx="20">
                        <c:v>458228512.44094616</c:v>
                      </c:pt>
                      <c:pt idx="21">
                        <c:v>475921106.91842037</c:v>
                      </c:pt>
                      <c:pt idx="22">
                        <c:v>492920710.32976943</c:v>
                      </c:pt>
                      <c:pt idx="23">
                        <c:v>509206203.35880959</c:v>
                      </c:pt>
                      <c:pt idx="24">
                        <c:v>524076973.31840813</c:v>
                      </c:pt>
                      <c:pt idx="25">
                        <c:v>538528772.86411381</c:v>
                      </c:pt>
                      <c:pt idx="26">
                        <c:v>552555068.01385498</c:v>
                      </c:pt>
                      <c:pt idx="27">
                        <c:v>566117393.00620711</c:v>
                      </c:pt>
                      <c:pt idx="28">
                        <c:v>579188530.04297125</c:v>
                      </c:pt>
                      <c:pt idx="29">
                        <c:v>591785487.03231502</c:v>
                      </c:pt>
                      <c:pt idx="30">
                        <c:v>603589834.34995222</c:v>
                      </c:pt>
                      <c:pt idx="31">
                        <c:v>614713096.04287791</c:v>
                      </c:pt>
                      <c:pt idx="32">
                        <c:v>625194569.29675639</c:v>
                      </c:pt>
                      <c:pt idx="33">
                        <c:v>635071283.9335829</c:v>
                      </c:pt>
                      <c:pt idx="34">
                        <c:v>644378133.23372364</c:v>
                      </c:pt>
                      <c:pt idx="35">
                        <c:v>653147997.20980394</c:v>
                      </c:pt>
                      <c:pt idx="36">
                        <c:v>661411858.76795638</c:v>
                      </c:pt>
                      <c:pt idx="37">
                        <c:v>669198913.1668129</c:v>
                      </c:pt>
                      <c:pt idx="38">
                        <c:v>676536671.16094708</c:v>
                      </c:pt>
                      <c:pt idx="39">
                        <c:v>683451056.19315982</c:v>
                      </c:pt>
                      <c:pt idx="40">
                        <c:v>689966495.97897804</c:v>
                      </c:pt>
                      <c:pt idx="41">
                        <c:v>696106008.80692339</c:v>
                      </c:pt>
                      <c:pt idx="42">
                        <c:v>701891284.85943949</c:v>
                      </c:pt>
                      <c:pt idx="43">
                        <c:v>707342762.84177601</c:v>
                      </c:pt>
                      <c:pt idx="44">
                        <c:v>712479702.18954921</c:v>
                      </c:pt>
                      <c:pt idx="45">
                        <c:v>717320251.11008072</c:v>
                      </c:pt>
                      <c:pt idx="46">
                        <c:v>721881510.69789648</c:v>
                      </c:pt>
                      <c:pt idx="47">
                        <c:v>726179595.35089839</c:v>
                      </c:pt>
                      <c:pt idx="48">
                        <c:v>729441981.66734958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9B97-4C8F-9DCC-C39058CE15F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'Scenario 1'!$A$53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'Scenario 1'!$B$50:$AX$50</c15:sqref>
                        </c15:formulaRef>
                      </c:ext>
                    </c:extLst>
                    <c:strCache>
                      <c:ptCount val="49"/>
                      <c:pt idx="1">
                        <c:v>Jul - Dec 2020</c:v>
                      </c:pt>
                      <c:pt idx="2">
                        <c:v>2021</c:v>
                      </c:pt>
                      <c:pt idx="3">
                        <c:v>2022</c:v>
                      </c:pt>
                      <c:pt idx="4">
                        <c:v>2023</c:v>
                      </c:pt>
                      <c:pt idx="5">
                        <c:v>2024</c:v>
                      </c:pt>
                      <c:pt idx="6">
                        <c:v>2025</c:v>
                      </c:pt>
                      <c:pt idx="7">
                        <c:v>2026</c:v>
                      </c:pt>
                      <c:pt idx="8">
                        <c:v>2027</c:v>
                      </c:pt>
                      <c:pt idx="9">
                        <c:v>2028</c:v>
                      </c:pt>
                      <c:pt idx="10">
                        <c:v>2029</c:v>
                      </c:pt>
                      <c:pt idx="11">
                        <c:v>2030</c:v>
                      </c:pt>
                      <c:pt idx="12">
                        <c:v>2031</c:v>
                      </c:pt>
                      <c:pt idx="13">
                        <c:v>2032</c:v>
                      </c:pt>
                      <c:pt idx="14">
                        <c:v>2033</c:v>
                      </c:pt>
                      <c:pt idx="15">
                        <c:v>2034</c:v>
                      </c:pt>
                      <c:pt idx="16">
                        <c:v>2035</c:v>
                      </c:pt>
                      <c:pt idx="17">
                        <c:v>2036</c:v>
                      </c:pt>
                      <c:pt idx="18">
                        <c:v>2037</c:v>
                      </c:pt>
                      <c:pt idx="19">
                        <c:v>2038</c:v>
                      </c:pt>
                      <c:pt idx="20">
                        <c:v>2039</c:v>
                      </c:pt>
                      <c:pt idx="21">
                        <c:v>2040</c:v>
                      </c:pt>
                      <c:pt idx="22">
                        <c:v>2041</c:v>
                      </c:pt>
                      <c:pt idx="23">
                        <c:v>2042</c:v>
                      </c:pt>
                      <c:pt idx="24">
                        <c:v>2044</c:v>
                      </c:pt>
                      <c:pt idx="25">
                        <c:v>2045</c:v>
                      </c:pt>
                      <c:pt idx="26">
                        <c:v>2046</c:v>
                      </c:pt>
                      <c:pt idx="27">
                        <c:v>2047</c:v>
                      </c:pt>
                      <c:pt idx="28">
                        <c:v>2048</c:v>
                      </c:pt>
                      <c:pt idx="29">
                        <c:v>2049</c:v>
                      </c:pt>
                      <c:pt idx="30">
                        <c:v>2050</c:v>
                      </c:pt>
                      <c:pt idx="31">
                        <c:v>2051</c:v>
                      </c:pt>
                      <c:pt idx="32">
                        <c:v>2052</c:v>
                      </c:pt>
                      <c:pt idx="33">
                        <c:v>2053</c:v>
                      </c:pt>
                      <c:pt idx="34">
                        <c:v>2054</c:v>
                      </c:pt>
                      <c:pt idx="35">
                        <c:v>2055</c:v>
                      </c:pt>
                      <c:pt idx="36">
                        <c:v>2056</c:v>
                      </c:pt>
                      <c:pt idx="37">
                        <c:v>2057</c:v>
                      </c:pt>
                      <c:pt idx="38">
                        <c:v>2058</c:v>
                      </c:pt>
                      <c:pt idx="39">
                        <c:v>2059</c:v>
                      </c:pt>
                      <c:pt idx="40">
                        <c:v>2060</c:v>
                      </c:pt>
                      <c:pt idx="41">
                        <c:v>2061</c:v>
                      </c:pt>
                      <c:pt idx="42">
                        <c:v>2062</c:v>
                      </c:pt>
                      <c:pt idx="43">
                        <c:v>2063</c:v>
                      </c:pt>
                      <c:pt idx="44">
                        <c:v>2064</c:v>
                      </c:pt>
                      <c:pt idx="45">
                        <c:v>2065</c:v>
                      </c:pt>
                      <c:pt idx="46">
                        <c:v>2066</c:v>
                      </c:pt>
                      <c:pt idx="47">
                        <c:v>2067</c:v>
                      </c:pt>
                      <c:pt idx="48">
                        <c:v>2068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'Scenario 1'!$B$53:$AX$53</c15:sqref>
                        </c15:formulaRef>
                      </c:ext>
                    </c:extLst>
                    <c:numCache>
                      <c:formatCode>General</c:formatCode>
                      <c:ptCount val="4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9B97-4C8F-9DCC-C39058CE15F3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4"/>
          <c:order val="4"/>
          <c:tx>
            <c:strRef>
              <c:f>'Scenario 1'!$A$56</c:f>
              <c:strCache>
                <c:ptCount val="1"/>
                <c:pt idx="0">
                  <c:v>Tax Adjusted Accum Edit Amort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'Scenario 1'!$B$50:$AX$50</c:f>
              <c:strCache>
                <c:ptCount val="49"/>
                <c:pt idx="1">
                  <c:v>Jul - Dec 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  <c:pt idx="20">
                  <c:v>2039</c:v>
                </c:pt>
                <c:pt idx="21">
                  <c:v>2040</c:v>
                </c:pt>
                <c:pt idx="22">
                  <c:v>2041</c:v>
                </c:pt>
                <c:pt idx="23">
                  <c:v>2042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</c:strCache>
            </c:strRef>
          </c:cat>
          <c:val>
            <c:numRef>
              <c:f>'Scenario 1'!$B$56:$AX$56</c:f>
              <c:numCache>
                <c:formatCode>_(* #,##0_);_(* \(#,##0\);_(* "-"??_);_(@_)</c:formatCode>
                <c:ptCount val="49"/>
                <c:pt idx="1">
                  <c:v>16217633.469527341</c:v>
                </c:pt>
                <c:pt idx="2">
                  <c:v>46616956.018501997</c:v>
                </c:pt>
                <c:pt idx="3">
                  <c:v>77502035.506622136</c:v>
                </c:pt>
                <c:pt idx="4">
                  <c:v>107419069.37608965</c:v>
                </c:pt>
                <c:pt idx="5">
                  <c:v>137628134.32647184</c:v>
                </c:pt>
                <c:pt idx="6">
                  <c:v>168395596.13265324</c:v>
                </c:pt>
                <c:pt idx="7">
                  <c:v>199997862.55681968</c:v>
                </c:pt>
                <c:pt idx="8">
                  <c:v>230370210.33592546</c:v>
                </c:pt>
                <c:pt idx="9">
                  <c:v>262364859.56880039</c:v>
                </c:pt>
                <c:pt idx="10">
                  <c:v>295442145.76625854</c:v>
                </c:pt>
                <c:pt idx="11">
                  <c:v>328390045.88031948</c:v>
                </c:pt>
                <c:pt idx="12">
                  <c:v>359798785.00043082</c:v>
                </c:pt>
                <c:pt idx="13">
                  <c:v>389693136.13173133</c:v>
                </c:pt>
                <c:pt idx="14">
                  <c:v>420848115.2869913</c:v>
                </c:pt>
                <c:pt idx="15">
                  <c:v>451708692.71307099</c:v>
                </c:pt>
                <c:pt idx="16">
                  <c:v>479307907.70843279</c:v>
                </c:pt>
                <c:pt idx="17">
                  <c:v>506449814.11686313</c:v>
                </c:pt>
                <c:pt idx="18">
                  <c:v>531869261.38358426</c:v>
                </c:pt>
                <c:pt idx="19">
                  <c:v>556405881.01470292</c:v>
                </c:pt>
                <c:pt idx="20">
                  <c:v>580036091.69740033</c:v>
                </c:pt>
                <c:pt idx="21">
                  <c:v>602431780.90939295</c:v>
                </c:pt>
                <c:pt idx="22">
                  <c:v>623950266.24021459</c:v>
                </c:pt>
                <c:pt idx="23">
                  <c:v>644564814.37824011</c:v>
                </c:pt>
                <c:pt idx="24">
                  <c:v>663388573.82076991</c:v>
                </c:pt>
                <c:pt idx="25">
                  <c:v>681681990.9672327</c:v>
                </c:pt>
                <c:pt idx="26">
                  <c:v>699436794.95424688</c:v>
                </c:pt>
                <c:pt idx="27">
                  <c:v>716604294.94456601</c:v>
                </c:pt>
                <c:pt idx="28">
                  <c:v>733150038.02907765</c:v>
                </c:pt>
                <c:pt idx="29">
                  <c:v>749095553.20546222</c:v>
                </c:pt>
                <c:pt idx="30">
                  <c:v>764037764.9999398</c:v>
                </c:pt>
                <c:pt idx="31">
                  <c:v>778117843.0922507</c:v>
                </c:pt>
                <c:pt idx="32">
                  <c:v>791385530.75538802</c:v>
                </c:pt>
                <c:pt idx="33">
                  <c:v>803887701.18175066</c:v>
                </c:pt>
                <c:pt idx="34">
                  <c:v>815668523.08066297</c:v>
                </c:pt>
                <c:pt idx="35">
                  <c:v>826769616.72127092</c:v>
                </c:pt>
                <c:pt idx="36">
                  <c:v>837230200.9720968</c:v>
                </c:pt>
                <c:pt idx="37">
                  <c:v>847087231.85672534</c:v>
                </c:pt>
                <c:pt idx="38">
                  <c:v>856375533.11512303</c:v>
                </c:pt>
                <c:pt idx="39">
                  <c:v>865127919.231848</c:v>
                </c:pt>
                <c:pt idx="40">
                  <c:v>873375311.36579514</c:v>
                </c:pt>
                <c:pt idx="41">
                  <c:v>881146846.5910424</c:v>
                </c:pt>
                <c:pt idx="42">
                  <c:v>888469980.83473372</c:v>
                </c:pt>
                <c:pt idx="43">
                  <c:v>895370585.87566602</c:v>
                </c:pt>
                <c:pt idx="44">
                  <c:v>901873040.74626493</c:v>
                </c:pt>
                <c:pt idx="45">
                  <c:v>908000317.86086178</c:v>
                </c:pt>
                <c:pt idx="46">
                  <c:v>913774064.17455268</c:v>
                </c:pt>
                <c:pt idx="47">
                  <c:v>919214677.6593653</c:v>
                </c:pt>
                <c:pt idx="48">
                  <c:v>923344280.59158206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97-4C8F-9DCC-C39058CE1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5837632"/>
        <c:axId val="725840256"/>
      </c:lineChart>
      <c:catAx>
        <c:axId val="72583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5840256"/>
        <c:crosses val="autoZero"/>
        <c:auto val="1"/>
        <c:lblAlgn val="ctr"/>
        <c:lblOffset val="100"/>
        <c:noMultiLvlLbl val="0"/>
      </c:catAx>
      <c:valAx>
        <c:axId val="725840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5837632"/>
        <c:crosses val="autoZero"/>
        <c:crossBetween val="between"/>
      </c:valAx>
      <c:valAx>
        <c:axId val="739813840"/>
        <c:scaling>
          <c:orientation val="minMax"/>
        </c:scaling>
        <c:delete val="0"/>
        <c:axPos val="r"/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811872"/>
        <c:crosses val="max"/>
        <c:crossBetween val="between"/>
      </c:valAx>
      <c:catAx>
        <c:axId val="739811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98138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278186</xdr:colOff>
      <xdr:row>29</xdr:row>
      <xdr:rowOff>167901</xdr:rowOff>
    </xdr:from>
    <xdr:to>
      <xdr:col>15</xdr:col>
      <xdr:colOff>641724</xdr:colOff>
      <xdr:row>46</xdr:row>
      <xdr:rowOff>82177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278186</xdr:colOff>
      <xdr:row>29</xdr:row>
      <xdr:rowOff>167901</xdr:rowOff>
    </xdr:from>
    <xdr:to>
      <xdr:col>15</xdr:col>
      <xdr:colOff>641724</xdr:colOff>
      <xdr:row>46</xdr:row>
      <xdr:rowOff>82177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278186</xdr:colOff>
      <xdr:row>30</xdr:row>
      <xdr:rowOff>167901</xdr:rowOff>
    </xdr:from>
    <xdr:to>
      <xdr:col>15</xdr:col>
      <xdr:colOff>641724</xdr:colOff>
      <xdr:row>47</xdr:row>
      <xdr:rowOff>82177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90529-30-PSE%20Resp%20BENCH%20Req%20015_Attach%20A-Storm-5-1-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90529-30-PSE%20Resp%20BENCH%20Req%20015_Attach%20A-Environmental%20Remediation-5-1-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90529-30-PSE%20Resp%20BENCH%20Req%20015_Attach%20A-AMI%20&amp;%20GTZ-5-1-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190529-30-PSE%20Resp%20BENCH%20Req%20015_Attach%20A-Decoupling%20Electric-5-1-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190529-30-PSE%20Resp%20BENCH%20Req%20015_Attach%20A-Major%20Maintenance-5-1-20%20(R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190529-30-PSE%20Resp%20BENCH%20Req%20015_Attach%20A-Other%20Reg%20Assets-5-1-20%20(R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190529-30-PSE%20Resp%20BENCH%20Req%20015_Attach%20A-PGA-5-1-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rm Summary"/>
      <sheetName val="Storm"/>
    </sheetNames>
    <sheetDataSet>
      <sheetData sheetId="0">
        <row r="11">
          <cell r="F11">
            <v>109231674.87096781</v>
          </cell>
          <cell r="G11">
            <v>38844187.799999997</v>
          </cell>
        </row>
      </sheetData>
      <sheetData sheetId="1">
        <row r="48">
          <cell r="V48">
            <v>19345035.044999998</v>
          </cell>
        </row>
        <row r="60">
          <cell r="V60">
            <v>38121790.829999998</v>
          </cell>
        </row>
        <row r="72">
          <cell r="V72">
            <v>22428528.929999996</v>
          </cell>
        </row>
        <row r="84">
          <cell r="V84">
            <v>22652745.000967808</v>
          </cell>
        </row>
        <row r="96">
          <cell r="V96">
            <v>6683575.0650000004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v Summary"/>
      <sheetName val="Electric"/>
      <sheetName val="2019 GRC Elec Amort Sch "/>
      <sheetName val="2017 GRC Elec Amort Sch"/>
      <sheetName val="Gas"/>
      <sheetName val="2019 GRC Gas Amort Sch"/>
      <sheetName val="2017 GRC Gas Amort Sch"/>
    </sheetNames>
    <sheetDataSet>
      <sheetData sheetId="0">
        <row r="9">
          <cell r="F9">
            <v>3993707.5226259204</v>
          </cell>
          <cell r="G9">
            <v>1575832.6603212093</v>
          </cell>
        </row>
        <row r="13">
          <cell r="F13">
            <v>25349170.011788454</v>
          </cell>
          <cell r="G13">
            <v>9460164.1915668938</v>
          </cell>
        </row>
      </sheetData>
      <sheetData sheetId="1">
        <row r="62">
          <cell r="L62">
            <v>787916.33016060479</v>
          </cell>
        </row>
        <row r="74">
          <cell r="L74">
            <v>1575832.6603212096</v>
          </cell>
        </row>
        <row r="86">
          <cell r="L86">
            <v>1275180.6303212096</v>
          </cell>
        </row>
        <row r="98">
          <cell r="L98">
            <v>152047.67220981533</v>
          </cell>
        </row>
        <row r="110">
          <cell r="L110">
            <v>152047.67220981533</v>
          </cell>
        </row>
        <row r="122">
          <cell r="L122">
            <v>50682.557403271756</v>
          </cell>
        </row>
      </sheetData>
      <sheetData sheetId="2"/>
      <sheetData sheetId="3"/>
      <sheetData sheetId="4">
        <row r="73">
          <cell r="L73">
            <v>4730082.0957834478</v>
          </cell>
        </row>
        <row r="85">
          <cell r="L85">
            <v>9460164.1915668976</v>
          </cell>
        </row>
        <row r="97">
          <cell r="L97">
            <v>9159512.1615668964</v>
          </cell>
        </row>
        <row r="109">
          <cell r="L109">
            <v>856890.66980194487</v>
          </cell>
        </row>
        <row r="121">
          <cell r="L121">
            <v>856890.66980194487</v>
          </cell>
        </row>
      </sheetData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ize AMI and GTZ"/>
      <sheetName val="GTZ Common"/>
      <sheetName val="GTZ CC Common"/>
      <sheetName val="GTZ Actuals"/>
      <sheetName val="GTZ #1 Actuals"/>
      <sheetName val="GTZ #2 Actuals"/>
      <sheetName val="GTZ CC Actuals"/>
      <sheetName val="GTZ #1 CC Actuals"/>
      <sheetName val="GTZ #2 CC Actuals"/>
      <sheetName val="AMI E"/>
      <sheetName val="AMI RB Ret E"/>
      <sheetName val="AMI G"/>
      <sheetName val="AMI RB Ret G"/>
      <sheetName val="AMI Actuals"/>
      <sheetName val="AMI Actual Tranche 1"/>
      <sheetName val="AMI Actual Tranche 2"/>
      <sheetName val="AMI Def Return Actuals"/>
      <sheetName val="190529-30-PSE Resp BENCH Req 01"/>
    </sheetNames>
    <sheetDataSet>
      <sheetData sheetId="0">
        <row r="13">
          <cell r="E13">
            <v>19900000</v>
          </cell>
          <cell r="F13">
            <v>7000000</v>
          </cell>
        </row>
        <row r="25">
          <cell r="E25">
            <v>13700000</v>
          </cell>
          <cell r="F25">
            <v>4900000</v>
          </cell>
        </row>
        <row r="37">
          <cell r="E37">
            <v>10200000</v>
          </cell>
          <cell r="F37">
            <v>3600000</v>
          </cell>
        </row>
        <row r="49">
          <cell r="E49">
            <v>5800000</v>
          </cell>
          <cell r="F49">
            <v>2100000</v>
          </cell>
        </row>
      </sheetData>
      <sheetData sheetId="1"/>
      <sheetData sheetId="2">
        <row r="33">
          <cell r="O33">
            <v>3517335.9742308543</v>
          </cell>
          <cell r="P33">
            <v>1796663.0803557213</v>
          </cell>
        </row>
        <row r="45">
          <cell r="O45">
            <v>7034671.9484617077</v>
          </cell>
          <cell r="P45">
            <v>3593326.1607114417</v>
          </cell>
        </row>
        <row r="57">
          <cell r="O57">
            <v>7034671.9484617077</v>
          </cell>
          <cell r="P57">
            <v>3593326.1607114417</v>
          </cell>
        </row>
        <row r="69">
          <cell r="O69">
            <v>2344890.6494872365</v>
          </cell>
          <cell r="P69">
            <v>1197775.3869038143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33">
          <cell r="P33">
            <v>2434222.5440110983</v>
          </cell>
        </row>
        <row r="45">
          <cell r="P45">
            <v>4868445.0880221967</v>
          </cell>
        </row>
        <row r="57">
          <cell r="P57">
            <v>4868445.0880221967</v>
          </cell>
        </row>
        <row r="69">
          <cell r="P69">
            <v>1622815.0293407328</v>
          </cell>
        </row>
      </sheetData>
      <sheetData sheetId="10"/>
      <sheetData sheetId="11">
        <row r="33">
          <cell r="P33">
            <v>1032946.0332082264</v>
          </cell>
        </row>
        <row r="45">
          <cell r="P45">
            <v>2065892.0664164529</v>
          </cell>
        </row>
        <row r="57">
          <cell r="P57">
            <v>2065892.0664164529</v>
          </cell>
        </row>
        <row r="69">
          <cell r="P69">
            <v>688630.68880548433</v>
          </cell>
        </row>
      </sheetData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18">
          <cell r="N18">
            <v>20602697.929336835</v>
          </cell>
        </row>
        <row r="21">
          <cell r="N21">
            <v>17607440.084569436</v>
          </cell>
        </row>
      </sheetData>
      <sheetData sheetId="1">
        <row r="26">
          <cell r="J26">
            <v>10509810.084012002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acted"/>
      <sheetName val="MM Balances (R)"/>
      <sheetName val="Major Maintenance (R) "/>
    </sheetNames>
    <sheetDataSet>
      <sheetData sheetId="0"/>
      <sheetData sheetId="1">
        <row r="29">
          <cell r="AJ29">
            <v>26162338.670000006</v>
          </cell>
        </row>
        <row r="31">
          <cell r="AP31">
            <v>3465060.8999999985</v>
          </cell>
          <cell r="BB31">
            <v>5440642.3299999908</v>
          </cell>
          <cell r="BN31">
            <v>4410185.3799999915</v>
          </cell>
          <cell r="BZ31">
            <v>3800077.4400000013</v>
          </cell>
          <cell r="CL31">
            <v>2801045.6900000004</v>
          </cell>
          <cell r="CX31">
            <v>1963456.1499999957</v>
          </cell>
          <cell r="DJ31">
            <v>1588503.1700000092</v>
          </cell>
          <cell r="DV31">
            <v>1043861.9400000297</v>
          </cell>
          <cell r="EH31">
            <v>669755.80000000144</v>
          </cell>
          <cell r="ET31">
            <v>512298.43000001251</v>
          </cell>
          <cell r="FF31">
            <v>436228.32000001287</v>
          </cell>
        </row>
      </sheetData>
      <sheetData sheetId="2">
        <row r="51">
          <cell r="J51">
            <v>7631303.1433892883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acted"/>
      <sheetName val="Chelan"/>
      <sheetName val="White River"/>
      <sheetName val="LSR"/>
      <sheetName val="LSR BPA LGIA"/>
      <sheetName val="LSR Carrying Charge"/>
      <sheetName val="BPA transmission (R)"/>
      <sheetName val="Mint Farm"/>
      <sheetName val="190529-30-PSE Resp BENCH Req 01"/>
    </sheetNames>
    <sheetDataSet>
      <sheetData sheetId="0"/>
      <sheetData sheetId="1">
        <row r="181">
          <cell r="H181">
            <v>590672.13492638397</v>
          </cell>
        </row>
        <row r="182">
          <cell r="H182">
            <v>590672.13492638397</v>
          </cell>
          <cell r="L182">
            <v>80331410.349988148</v>
          </cell>
        </row>
        <row r="183">
          <cell r="H183">
            <v>590672.13492638397</v>
          </cell>
        </row>
        <row r="184">
          <cell r="H184">
            <v>590672.13492638397</v>
          </cell>
        </row>
        <row r="185">
          <cell r="H185">
            <v>590672.13492638397</v>
          </cell>
        </row>
        <row r="186">
          <cell r="H186">
            <v>590672.13492638397</v>
          </cell>
        </row>
        <row r="187">
          <cell r="H187">
            <v>590672.13492638397</v>
          </cell>
        </row>
        <row r="188">
          <cell r="H188">
            <v>590672.13492638397</v>
          </cell>
        </row>
        <row r="189">
          <cell r="H189">
            <v>590672.13492638397</v>
          </cell>
        </row>
        <row r="190">
          <cell r="H190">
            <v>590672.13492638397</v>
          </cell>
        </row>
        <row r="191">
          <cell r="H191">
            <v>590672.13492638397</v>
          </cell>
        </row>
        <row r="192">
          <cell r="H192">
            <v>590672.13492638397</v>
          </cell>
        </row>
        <row r="193">
          <cell r="H193">
            <v>590672.13492638397</v>
          </cell>
        </row>
        <row r="194">
          <cell r="H194">
            <v>590672.13492638397</v>
          </cell>
        </row>
        <row r="195">
          <cell r="H195">
            <v>590672.13492638397</v>
          </cell>
        </row>
        <row r="196">
          <cell r="H196">
            <v>590672.13492638397</v>
          </cell>
        </row>
        <row r="197">
          <cell r="H197">
            <v>590672.13492638397</v>
          </cell>
        </row>
        <row r="198">
          <cell r="H198">
            <v>590672.13492638397</v>
          </cell>
        </row>
        <row r="199">
          <cell r="H199">
            <v>590672.13492638397</v>
          </cell>
        </row>
        <row r="200">
          <cell r="H200">
            <v>590672.13492638397</v>
          </cell>
        </row>
        <row r="201">
          <cell r="H201">
            <v>590672.13492638397</v>
          </cell>
        </row>
        <row r="202">
          <cell r="H202">
            <v>590672.13492638397</v>
          </cell>
        </row>
        <row r="203">
          <cell r="H203">
            <v>590672.13492638397</v>
          </cell>
        </row>
        <row r="204">
          <cell r="H204">
            <v>590672.13492638397</v>
          </cell>
        </row>
        <row r="205">
          <cell r="H205">
            <v>590672.13492638397</v>
          </cell>
        </row>
        <row r="206">
          <cell r="H206">
            <v>590672.13492638397</v>
          </cell>
        </row>
        <row r="207">
          <cell r="H207">
            <v>590672.13492638397</v>
          </cell>
        </row>
        <row r="208">
          <cell r="H208">
            <v>590672.13492638397</v>
          </cell>
        </row>
        <row r="209">
          <cell r="H209">
            <v>590672.13492638397</v>
          </cell>
        </row>
        <row r="210">
          <cell r="H210">
            <v>590672.13492638397</v>
          </cell>
        </row>
        <row r="211">
          <cell r="H211">
            <v>590672.13492638397</v>
          </cell>
        </row>
        <row r="212">
          <cell r="H212">
            <v>590672.13492638397</v>
          </cell>
        </row>
        <row r="213">
          <cell r="H213">
            <v>590672.13492638397</v>
          </cell>
        </row>
        <row r="214">
          <cell r="H214">
            <v>590672.13492638397</v>
          </cell>
        </row>
        <row r="215">
          <cell r="H215">
            <v>590672.13492638397</v>
          </cell>
        </row>
        <row r="216">
          <cell r="H216">
            <v>590672.13492638397</v>
          </cell>
        </row>
        <row r="217">
          <cell r="H217">
            <v>590672.13492638397</v>
          </cell>
        </row>
        <row r="218">
          <cell r="H218">
            <v>590672.13492638397</v>
          </cell>
        </row>
        <row r="219">
          <cell r="H219">
            <v>590672.13492638397</v>
          </cell>
        </row>
        <row r="220">
          <cell r="H220">
            <v>590672.13492638397</v>
          </cell>
        </row>
        <row r="221">
          <cell r="H221">
            <v>590672.13492638397</v>
          </cell>
        </row>
        <row r="222">
          <cell r="H222">
            <v>590672.13492638397</v>
          </cell>
        </row>
        <row r="223">
          <cell r="H223">
            <v>590672.13492638397</v>
          </cell>
        </row>
        <row r="224">
          <cell r="H224">
            <v>590672.13492638397</v>
          </cell>
        </row>
        <row r="225">
          <cell r="H225">
            <v>590672.13492638397</v>
          </cell>
        </row>
        <row r="226">
          <cell r="H226">
            <v>590672.13492638397</v>
          </cell>
        </row>
        <row r="227">
          <cell r="H227">
            <v>590672.13492638397</v>
          </cell>
        </row>
        <row r="228">
          <cell r="H228">
            <v>590672.13492638397</v>
          </cell>
        </row>
        <row r="229">
          <cell r="H229">
            <v>590672.13492638397</v>
          </cell>
        </row>
        <row r="230">
          <cell r="H230">
            <v>590672.13492638397</v>
          </cell>
        </row>
        <row r="231">
          <cell r="H231">
            <v>590672.13492638397</v>
          </cell>
        </row>
        <row r="232">
          <cell r="H232">
            <v>590672.13492638397</v>
          </cell>
        </row>
        <row r="233">
          <cell r="H233">
            <v>590672.13492638397</v>
          </cell>
        </row>
        <row r="234">
          <cell r="H234">
            <v>590672.13492638397</v>
          </cell>
        </row>
        <row r="235">
          <cell r="H235">
            <v>590672.13492638397</v>
          </cell>
        </row>
        <row r="236">
          <cell r="H236">
            <v>590672.13492638397</v>
          </cell>
        </row>
        <row r="237">
          <cell r="H237">
            <v>590672.13492638397</v>
          </cell>
        </row>
        <row r="238">
          <cell r="H238">
            <v>590672.13492638397</v>
          </cell>
        </row>
        <row r="239">
          <cell r="H239">
            <v>590672.13492638397</v>
          </cell>
        </row>
        <row r="240">
          <cell r="H240">
            <v>590672.13492638397</v>
          </cell>
        </row>
        <row r="241">
          <cell r="H241">
            <v>590672.13492638397</v>
          </cell>
        </row>
        <row r="242">
          <cell r="H242">
            <v>590672.13492638397</v>
          </cell>
        </row>
        <row r="243">
          <cell r="H243">
            <v>590672.13492638397</v>
          </cell>
        </row>
        <row r="244">
          <cell r="H244">
            <v>590672.13492638397</v>
          </cell>
        </row>
        <row r="245">
          <cell r="H245">
            <v>590672.13492638397</v>
          </cell>
        </row>
        <row r="246">
          <cell r="H246">
            <v>590672.13492638397</v>
          </cell>
        </row>
        <row r="247">
          <cell r="H247">
            <v>590672.13492638397</v>
          </cell>
        </row>
        <row r="248">
          <cell r="H248">
            <v>590672.13492638397</v>
          </cell>
        </row>
        <row r="249">
          <cell r="H249">
            <v>590672.13492638397</v>
          </cell>
        </row>
        <row r="250">
          <cell r="H250">
            <v>590672.13492638397</v>
          </cell>
        </row>
        <row r="251">
          <cell r="H251">
            <v>590672.13492638397</v>
          </cell>
        </row>
        <row r="252">
          <cell r="H252">
            <v>590672.13492638397</v>
          </cell>
        </row>
        <row r="253">
          <cell r="H253">
            <v>590672.13492638397</v>
          </cell>
        </row>
        <row r="254">
          <cell r="H254">
            <v>590672.13492638397</v>
          </cell>
        </row>
        <row r="255">
          <cell r="H255">
            <v>590672.13492638397</v>
          </cell>
        </row>
        <row r="256">
          <cell r="H256">
            <v>590672.13492638397</v>
          </cell>
        </row>
        <row r="257">
          <cell r="H257">
            <v>590672.13492638397</v>
          </cell>
        </row>
        <row r="258">
          <cell r="H258">
            <v>590672.13492638397</v>
          </cell>
        </row>
        <row r="259">
          <cell r="H259">
            <v>590672.13492638397</v>
          </cell>
        </row>
        <row r="260">
          <cell r="H260">
            <v>590672.13492638397</v>
          </cell>
        </row>
        <row r="261">
          <cell r="H261">
            <v>590672.13492638397</v>
          </cell>
        </row>
        <row r="262">
          <cell r="H262">
            <v>590672.13492638397</v>
          </cell>
        </row>
        <row r="263">
          <cell r="H263">
            <v>590672.13492638397</v>
          </cell>
        </row>
        <row r="264">
          <cell r="H264">
            <v>590672.13492638397</v>
          </cell>
        </row>
        <row r="265">
          <cell r="H265">
            <v>590672.13492638397</v>
          </cell>
        </row>
        <row r="266">
          <cell r="H266">
            <v>590672.13492638397</v>
          </cell>
        </row>
        <row r="267">
          <cell r="H267">
            <v>590672.13492638397</v>
          </cell>
        </row>
        <row r="268">
          <cell r="H268">
            <v>590672.13492638397</v>
          </cell>
        </row>
        <row r="269">
          <cell r="H269">
            <v>590672.13492638397</v>
          </cell>
        </row>
        <row r="270">
          <cell r="H270">
            <v>590672.13492638397</v>
          </cell>
        </row>
        <row r="271">
          <cell r="H271">
            <v>590672.13492638397</v>
          </cell>
        </row>
        <row r="272">
          <cell r="H272">
            <v>590672.13492638397</v>
          </cell>
        </row>
        <row r="273">
          <cell r="H273">
            <v>590672.13492638397</v>
          </cell>
        </row>
        <row r="274">
          <cell r="H274">
            <v>590672.13492638397</v>
          </cell>
        </row>
        <row r="275">
          <cell r="H275">
            <v>590672.13492638397</v>
          </cell>
        </row>
        <row r="276">
          <cell r="H276">
            <v>590672.13492638397</v>
          </cell>
        </row>
        <row r="277">
          <cell r="H277">
            <v>590672.13492638397</v>
          </cell>
        </row>
        <row r="278">
          <cell r="H278">
            <v>590672.13492638397</v>
          </cell>
        </row>
        <row r="279">
          <cell r="H279">
            <v>590672.13492638397</v>
          </cell>
        </row>
        <row r="280">
          <cell r="H280">
            <v>590672.13492638397</v>
          </cell>
        </row>
        <row r="281">
          <cell r="H281">
            <v>590672.13492638397</v>
          </cell>
        </row>
        <row r="282">
          <cell r="H282">
            <v>590672.13492638397</v>
          </cell>
        </row>
        <row r="283">
          <cell r="H283">
            <v>590672.13492638397</v>
          </cell>
        </row>
        <row r="284">
          <cell r="H284">
            <v>590672.13492638397</v>
          </cell>
        </row>
        <row r="285">
          <cell r="H285">
            <v>590672.13492638397</v>
          </cell>
        </row>
        <row r="286">
          <cell r="H286">
            <v>590672.13492638397</v>
          </cell>
        </row>
        <row r="287">
          <cell r="H287">
            <v>590672.13492638397</v>
          </cell>
        </row>
        <row r="288">
          <cell r="H288">
            <v>590672.13492638397</v>
          </cell>
        </row>
        <row r="289">
          <cell r="H289">
            <v>590672.13492638397</v>
          </cell>
        </row>
        <row r="290">
          <cell r="H290">
            <v>590672.13492638397</v>
          </cell>
        </row>
        <row r="291">
          <cell r="H291">
            <v>590672.13492638397</v>
          </cell>
        </row>
        <row r="292">
          <cell r="H292">
            <v>590672.13492638397</v>
          </cell>
        </row>
        <row r="293">
          <cell r="H293">
            <v>590672.13492638397</v>
          </cell>
        </row>
        <row r="294">
          <cell r="H294">
            <v>590672.13492638397</v>
          </cell>
        </row>
        <row r="295">
          <cell r="H295">
            <v>590672.13492638397</v>
          </cell>
        </row>
        <row r="296">
          <cell r="H296">
            <v>590672.13492638397</v>
          </cell>
        </row>
        <row r="297">
          <cell r="H297">
            <v>590672.13492638397</v>
          </cell>
        </row>
        <row r="298">
          <cell r="H298">
            <v>590672.13492638397</v>
          </cell>
        </row>
        <row r="299">
          <cell r="H299">
            <v>590672.13492638397</v>
          </cell>
        </row>
        <row r="300">
          <cell r="H300">
            <v>590672.13492638397</v>
          </cell>
        </row>
        <row r="301">
          <cell r="H301">
            <v>590672.13492638397</v>
          </cell>
        </row>
        <row r="302">
          <cell r="H302">
            <v>590672.13492638397</v>
          </cell>
        </row>
        <row r="303">
          <cell r="H303">
            <v>590672.13492638397</v>
          </cell>
        </row>
        <row r="304">
          <cell r="H304">
            <v>590672.13492638397</v>
          </cell>
        </row>
        <row r="305">
          <cell r="H305">
            <v>590672.13492638397</v>
          </cell>
        </row>
        <row r="306">
          <cell r="H306">
            <v>590672.13492638397</v>
          </cell>
        </row>
        <row r="307">
          <cell r="H307">
            <v>590672.13492638397</v>
          </cell>
        </row>
        <row r="308">
          <cell r="H308">
            <v>590672.13492638397</v>
          </cell>
        </row>
        <row r="309">
          <cell r="H309">
            <v>590672.13492638397</v>
          </cell>
        </row>
        <row r="310">
          <cell r="H310">
            <v>590672.13492638397</v>
          </cell>
        </row>
        <row r="311">
          <cell r="H311">
            <v>590672.13492638397</v>
          </cell>
        </row>
        <row r="312">
          <cell r="H312">
            <v>590672.13492638397</v>
          </cell>
        </row>
        <row r="313">
          <cell r="H313">
            <v>590672.13492638397</v>
          </cell>
        </row>
        <row r="314">
          <cell r="H314">
            <v>590672.13492638397</v>
          </cell>
        </row>
        <row r="315">
          <cell r="H315">
            <v>590672.13492638397</v>
          </cell>
        </row>
        <row r="316">
          <cell r="H316">
            <v>590672.13492638397</v>
          </cell>
        </row>
        <row r="317">
          <cell r="H317">
            <v>590672.13492638397</v>
          </cell>
        </row>
        <row r="318">
          <cell r="H318">
            <v>590672.13492638397</v>
          </cell>
        </row>
        <row r="319">
          <cell r="H319">
            <v>5.6624412536621094E-7</v>
          </cell>
        </row>
        <row r="320">
          <cell r="H320">
            <v>5.6624412536621094E-7</v>
          </cell>
        </row>
      </sheetData>
      <sheetData sheetId="2"/>
      <sheetData sheetId="3">
        <row r="11">
          <cell r="E11">
            <v>65300000</v>
          </cell>
          <cell r="F11">
            <v>4800000</v>
          </cell>
        </row>
      </sheetData>
      <sheetData sheetId="4">
        <row r="158">
          <cell r="T158">
            <v>2438618.4408948151</v>
          </cell>
        </row>
        <row r="170">
          <cell r="T170">
            <v>5101773.7094108649</v>
          </cell>
        </row>
        <row r="182">
          <cell r="T182">
            <v>5551121.6759751299</v>
          </cell>
        </row>
        <row r="194">
          <cell r="T194">
            <v>5827664.3096241662</v>
          </cell>
        </row>
        <row r="206">
          <cell r="T206">
            <v>6317428.2359536272</v>
          </cell>
        </row>
        <row r="218">
          <cell r="T218">
            <v>6631622.2770301746</v>
          </cell>
        </row>
        <row r="230">
          <cell r="T230">
            <v>7173188.2403342072</v>
          </cell>
        </row>
        <row r="242">
          <cell r="T242">
            <v>7521193.7422146806</v>
          </cell>
        </row>
        <row r="254">
          <cell r="T254">
            <v>8113886.2418001937</v>
          </cell>
        </row>
        <row r="266">
          <cell r="T266">
            <v>5436761.4228515411</v>
          </cell>
        </row>
        <row r="278">
          <cell r="T278">
            <v>687420</v>
          </cell>
        </row>
        <row r="290">
          <cell r="T290">
            <v>687420</v>
          </cell>
        </row>
        <row r="302">
          <cell r="T302">
            <v>687420</v>
          </cell>
        </row>
        <row r="314">
          <cell r="T314">
            <v>687420</v>
          </cell>
        </row>
        <row r="326">
          <cell r="T326">
            <v>687420</v>
          </cell>
        </row>
        <row r="338">
          <cell r="T338">
            <v>687420</v>
          </cell>
        </row>
        <row r="350">
          <cell r="T350">
            <v>687420</v>
          </cell>
        </row>
        <row r="362">
          <cell r="T362">
            <v>308424.14923077449</v>
          </cell>
        </row>
      </sheetData>
      <sheetData sheetId="5"/>
      <sheetData sheetId="6"/>
      <sheetData sheetId="7">
        <row r="150">
          <cell r="G150">
            <v>240421</v>
          </cell>
        </row>
        <row r="151">
          <cell r="E151">
            <v>43104804.375022314</v>
          </cell>
          <cell r="G151">
            <v>240421</v>
          </cell>
          <cell r="H151">
            <v>-29567047</v>
          </cell>
        </row>
        <row r="152">
          <cell r="G152">
            <v>240421</v>
          </cell>
        </row>
        <row r="153">
          <cell r="G153">
            <v>240421</v>
          </cell>
        </row>
        <row r="154">
          <cell r="G154">
            <v>240421</v>
          </cell>
        </row>
        <row r="155">
          <cell r="G155">
            <v>240421</v>
          </cell>
        </row>
        <row r="156">
          <cell r="G156">
            <v>240421</v>
          </cell>
        </row>
        <row r="157">
          <cell r="G157">
            <v>240421</v>
          </cell>
          <cell r="P157">
            <v>1442526</v>
          </cell>
        </row>
        <row r="158">
          <cell r="G158">
            <v>240421</v>
          </cell>
        </row>
        <row r="159">
          <cell r="G159">
            <v>240421</v>
          </cell>
        </row>
        <row r="160">
          <cell r="G160">
            <v>240421</v>
          </cell>
        </row>
        <row r="161">
          <cell r="G161">
            <v>240421</v>
          </cell>
        </row>
        <row r="169">
          <cell r="P169">
            <v>2885052</v>
          </cell>
        </row>
        <row r="181">
          <cell r="P181">
            <v>2885052</v>
          </cell>
        </row>
        <row r="193">
          <cell r="P193">
            <v>2885052</v>
          </cell>
        </row>
        <row r="205">
          <cell r="P205">
            <v>2885052</v>
          </cell>
        </row>
        <row r="217">
          <cell r="P217">
            <v>555023.37502230704</v>
          </cell>
        </row>
      </sheetData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-2020 PGA Balance"/>
      <sheetName val="PGA F2019 Revenue "/>
      <sheetName val="106 Rates"/>
      <sheetName val="F2019 Forecast"/>
    </sheetNames>
    <sheetDataSet>
      <sheetData sheetId="0">
        <row r="7">
          <cell r="C7">
            <v>70600150.086663485</v>
          </cell>
        </row>
        <row r="8">
          <cell r="B8">
            <v>-1621535.8732319998</v>
          </cell>
        </row>
        <row r="9">
          <cell r="B9">
            <v>-1584860.2827764996</v>
          </cell>
        </row>
        <row r="10">
          <cell r="B10">
            <v>-2054411.6546100001</v>
          </cell>
        </row>
        <row r="11">
          <cell r="B11">
            <v>-4137017.3415419986</v>
          </cell>
        </row>
        <row r="12">
          <cell r="B12">
            <v>-6877468.8881644988</v>
          </cell>
        </row>
        <row r="13">
          <cell r="B13">
            <v>-8817043.7932434995</v>
          </cell>
        </row>
      </sheetData>
      <sheetData sheetId="1"/>
      <sheetData sheetId="2">
        <row r="35">
          <cell r="J35">
            <v>114358371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7"/>
  <sheetViews>
    <sheetView showGridLines="0" tabSelected="1" zoomScaleNormal="100" workbookViewId="0">
      <selection activeCell="E26" sqref="E26"/>
    </sheetView>
  </sheetViews>
  <sheetFormatPr defaultRowHeight="15" x14ac:dyDescent="0.25"/>
  <cols>
    <col min="1" max="1" width="1.85546875" customWidth="1"/>
    <col min="2" max="3" width="12.7109375" customWidth="1"/>
    <col min="4" max="4" width="12.5703125" bestFit="1" customWidth="1"/>
    <col min="5" max="6" width="13.7109375" bestFit="1" customWidth="1"/>
    <col min="7" max="7" width="13.42578125" bestFit="1" customWidth="1"/>
    <col min="8" max="10" width="13.7109375" bestFit="1" customWidth="1"/>
    <col min="11" max="12" width="11.42578125" bestFit="1" customWidth="1"/>
    <col min="13" max="13" width="13.7109375" bestFit="1" customWidth="1"/>
    <col min="14" max="16" width="11.42578125" bestFit="1" customWidth="1"/>
  </cols>
  <sheetData>
    <row r="1" spans="4:9" x14ac:dyDescent="0.25">
      <c r="D1" t="s">
        <v>84</v>
      </c>
    </row>
    <row r="3" spans="4:9" x14ac:dyDescent="0.25">
      <c r="D3" s="132" t="s">
        <v>0</v>
      </c>
      <c r="E3" s="133" t="s">
        <v>67</v>
      </c>
      <c r="F3" s="133" t="s">
        <v>59</v>
      </c>
      <c r="G3" s="134" t="s">
        <v>61</v>
      </c>
      <c r="H3" s="103"/>
      <c r="I3" s="103"/>
    </row>
    <row r="4" spans="4:9" x14ac:dyDescent="0.25">
      <c r="D4" s="118"/>
      <c r="E4" s="104" t="s">
        <v>68</v>
      </c>
      <c r="F4" s="104"/>
      <c r="G4" s="119"/>
      <c r="H4" s="103"/>
      <c r="I4" s="103"/>
    </row>
    <row r="5" spans="4:9" x14ac:dyDescent="0.25">
      <c r="D5" s="118"/>
      <c r="E5" s="105" t="s">
        <v>60</v>
      </c>
      <c r="F5" s="105"/>
      <c r="G5" s="120"/>
      <c r="H5" s="103"/>
      <c r="I5" s="103"/>
    </row>
    <row r="6" spans="4:9" x14ac:dyDescent="0.25">
      <c r="D6" s="121" t="s">
        <v>19</v>
      </c>
      <c r="E6" s="106">
        <f>'Scenario 1'!A24</f>
        <v>65364938.99631393</v>
      </c>
      <c r="F6" s="106">
        <f>'Scenario 2'!A24</f>
        <v>44762240.99631393</v>
      </c>
      <c r="G6" s="122">
        <f>'Scenario 3'!A24</f>
        <v>25242871.996313926</v>
      </c>
      <c r="H6" s="103"/>
      <c r="I6" s="103"/>
    </row>
    <row r="7" spans="4:9" x14ac:dyDescent="0.25">
      <c r="D7" s="121" t="s">
        <v>17</v>
      </c>
      <c r="E7" s="107">
        <f>'Scenario 1'!A25</f>
        <v>61651440.737863302</v>
      </c>
      <c r="F7" s="107">
        <f>'Scenario 2'!A25</f>
        <v>46491276.737863302</v>
      </c>
      <c r="G7" s="123">
        <f>'Scenario 3'!A25</f>
        <v>46491276.737863302</v>
      </c>
      <c r="H7" s="103"/>
      <c r="I7" s="103"/>
    </row>
    <row r="8" spans="4:9" ht="15.75" thickBot="1" x14ac:dyDescent="0.3">
      <c r="D8" s="121" t="s">
        <v>69</v>
      </c>
      <c r="E8" s="135">
        <f>SUM(E6:E7)</f>
        <v>127016379.73417723</v>
      </c>
      <c r="F8" s="135">
        <f t="shared" ref="F8:G8" si="0">SUM(F6:F7)</f>
        <v>91253517.734177232</v>
      </c>
      <c r="G8" s="136">
        <f t="shared" si="0"/>
        <v>71734148.734177232</v>
      </c>
      <c r="H8" s="103"/>
      <c r="I8" s="103"/>
    </row>
    <row r="9" spans="4:9" ht="15.75" thickTop="1" x14ac:dyDescent="0.25">
      <c r="D9" s="121"/>
      <c r="E9" s="106"/>
      <c r="F9" s="106"/>
      <c r="G9" s="122"/>
      <c r="H9" s="103"/>
      <c r="I9" s="103"/>
    </row>
    <row r="10" spans="4:9" x14ac:dyDescent="0.25">
      <c r="D10" s="118"/>
      <c r="E10" s="108" t="s">
        <v>71</v>
      </c>
      <c r="F10" s="108"/>
      <c r="G10" s="124"/>
      <c r="H10" s="103"/>
      <c r="I10" s="103"/>
    </row>
    <row r="11" spans="4:9" x14ac:dyDescent="0.25">
      <c r="D11" s="121" t="s">
        <v>19</v>
      </c>
      <c r="E11" s="109">
        <f>'Scenario 1'!B66</f>
        <v>13</v>
      </c>
      <c r="F11" s="109">
        <f>'Scenario 2'!B66</f>
        <v>12</v>
      </c>
      <c r="G11" s="125">
        <f>'Scenario 3'!B67</f>
        <v>6</v>
      </c>
      <c r="H11" s="103"/>
      <c r="I11" s="103"/>
    </row>
    <row r="12" spans="4:9" x14ac:dyDescent="0.25">
      <c r="D12" s="121" t="s">
        <v>17</v>
      </c>
      <c r="E12" s="109">
        <f>'Scenario 1'!B82</f>
        <v>15</v>
      </c>
      <c r="F12" s="109">
        <f>'Scenario 2'!B82</f>
        <v>10</v>
      </c>
      <c r="G12" s="125">
        <f>'Scenario 3'!B83</f>
        <v>10</v>
      </c>
      <c r="H12" s="103"/>
      <c r="I12" s="103"/>
    </row>
    <row r="13" spans="4:9" x14ac:dyDescent="0.25">
      <c r="D13" s="126"/>
      <c r="E13" s="110"/>
      <c r="F13" s="110"/>
      <c r="G13" s="127"/>
      <c r="H13" s="103"/>
      <c r="I13" s="103"/>
    </row>
    <row r="14" spans="4:9" x14ac:dyDescent="0.25">
      <c r="D14" s="128" t="s">
        <v>72</v>
      </c>
      <c r="E14" s="110"/>
      <c r="F14" s="110"/>
      <c r="G14" s="127"/>
      <c r="H14" s="103"/>
      <c r="I14" s="103"/>
    </row>
    <row r="15" spans="4:9" x14ac:dyDescent="0.25">
      <c r="D15" s="129"/>
      <c r="E15" s="130"/>
      <c r="F15" s="130"/>
      <c r="G15" s="131"/>
      <c r="H15" s="103"/>
      <c r="I15" s="103"/>
    </row>
    <row r="16" spans="4:9" x14ac:dyDescent="0.25">
      <c r="D16" s="103"/>
      <c r="E16" s="103"/>
      <c r="F16" s="103"/>
      <c r="G16" s="103"/>
      <c r="H16" s="103"/>
      <c r="I16" s="103"/>
    </row>
    <row r="17" spans="2:9" x14ac:dyDescent="0.25">
      <c r="B17" s="44"/>
      <c r="C17" s="45"/>
      <c r="D17" s="111"/>
      <c r="E17" s="111"/>
      <c r="F17" s="111"/>
      <c r="G17" s="179" t="s">
        <v>70</v>
      </c>
      <c r="H17" s="180"/>
      <c r="I17" s="181"/>
    </row>
    <row r="18" spans="2:9" x14ac:dyDescent="0.25">
      <c r="B18" s="49"/>
      <c r="C18" s="50"/>
      <c r="D18" s="112"/>
      <c r="E18" s="113">
        <v>44012</v>
      </c>
      <c r="F18" s="112" t="s">
        <v>21</v>
      </c>
      <c r="G18" s="182"/>
      <c r="H18" s="183"/>
      <c r="I18" s="184"/>
    </row>
    <row r="19" spans="2:9" x14ac:dyDescent="0.25">
      <c r="B19" s="51" t="s">
        <v>0</v>
      </c>
      <c r="C19" s="52"/>
      <c r="D19" s="114" t="s">
        <v>14</v>
      </c>
      <c r="E19" s="114" t="s">
        <v>20</v>
      </c>
      <c r="F19" s="114" t="s">
        <v>22</v>
      </c>
      <c r="G19" s="115" t="s">
        <v>67</v>
      </c>
      <c r="H19" s="116" t="s">
        <v>59</v>
      </c>
      <c r="I19" s="117" t="s">
        <v>61</v>
      </c>
    </row>
    <row r="20" spans="2:9" x14ac:dyDescent="0.25">
      <c r="B20" s="66" t="s">
        <v>1</v>
      </c>
      <c r="C20" s="70"/>
      <c r="D20" s="45" t="s">
        <v>15</v>
      </c>
      <c r="E20" s="71">
        <f>'Scenario 1'!I5</f>
        <v>109231675</v>
      </c>
      <c r="F20" s="71">
        <f>'Scenario 1'!F5</f>
        <v>38844188</v>
      </c>
      <c r="G20" s="67" t="str">
        <f>'Scenario 1'!A5</f>
        <v>Yes</v>
      </c>
      <c r="H20" s="68" t="str">
        <f>'Scenario 2'!A5</f>
        <v>Yes</v>
      </c>
      <c r="I20" s="69" t="str">
        <f>'Scenario 3'!A5</f>
        <v>Yes</v>
      </c>
    </row>
    <row r="21" spans="2:9" x14ac:dyDescent="0.25">
      <c r="B21" s="36" t="s">
        <v>6</v>
      </c>
      <c r="C21" s="39"/>
      <c r="D21" s="41" t="s">
        <v>15</v>
      </c>
      <c r="E21" s="78">
        <f>'Scenario 1'!I6</f>
        <v>3993708</v>
      </c>
      <c r="F21" s="78">
        <f>'Scenario 1'!F6</f>
        <v>1575833</v>
      </c>
      <c r="G21" s="27" t="str">
        <f>'Scenario 1'!A6</f>
        <v>Yes</v>
      </c>
      <c r="H21" s="28" t="str">
        <f>'Scenario 2'!A6</f>
        <v>Yes</v>
      </c>
      <c r="I21" s="29" t="str">
        <f>'Scenario 3'!A6</f>
        <v>Yes</v>
      </c>
    </row>
    <row r="22" spans="2:9" x14ac:dyDescent="0.25">
      <c r="B22" s="36" t="s">
        <v>8</v>
      </c>
      <c r="C22" s="39"/>
      <c r="D22" s="41" t="s">
        <v>15</v>
      </c>
      <c r="E22" s="78">
        <f>'Scenario 1'!I7</f>
        <v>19900000</v>
      </c>
      <c r="F22" s="78">
        <f>'Scenario 1'!F7</f>
        <v>7000000</v>
      </c>
      <c r="G22" s="27" t="str">
        <f>'Scenario 1'!A7</f>
        <v>Yes</v>
      </c>
      <c r="H22" s="28" t="str">
        <f>'Scenario 2'!A7</f>
        <v>Yes</v>
      </c>
      <c r="I22" s="29" t="str">
        <f>'Scenario 3'!A7</f>
        <v>Yes</v>
      </c>
    </row>
    <row r="23" spans="2:9" x14ac:dyDescent="0.25">
      <c r="B23" s="36" t="s">
        <v>11</v>
      </c>
      <c r="C23" s="39"/>
      <c r="D23" s="41" t="s">
        <v>15</v>
      </c>
      <c r="E23" s="78">
        <f>'Scenario 1'!I8</f>
        <v>13700000</v>
      </c>
      <c r="F23" s="78">
        <f>'Scenario 1'!F8</f>
        <v>4900000</v>
      </c>
      <c r="G23" s="27" t="str">
        <f>'Scenario 1'!A8</f>
        <v>Yes</v>
      </c>
      <c r="H23" s="28" t="str">
        <f>'Scenario 2'!A8</f>
        <v>Yes</v>
      </c>
      <c r="I23" s="29" t="str">
        <f>'Scenario 3'!A8</f>
        <v>Yes</v>
      </c>
    </row>
    <row r="24" spans="2:9" x14ac:dyDescent="0.25">
      <c r="B24" s="63" t="s">
        <v>78</v>
      </c>
      <c r="C24" s="73"/>
      <c r="D24" s="58" t="s">
        <v>15</v>
      </c>
      <c r="E24" s="79">
        <f>'Scenario 1'!I9</f>
        <v>17607440</v>
      </c>
      <c r="F24" s="79">
        <f>'Scenario 1'!F9</f>
        <v>20602698</v>
      </c>
      <c r="G24" s="32" t="str">
        <f>'Scenario 1'!A9</f>
        <v>Yes</v>
      </c>
      <c r="H24" s="33" t="str">
        <f>'Scenario 2'!A9</f>
        <v>No</v>
      </c>
      <c r="I24" s="34" t="str">
        <f>'Scenario 3'!A9</f>
        <v>No</v>
      </c>
    </row>
    <row r="25" spans="2:9" x14ac:dyDescent="0.25">
      <c r="B25" s="66" t="s">
        <v>2</v>
      </c>
      <c r="C25" s="70"/>
      <c r="D25" s="45" t="s">
        <v>16</v>
      </c>
      <c r="E25" s="80">
        <f>'Scenario 1'!I11</f>
        <v>26162339</v>
      </c>
      <c r="F25" s="80">
        <f>'Scenario 1'!F11</f>
        <v>7631303</v>
      </c>
      <c r="G25" s="67" t="str">
        <f>'Scenario 1'!A11</f>
        <v>Yes</v>
      </c>
      <c r="H25" s="68" t="str">
        <f>'Scenario 2'!A11</f>
        <v>Yes</v>
      </c>
      <c r="I25" s="69" t="str">
        <f>'Scenario 3'!A11</f>
        <v>No</v>
      </c>
    </row>
    <row r="26" spans="2:9" x14ac:dyDescent="0.25">
      <c r="B26" s="36" t="s">
        <v>3</v>
      </c>
      <c r="C26" s="39"/>
      <c r="D26" s="41" t="s">
        <v>16</v>
      </c>
      <c r="E26" s="78">
        <f>'Scenario 1'!I12</f>
        <v>80331410</v>
      </c>
      <c r="F26" s="78">
        <f>'Scenario 1'!F12</f>
        <v>7088066</v>
      </c>
      <c r="G26" s="27" t="str">
        <f>'Scenario 1'!A12</f>
        <v>Yes</v>
      </c>
      <c r="H26" s="28" t="str">
        <f>'Scenario 2'!A12</f>
        <v>Yes</v>
      </c>
      <c r="I26" s="29" t="str">
        <f>'Scenario 3'!A12</f>
        <v>No</v>
      </c>
    </row>
    <row r="27" spans="2:9" x14ac:dyDescent="0.25">
      <c r="B27" s="36" t="s">
        <v>4</v>
      </c>
      <c r="C27" s="39"/>
      <c r="D27" s="41" t="s">
        <v>16</v>
      </c>
      <c r="E27" s="78">
        <f>'Scenario 1'!I13</f>
        <v>65300000</v>
      </c>
      <c r="F27" s="78">
        <f>'Scenario 1'!F13</f>
        <v>4800000</v>
      </c>
      <c r="G27" s="27" t="str">
        <f>'Scenario 1'!A13</f>
        <v>Yes</v>
      </c>
      <c r="H27" s="28" t="str">
        <f>'Scenario 2'!A13</f>
        <v>Yes</v>
      </c>
      <c r="I27" s="29" t="str">
        <f>'Scenario 3'!A13</f>
        <v>No</v>
      </c>
    </row>
    <row r="28" spans="2:9" x14ac:dyDescent="0.25">
      <c r="B28" s="63" t="s">
        <v>5</v>
      </c>
      <c r="C28" s="73"/>
      <c r="D28" s="58" t="s">
        <v>16</v>
      </c>
      <c r="E28" s="79">
        <f>'Scenario 1'!I14</f>
        <v>13537757</v>
      </c>
      <c r="F28" s="79">
        <f>'Scenario 1'!F14</f>
        <v>2885052</v>
      </c>
      <c r="G28" s="32" t="str">
        <f>'Scenario 1'!A14</f>
        <v>Yes</v>
      </c>
      <c r="H28" s="33" t="str">
        <f>'Scenario 2'!A14</f>
        <v>Yes</v>
      </c>
      <c r="I28" s="34" t="str">
        <f>'Scenario 3'!A14</f>
        <v>Yes</v>
      </c>
    </row>
    <row r="29" spans="2:9" x14ac:dyDescent="0.25">
      <c r="B29" s="66" t="s">
        <v>7</v>
      </c>
      <c r="C29" s="70"/>
      <c r="D29" s="45" t="s">
        <v>17</v>
      </c>
      <c r="E29" s="80">
        <f>'Scenario 1'!I16</f>
        <v>25349170</v>
      </c>
      <c r="F29" s="80">
        <f>'Scenario 1'!F16</f>
        <v>9460164</v>
      </c>
      <c r="G29" s="67" t="str">
        <f>'Scenario 1'!A16</f>
        <v>Yes</v>
      </c>
      <c r="H29" s="68" t="str">
        <f>'Scenario 2'!A16</f>
        <v>No</v>
      </c>
      <c r="I29" s="69" t="str">
        <f>'Scenario 3'!A16</f>
        <v>No</v>
      </c>
    </row>
    <row r="30" spans="2:9" x14ac:dyDescent="0.25">
      <c r="B30" s="36" t="s">
        <v>9</v>
      </c>
      <c r="C30" s="39"/>
      <c r="D30" s="41" t="s">
        <v>17</v>
      </c>
      <c r="E30" s="78">
        <f>'Scenario 1'!I17</f>
        <v>10200000</v>
      </c>
      <c r="F30" s="78">
        <f>'Scenario 1'!F17</f>
        <v>3600000</v>
      </c>
      <c r="G30" s="27" t="str">
        <f>'Scenario 1'!A17</f>
        <v>Yes</v>
      </c>
      <c r="H30" s="28" t="str">
        <f>'Scenario 2'!A17</f>
        <v>No</v>
      </c>
      <c r="I30" s="29" t="str">
        <f>'Scenario 3'!A17</f>
        <v>No</v>
      </c>
    </row>
    <row r="31" spans="2:9" x14ac:dyDescent="0.25">
      <c r="B31" s="36" t="s">
        <v>10</v>
      </c>
      <c r="C31" s="39"/>
      <c r="D31" s="41" t="s">
        <v>17</v>
      </c>
      <c r="E31" s="78">
        <f>'Scenario 1'!I18</f>
        <v>5800000</v>
      </c>
      <c r="F31" s="78">
        <f>'Scenario 1'!F18</f>
        <v>2100000</v>
      </c>
      <c r="G31" s="27" t="str">
        <f>'Scenario 1'!A18</f>
        <v>Yes</v>
      </c>
      <c r="H31" s="28" t="str">
        <f>'Scenario 2'!A18</f>
        <v>No</v>
      </c>
      <c r="I31" s="29" t="str">
        <f>'Scenario 3'!A18</f>
        <v>No</v>
      </c>
    </row>
    <row r="32" spans="2:9" x14ac:dyDescent="0.25">
      <c r="B32" s="63" t="s">
        <v>12</v>
      </c>
      <c r="C32" s="73"/>
      <c r="D32" s="58" t="s">
        <v>18</v>
      </c>
      <c r="E32" s="79">
        <f>'Scenario 1'!I19</f>
        <v>70600150</v>
      </c>
      <c r="F32" s="79">
        <f>'Scenario 1'!F19</f>
        <v>54320226</v>
      </c>
      <c r="G32" s="32" t="str">
        <f>'Scenario 1'!A19</f>
        <v>Yes</v>
      </c>
      <c r="H32" s="33" t="str">
        <f>'Scenario 2'!A19</f>
        <v>Yes</v>
      </c>
      <c r="I32" s="34" t="str">
        <f>'Scenario 3'!A19</f>
        <v>Yes</v>
      </c>
    </row>
    <row r="33" spans="2:9" x14ac:dyDescent="0.25">
      <c r="B33" s="74"/>
      <c r="C33" s="45"/>
      <c r="D33" s="45"/>
      <c r="E33" s="45"/>
      <c r="F33" s="45"/>
      <c r="G33" s="60"/>
      <c r="H33" s="60"/>
      <c r="I33" s="61"/>
    </row>
    <row r="34" spans="2:9" x14ac:dyDescent="0.25">
      <c r="B34" s="47"/>
      <c r="C34" s="41"/>
      <c r="D34" s="41" t="s">
        <v>19</v>
      </c>
      <c r="E34" s="75">
        <f>SUM(E20:E28)</f>
        <v>349764329</v>
      </c>
      <c r="F34" s="75">
        <f>SUM(F20:F28)</f>
        <v>95327140</v>
      </c>
      <c r="G34" s="75">
        <f>SUMIF(G$20:G$28,"YES",$F$20:$F$28)</f>
        <v>95327140</v>
      </c>
      <c r="H34" s="75">
        <f>SUMIF(H$20:H$28,"YES",$F$20:$F$28)</f>
        <v>74724442</v>
      </c>
      <c r="I34" s="55">
        <f>SUMIF(I$20:I$28,"YES",$F$20:$F$28)</f>
        <v>55205073</v>
      </c>
    </row>
    <row r="35" spans="2:9" x14ac:dyDescent="0.25">
      <c r="B35" s="47"/>
      <c r="C35" s="41"/>
      <c r="D35" s="41" t="s">
        <v>17</v>
      </c>
      <c r="E35" s="98">
        <f>SUM(E29:E32)</f>
        <v>111949320</v>
      </c>
      <c r="F35" s="98">
        <f>SUM(F29:F32)</f>
        <v>69480390</v>
      </c>
      <c r="G35" s="98">
        <f>SUMIF(G$29:G$32,"YES",$F$29:$F$32)</f>
        <v>69480390</v>
      </c>
      <c r="H35" s="98">
        <f>SUMIF(H$29:H$32,"YES",$F$29:$F$32)</f>
        <v>54320226</v>
      </c>
      <c r="I35" s="99">
        <f>SUMIF(I$29:I$32,"YES",$F$29:$F$32)</f>
        <v>54320226</v>
      </c>
    </row>
    <row r="36" spans="2:9" ht="15.75" thickBot="1" x14ac:dyDescent="0.3">
      <c r="B36" s="47"/>
      <c r="C36" s="41"/>
      <c r="D36" s="41" t="s">
        <v>23</v>
      </c>
      <c r="E36" s="76">
        <f>SUM(E34:E35)</f>
        <v>461713649</v>
      </c>
      <c r="F36" s="76">
        <f>SUM(F34:F35)</f>
        <v>164807530</v>
      </c>
      <c r="G36" s="76">
        <f>SUM(G34:G35)</f>
        <v>164807530</v>
      </c>
      <c r="H36" s="76">
        <f>SUM(H34:H35)</f>
        <v>129044668</v>
      </c>
      <c r="I36" s="56">
        <f>SUM(I34:I35)</f>
        <v>109525299</v>
      </c>
    </row>
    <row r="37" spans="2:9" ht="15.75" thickTop="1" x14ac:dyDescent="0.25">
      <c r="B37" s="65"/>
      <c r="C37" s="40"/>
      <c r="D37" s="40"/>
      <c r="E37" s="40"/>
      <c r="F37" s="40"/>
      <c r="G37" s="83">
        <f>'Scenario 1'!H23-G36</f>
        <v>0</v>
      </c>
      <c r="H37" s="83">
        <f>'Scenario 2'!H23-H36</f>
        <v>0</v>
      </c>
      <c r="I37" s="84">
        <f>'Scenario 3'!H23-I36</f>
        <v>0</v>
      </c>
    </row>
    <row r="38" spans="2:9" x14ac:dyDescent="0.25">
      <c r="B38" s="47"/>
      <c r="C38" s="41"/>
      <c r="D38" s="41" t="s">
        <v>75</v>
      </c>
      <c r="E38" s="40"/>
      <c r="F38" s="40"/>
      <c r="G38" s="41"/>
      <c r="H38" s="41"/>
      <c r="I38" s="48"/>
    </row>
    <row r="39" spans="2:9" x14ac:dyDescent="0.25">
      <c r="B39" s="47"/>
      <c r="C39" s="41"/>
      <c r="D39" s="41" t="s">
        <v>19</v>
      </c>
      <c r="E39" s="40"/>
      <c r="F39" s="40"/>
      <c r="G39" s="75">
        <f>ARAM!C7</f>
        <v>29962201.003686074</v>
      </c>
      <c r="H39" s="75">
        <f>G39</f>
        <v>29962201.003686074</v>
      </c>
      <c r="I39" s="55">
        <f>H39</f>
        <v>29962201.003686074</v>
      </c>
    </row>
    <row r="40" spans="2:9" x14ac:dyDescent="0.25">
      <c r="B40" s="47"/>
      <c r="C40" s="41"/>
      <c r="D40" s="41" t="s">
        <v>17</v>
      </c>
      <c r="E40" s="40"/>
      <c r="F40" s="40"/>
      <c r="G40" s="98">
        <f>ARAM!C8</f>
        <v>7828949.2621366959</v>
      </c>
      <c r="H40" s="98">
        <f>G40</f>
        <v>7828949.2621366959</v>
      </c>
      <c r="I40" s="99">
        <f>H40</f>
        <v>7828949.2621366959</v>
      </c>
    </row>
    <row r="41" spans="2:9" ht="15.75" thickBot="1" x14ac:dyDescent="0.3">
      <c r="B41" s="47"/>
      <c r="C41" s="41"/>
      <c r="D41" s="41" t="s">
        <v>23</v>
      </c>
      <c r="E41" s="40"/>
      <c r="F41" s="40"/>
      <c r="G41" s="76">
        <f>SUM(G39:G40)</f>
        <v>37791150.265822768</v>
      </c>
      <c r="H41" s="76">
        <f>SUM(H39:H40)</f>
        <v>37791150.265822768</v>
      </c>
      <c r="I41" s="56">
        <f>SUM(I39:I40)</f>
        <v>37791150.265822768</v>
      </c>
    </row>
    <row r="42" spans="2:9" ht="15.75" thickTop="1" x14ac:dyDescent="0.25">
      <c r="B42" s="65"/>
      <c r="C42" s="40"/>
      <c r="D42" s="40"/>
      <c r="E42" s="40"/>
      <c r="F42" s="40"/>
      <c r="G42" s="40"/>
      <c r="H42" s="40"/>
      <c r="I42" s="62"/>
    </row>
    <row r="43" spans="2:9" x14ac:dyDescent="0.25">
      <c r="B43" s="47"/>
      <c r="C43" s="41"/>
      <c r="D43" s="41" t="s">
        <v>81</v>
      </c>
      <c r="E43" s="40"/>
      <c r="F43" s="40"/>
      <c r="G43" s="41"/>
      <c r="H43" s="41"/>
      <c r="I43" s="48"/>
    </row>
    <row r="44" spans="2:9" x14ac:dyDescent="0.25">
      <c r="B44" s="47"/>
      <c r="C44" s="41"/>
      <c r="D44" s="41" t="s">
        <v>19</v>
      </c>
      <c r="E44" s="40"/>
      <c r="F44" s="40"/>
      <c r="G44" s="75">
        <f t="shared" ref="G44:I45" si="1">G34-G39</f>
        <v>65364938.99631393</v>
      </c>
      <c r="H44" s="75">
        <f t="shared" si="1"/>
        <v>44762240.99631393</v>
      </c>
      <c r="I44" s="55">
        <f t="shared" si="1"/>
        <v>25242871.996313926</v>
      </c>
    </row>
    <row r="45" spans="2:9" x14ac:dyDescent="0.25">
      <c r="B45" s="47"/>
      <c r="C45" s="41"/>
      <c r="D45" s="41" t="s">
        <v>17</v>
      </c>
      <c r="E45" s="40"/>
      <c r="F45" s="40"/>
      <c r="G45" s="98">
        <f t="shared" si="1"/>
        <v>61651440.737863302</v>
      </c>
      <c r="H45" s="98">
        <f t="shared" si="1"/>
        <v>46491276.737863302</v>
      </c>
      <c r="I45" s="99">
        <f t="shared" si="1"/>
        <v>46491276.737863302</v>
      </c>
    </row>
    <row r="46" spans="2:9" ht="15.75" thickBot="1" x14ac:dyDescent="0.3">
      <c r="B46" s="47"/>
      <c r="C46" s="41"/>
      <c r="D46" s="41" t="s">
        <v>23</v>
      </c>
      <c r="E46" s="40"/>
      <c r="F46" s="40"/>
      <c r="G46" s="76">
        <f>SUM(G44:G45)</f>
        <v>127016379.73417723</v>
      </c>
      <c r="H46" s="76">
        <f>SUM(H44:H45)</f>
        <v>91253517.734177232</v>
      </c>
      <c r="I46" s="56">
        <f>SUM(I44:I45)</f>
        <v>71734148.734177232</v>
      </c>
    </row>
    <row r="47" spans="2:9" ht="15.75" thickTop="1" x14ac:dyDescent="0.25">
      <c r="B47" s="57"/>
      <c r="C47" s="58"/>
      <c r="D47" s="58"/>
      <c r="E47" s="58"/>
      <c r="F47" s="58"/>
      <c r="G47" s="81">
        <f>E8-G46+G46-'Scenario 1'!A26</f>
        <v>0</v>
      </c>
      <c r="H47" s="81">
        <f>+H46-'Scenario 2'!A26</f>
        <v>0</v>
      </c>
      <c r="I47" s="82">
        <f>G8-I46+I46-'Scenario 3'!A26</f>
        <v>0</v>
      </c>
    </row>
  </sheetData>
  <mergeCells count="1">
    <mergeCell ref="G17:I18"/>
  </mergeCells>
  <conditionalFormatting sqref="G20:I32">
    <cfRule type="cellIs" dxfId="15" priority="1" operator="equal">
      <formula>"Yes"</formula>
    </cfRule>
    <cfRule type="cellIs" dxfId="14" priority="2" operator="equal">
      <formula>"No"</formula>
    </cfRule>
  </conditionalFormatting>
  <printOptions horizontalCentered="1"/>
  <pageMargins left="0.45" right="0.45" top="0.5" bottom="0.5" header="0.3" footer="0.3"/>
  <pageSetup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3"/>
  <sheetViews>
    <sheetView showGridLines="0" workbookViewId="0">
      <selection activeCell="J22" sqref="J22"/>
    </sheetView>
  </sheetViews>
  <sheetFormatPr defaultRowHeight="15" x14ac:dyDescent="0.25"/>
  <cols>
    <col min="2" max="2" width="25.5703125" bestFit="1" customWidth="1"/>
    <col min="3" max="3" width="13.42578125" bestFit="1" customWidth="1"/>
    <col min="4" max="4" width="10.28515625" customWidth="1"/>
    <col min="5" max="5" width="10.28515625" bestFit="1" customWidth="1"/>
    <col min="6" max="7" width="13.7109375" bestFit="1" customWidth="1"/>
    <col min="8" max="11" width="11.42578125" bestFit="1" customWidth="1"/>
    <col min="12" max="12" width="25.5703125" bestFit="1" customWidth="1"/>
  </cols>
  <sheetData>
    <row r="1" spans="2:12" x14ac:dyDescent="0.25">
      <c r="B1" t="s">
        <v>83</v>
      </c>
      <c r="I1" t="s">
        <v>82</v>
      </c>
    </row>
    <row r="3" spans="2:12" x14ac:dyDescent="0.25">
      <c r="B3" s="44"/>
      <c r="C3" s="45"/>
      <c r="D3" s="45"/>
      <c r="E3" s="45"/>
      <c r="F3" s="45"/>
      <c r="G3" s="46"/>
      <c r="I3" s="179" t="s">
        <v>70</v>
      </c>
      <c r="J3" s="180"/>
      <c r="K3" s="181"/>
      <c r="L3" s="85"/>
    </row>
    <row r="4" spans="2:12" x14ac:dyDescent="0.25">
      <c r="B4" s="49"/>
      <c r="C4" s="50"/>
      <c r="D4" s="50"/>
      <c r="E4" s="50" t="s">
        <v>73</v>
      </c>
      <c r="F4" s="77">
        <f>'BR 15'!E18</f>
        <v>44012</v>
      </c>
      <c r="G4" s="95" t="str">
        <f>'BR 15'!F18</f>
        <v>Annual Rate</v>
      </c>
      <c r="I4" s="182"/>
      <c r="J4" s="183"/>
      <c r="K4" s="184"/>
      <c r="L4" s="86"/>
    </row>
    <row r="5" spans="2:12" x14ac:dyDescent="0.25">
      <c r="B5" s="51" t="str">
        <f>'BR 15'!B19</f>
        <v>Description</v>
      </c>
      <c r="C5" s="52" t="str">
        <f>'BR 15'!D19</f>
        <v>Area</v>
      </c>
      <c r="D5" s="52" t="s">
        <v>89</v>
      </c>
      <c r="E5" s="52" t="s">
        <v>88</v>
      </c>
      <c r="F5" s="53" t="str">
        <f>'BR 15'!E19</f>
        <v>Balance</v>
      </c>
      <c r="G5" s="54" t="str">
        <f>'BR 15'!F19</f>
        <v>Recovery</v>
      </c>
      <c r="I5" s="115" t="str">
        <f>'BR 15'!G19</f>
        <v>Scenario 1</v>
      </c>
      <c r="J5" s="116" t="str">
        <f>'BR 15'!H19</f>
        <v>Scenario 2</v>
      </c>
      <c r="K5" s="117" t="str">
        <f>'BR 15'!I19</f>
        <v>Scenario 3</v>
      </c>
      <c r="L5" s="87" t="s">
        <v>0</v>
      </c>
    </row>
    <row r="6" spans="2:12" x14ac:dyDescent="0.25">
      <c r="B6" s="66" t="str">
        <f>'BR 15'!B20</f>
        <v>Storm</v>
      </c>
      <c r="C6" s="70" t="str">
        <f>'BR 15'!D20</f>
        <v>Electric T&amp;D</v>
      </c>
      <c r="D6" s="70" t="s">
        <v>90</v>
      </c>
      <c r="E6" s="100">
        <f>'Scenario 1'!E5</f>
        <v>2.8120468112243717</v>
      </c>
      <c r="F6" s="71">
        <f>'BR 15'!E20</f>
        <v>109231675</v>
      </c>
      <c r="G6" s="72">
        <f>'BR 15'!F20</f>
        <v>38844188</v>
      </c>
      <c r="I6" s="67" t="str">
        <f>'BR 15'!G20</f>
        <v>Yes</v>
      </c>
      <c r="J6" s="68" t="str">
        <f>'BR 15'!H20</f>
        <v>Yes</v>
      </c>
      <c r="K6" s="69" t="str">
        <f>'BR 15'!I20</f>
        <v>Yes</v>
      </c>
      <c r="L6" s="88" t="str">
        <f>'BR 15'!B20</f>
        <v>Storm</v>
      </c>
    </row>
    <row r="7" spans="2:12" x14ac:dyDescent="0.25">
      <c r="B7" s="36" t="str">
        <f>'BR 15'!B21</f>
        <v>Env. Deferrals - Electric</v>
      </c>
      <c r="C7" s="39" t="str">
        <f>'BR 15'!D21</f>
        <v>Electric T&amp;D</v>
      </c>
      <c r="D7" s="39" t="s">
        <v>90</v>
      </c>
      <c r="E7" s="101">
        <f>'Scenario 1'!E6</f>
        <v>2.53434723095658</v>
      </c>
      <c r="F7" s="78">
        <f>'BR 15'!E21</f>
        <v>3993708</v>
      </c>
      <c r="G7" s="91">
        <f>'BR 15'!F21</f>
        <v>1575833</v>
      </c>
      <c r="I7" s="27" t="str">
        <f>'BR 15'!G21</f>
        <v>Yes</v>
      </c>
      <c r="J7" s="28" t="str">
        <f>'BR 15'!H21</f>
        <v>Yes</v>
      </c>
      <c r="K7" s="29" t="str">
        <f>'BR 15'!I21</f>
        <v>Yes</v>
      </c>
      <c r="L7" s="89" t="str">
        <f>'BR 15'!B21</f>
        <v>Env. Deferrals - Electric</v>
      </c>
    </row>
    <row r="8" spans="2:12" x14ac:dyDescent="0.25">
      <c r="B8" s="36" t="str">
        <f>'BR 15'!B22</f>
        <v>GTZ Deferrals - Electric</v>
      </c>
      <c r="C8" s="39" t="str">
        <f>'BR 15'!D22</f>
        <v>Electric T&amp;D</v>
      </c>
      <c r="D8" s="39" t="s">
        <v>90</v>
      </c>
      <c r="E8" s="101">
        <f>'Scenario 1'!E7</f>
        <v>2.842857142857143</v>
      </c>
      <c r="F8" s="78">
        <f>'BR 15'!E22</f>
        <v>19900000</v>
      </c>
      <c r="G8" s="91">
        <f>'BR 15'!F22</f>
        <v>7000000</v>
      </c>
      <c r="I8" s="27" t="str">
        <f>'BR 15'!G22</f>
        <v>Yes</v>
      </c>
      <c r="J8" s="28" t="str">
        <f>'BR 15'!H22</f>
        <v>Yes</v>
      </c>
      <c r="K8" s="29" t="str">
        <f>'BR 15'!I22</f>
        <v>Yes</v>
      </c>
      <c r="L8" s="89" t="str">
        <f>'BR 15'!B22</f>
        <v>GTZ Deferrals - Electric</v>
      </c>
    </row>
    <row r="9" spans="2:12" x14ac:dyDescent="0.25">
      <c r="B9" s="36" t="str">
        <f>'BR 15'!B23</f>
        <v>AMI Deferrals - Electric</v>
      </c>
      <c r="C9" s="39" t="str">
        <f>'BR 15'!D23</f>
        <v>Electric T&amp;D</v>
      </c>
      <c r="D9" s="39" t="s">
        <v>90</v>
      </c>
      <c r="E9" s="101">
        <f>'Scenario 1'!E8</f>
        <v>2.795918367346939</v>
      </c>
      <c r="F9" s="78">
        <f>'BR 15'!E23</f>
        <v>13700000</v>
      </c>
      <c r="G9" s="91">
        <f>'BR 15'!F23</f>
        <v>4900000</v>
      </c>
      <c r="I9" s="27" t="str">
        <f>'BR 15'!G23</f>
        <v>Yes</v>
      </c>
      <c r="J9" s="28" t="str">
        <f>'BR 15'!H23</f>
        <v>Yes</v>
      </c>
      <c r="K9" s="29" t="str">
        <f>'BR 15'!I23</f>
        <v>Yes</v>
      </c>
      <c r="L9" s="89" t="str">
        <f>'BR 15'!B23</f>
        <v>AMI Deferrals - Electric</v>
      </c>
    </row>
    <row r="10" spans="2:12" x14ac:dyDescent="0.25">
      <c r="B10" s="63" t="str">
        <f>'BR 15'!B24</f>
        <v>Decoupling Deferral</v>
      </c>
      <c r="C10" s="73" t="str">
        <f>'BR 15'!D24</f>
        <v>Electric T&amp;D</v>
      </c>
      <c r="D10" s="73" t="s">
        <v>91</v>
      </c>
      <c r="E10" s="102">
        <f>'Scenario 1'!E9</f>
        <v>0.85461816699929305</v>
      </c>
      <c r="F10" s="79">
        <f>'BR 15'!E24</f>
        <v>17607440</v>
      </c>
      <c r="G10" s="92">
        <f>'BR 15'!F24</f>
        <v>20602698</v>
      </c>
      <c r="I10" s="32" t="str">
        <f>'BR 15'!G24</f>
        <v>Yes</v>
      </c>
      <c r="J10" s="33" t="str">
        <f>'BR 15'!H24</f>
        <v>No</v>
      </c>
      <c r="K10" s="34" t="str">
        <f>'BR 15'!I24</f>
        <v>No</v>
      </c>
      <c r="L10" s="90" t="str">
        <f>'BR 15'!B24</f>
        <v>Decoupling Deferral</v>
      </c>
    </row>
    <row r="11" spans="2:12" x14ac:dyDescent="0.25">
      <c r="B11" s="66" t="str">
        <f>'BR 15'!B25</f>
        <v>Major Maint.</v>
      </c>
      <c r="C11" s="70" t="str">
        <f>'BR 15'!D25</f>
        <v>Electric Gen.</v>
      </c>
      <c r="D11" s="70" t="s">
        <v>90</v>
      </c>
      <c r="E11" s="100">
        <f>'Scenario 1'!E11</f>
        <v>3.4282925209495678</v>
      </c>
      <c r="F11" s="80">
        <f>'BR 15'!E25</f>
        <v>26162339</v>
      </c>
      <c r="G11" s="93">
        <f>'BR 15'!F25</f>
        <v>7631303</v>
      </c>
      <c r="I11" s="67" t="str">
        <f>'BR 15'!G25</f>
        <v>Yes</v>
      </c>
      <c r="J11" s="68" t="str">
        <f>'BR 15'!H25</f>
        <v>Yes</v>
      </c>
      <c r="K11" s="69" t="str">
        <f>'BR 15'!I25</f>
        <v>No</v>
      </c>
      <c r="L11" s="88" t="str">
        <f>'BR 15'!B25</f>
        <v>Major Maint.</v>
      </c>
    </row>
    <row r="12" spans="2:12" x14ac:dyDescent="0.25">
      <c r="B12" s="36" t="str">
        <f>'BR 15'!B26</f>
        <v>Chelan PPA Prepayment</v>
      </c>
      <c r="C12" s="39" t="str">
        <f>'BR 15'!D26</f>
        <v>Electric Gen.</v>
      </c>
      <c r="D12" s="39" t="s">
        <v>90</v>
      </c>
      <c r="E12" s="101">
        <f>'Scenario 1'!E12</f>
        <v>11.333332674949697</v>
      </c>
      <c r="F12" s="78">
        <f>'BR 15'!E26</f>
        <v>80331410</v>
      </c>
      <c r="G12" s="91">
        <f>'BR 15'!F26</f>
        <v>7088066</v>
      </c>
      <c r="I12" s="27" t="str">
        <f>'BR 15'!G26</f>
        <v>Yes</v>
      </c>
      <c r="J12" s="28" t="str">
        <f>'BR 15'!H26</f>
        <v>Yes</v>
      </c>
      <c r="K12" s="29" t="str">
        <f>'BR 15'!I26</f>
        <v>No</v>
      </c>
      <c r="L12" s="89" t="str">
        <f>'BR 15'!B26</f>
        <v>Chelan PPA Prepayment</v>
      </c>
    </row>
    <row r="13" spans="2:12" x14ac:dyDescent="0.25">
      <c r="B13" s="36" t="str">
        <f>'BR 15'!B27</f>
        <v>LSR BPA LGIA Prepayment</v>
      </c>
      <c r="C13" s="39" t="str">
        <f>'BR 15'!D27</f>
        <v>Electric Gen.</v>
      </c>
      <c r="D13" s="39" t="s">
        <v>90</v>
      </c>
      <c r="E13" s="101">
        <f>'Scenario 1'!E13</f>
        <v>13.604166666666666</v>
      </c>
      <c r="F13" s="78">
        <f>'BR 15'!E27</f>
        <v>65300000</v>
      </c>
      <c r="G13" s="91">
        <f>'BR 15'!F27</f>
        <v>4800000</v>
      </c>
      <c r="I13" s="27" t="str">
        <f>'BR 15'!G27</f>
        <v>Yes</v>
      </c>
      <c r="J13" s="28" t="str">
        <f>'BR 15'!H27</f>
        <v>Yes</v>
      </c>
      <c r="K13" s="29" t="str">
        <f>'BR 15'!I27</f>
        <v>No</v>
      </c>
      <c r="L13" s="89" t="str">
        <f>'BR 15'!B27</f>
        <v>LSR BPA LGIA Prepayment</v>
      </c>
    </row>
    <row r="14" spans="2:12" x14ac:dyDescent="0.25">
      <c r="B14" s="63" t="str">
        <f>'BR 15'!B28</f>
        <v>Mint Farm Deferral</v>
      </c>
      <c r="C14" s="73" t="str">
        <f>'BR 15'!D28</f>
        <v>Electric Gen.</v>
      </c>
      <c r="D14" s="73" t="s">
        <v>90</v>
      </c>
      <c r="E14" s="102">
        <f>'Scenario 1'!E14</f>
        <v>4.6923788548698599</v>
      </c>
      <c r="F14" s="79">
        <f>'BR 15'!E28</f>
        <v>13537757</v>
      </c>
      <c r="G14" s="92">
        <f>'BR 15'!F28</f>
        <v>2885052</v>
      </c>
      <c r="I14" s="32" t="str">
        <f>'BR 15'!G28</f>
        <v>Yes</v>
      </c>
      <c r="J14" s="33" t="str">
        <f>'BR 15'!H28</f>
        <v>Yes</v>
      </c>
      <c r="K14" s="34" t="str">
        <f>'BR 15'!I28</f>
        <v>Yes</v>
      </c>
      <c r="L14" s="90" t="str">
        <f>'BR 15'!B28</f>
        <v>Mint Farm Deferral</v>
      </c>
    </row>
    <row r="15" spans="2:12" x14ac:dyDescent="0.25">
      <c r="B15" s="66" t="str">
        <f>'BR 15'!B29</f>
        <v>Env. Deferrals - Gas</v>
      </c>
      <c r="C15" s="70" t="str">
        <f>'BR 15'!D29</f>
        <v>Gas</v>
      </c>
      <c r="D15" s="70" t="s">
        <v>90</v>
      </c>
      <c r="E15" s="100">
        <f>'Scenario 1'!E16</f>
        <v>2.6795698256393865</v>
      </c>
      <c r="F15" s="80">
        <f>'BR 15'!E29</f>
        <v>25349170</v>
      </c>
      <c r="G15" s="93">
        <f>'BR 15'!F29</f>
        <v>9460164</v>
      </c>
      <c r="I15" s="67" t="str">
        <f>'BR 15'!G29</f>
        <v>Yes</v>
      </c>
      <c r="J15" s="68" t="str">
        <f>'BR 15'!H29</f>
        <v>No</v>
      </c>
      <c r="K15" s="69" t="str">
        <f>'BR 15'!I29</f>
        <v>No</v>
      </c>
      <c r="L15" s="88" t="str">
        <f>'BR 15'!B29</f>
        <v>Env. Deferrals - Gas</v>
      </c>
    </row>
    <row r="16" spans="2:12" x14ac:dyDescent="0.25">
      <c r="B16" s="36" t="str">
        <f>'BR 15'!B30</f>
        <v>GTZ Deferrals - Gas</v>
      </c>
      <c r="C16" s="39" t="str">
        <f>'BR 15'!D30</f>
        <v>Gas</v>
      </c>
      <c r="D16" s="39" t="s">
        <v>90</v>
      </c>
      <c r="E16" s="101">
        <f>'Scenario 1'!E17</f>
        <v>2.8333333333333335</v>
      </c>
      <c r="F16" s="78">
        <f>'BR 15'!E30</f>
        <v>10200000</v>
      </c>
      <c r="G16" s="91">
        <f>'BR 15'!F30</f>
        <v>3600000</v>
      </c>
      <c r="I16" s="27" t="str">
        <f>'BR 15'!G30</f>
        <v>Yes</v>
      </c>
      <c r="J16" s="28" t="str">
        <f>'BR 15'!H30</f>
        <v>No</v>
      </c>
      <c r="K16" s="29" t="str">
        <f>'BR 15'!I30</f>
        <v>No</v>
      </c>
      <c r="L16" s="89" t="str">
        <f>'BR 15'!B30</f>
        <v>GTZ Deferrals - Gas</v>
      </c>
    </row>
    <row r="17" spans="2:12" x14ac:dyDescent="0.25">
      <c r="B17" s="36" t="str">
        <f>'BR 15'!B31</f>
        <v>AMI Deferrals - Gas</v>
      </c>
      <c r="C17" s="39" t="str">
        <f>'BR 15'!D31</f>
        <v>Gas</v>
      </c>
      <c r="D17" s="39" t="s">
        <v>90</v>
      </c>
      <c r="E17" s="101">
        <f>'Scenario 1'!E18</f>
        <v>2.7619047619047619</v>
      </c>
      <c r="F17" s="78">
        <f>'BR 15'!E31</f>
        <v>5800000</v>
      </c>
      <c r="G17" s="91">
        <f>'BR 15'!F31</f>
        <v>2100000</v>
      </c>
      <c r="I17" s="27" t="str">
        <f>'BR 15'!G31</f>
        <v>Yes</v>
      </c>
      <c r="J17" s="28" t="str">
        <f>'BR 15'!H31</f>
        <v>No</v>
      </c>
      <c r="K17" s="29" t="str">
        <f>'BR 15'!I31</f>
        <v>No</v>
      </c>
      <c r="L17" s="89" t="str">
        <f>'BR 15'!B31</f>
        <v>AMI Deferrals - Gas</v>
      </c>
    </row>
    <row r="18" spans="2:12" x14ac:dyDescent="0.25">
      <c r="B18" s="63" t="str">
        <f>'BR 15'!B32</f>
        <v>PGA 106B</v>
      </c>
      <c r="C18" s="73" t="str">
        <f>'BR 15'!D32</f>
        <v>Gas Supply</v>
      </c>
      <c r="D18" s="73" t="s">
        <v>92</v>
      </c>
      <c r="E18" s="102">
        <f>'Scenario 1'!E19</f>
        <v>1.2997028031510767</v>
      </c>
      <c r="F18" s="79">
        <f>'BR 15'!E32</f>
        <v>70600150</v>
      </c>
      <c r="G18" s="92">
        <f>'BR 15'!F32</f>
        <v>54320226</v>
      </c>
      <c r="I18" s="32" t="str">
        <f>'BR 15'!G32</f>
        <v>Yes</v>
      </c>
      <c r="J18" s="33" t="str">
        <f>'BR 15'!H32</f>
        <v>Yes</v>
      </c>
      <c r="K18" s="34" t="str">
        <f>'BR 15'!I32</f>
        <v>Yes</v>
      </c>
      <c r="L18" s="90" t="str">
        <f>'BR 15'!B32</f>
        <v>PGA 106B</v>
      </c>
    </row>
    <row r="19" spans="2:12" x14ac:dyDescent="0.25">
      <c r="B19" s="74"/>
      <c r="C19" s="45"/>
      <c r="D19" s="45"/>
      <c r="E19" s="45"/>
      <c r="F19" s="45"/>
      <c r="G19" s="46"/>
    </row>
    <row r="20" spans="2:12" x14ac:dyDescent="0.25">
      <c r="B20" s="47"/>
      <c r="C20" s="41"/>
      <c r="D20" s="41"/>
      <c r="E20" s="41"/>
      <c r="F20" s="75">
        <f>'BR 15'!E34</f>
        <v>349764329</v>
      </c>
      <c r="G20" s="55">
        <f>'BR 15'!F34</f>
        <v>95327140</v>
      </c>
    </row>
    <row r="21" spans="2:12" x14ac:dyDescent="0.25">
      <c r="B21" s="47"/>
      <c r="C21" s="41"/>
      <c r="D21" s="41"/>
      <c r="E21" s="41"/>
      <c r="F21" s="75">
        <f>'BR 15'!E35</f>
        <v>111949320</v>
      </c>
      <c r="G21" s="55">
        <f>'BR 15'!F35</f>
        <v>69480390</v>
      </c>
    </row>
    <row r="22" spans="2:12" ht="15.75" thickBot="1" x14ac:dyDescent="0.3">
      <c r="B22" s="47"/>
      <c r="C22" s="41"/>
      <c r="D22" s="41"/>
      <c r="E22" s="41"/>
      <c r="F22" s="76">
        <f>'BR 15'!E36</f>
        <v>461713649</v>
      </c>
      <c r="G22" s="56">
        <f>'BR 15'!F36</f>
        <v>164807530</v>
      </c>
    </row>
    <row r="23" spans="2:12" ht="15.75" thickTop="1" x14ac:dyDescent="0.25">
      <c r="B23" s="94"/>
      <c r="C23" s="16"/>
      <c r="D23" s="16"/>
      <c r="E23" s="16"/>
      <c r="F23" s="16"/>
      <c r="G23" s="64"/>
    </row>
  </sheetData>
  <mergeCells count="1">
    <mergeCell ref="I3:K4"/>
  </mergeCells>
  <conditionalFormatting sqref="I6:K18">
    <cfRule type="cellIs" dxfId="13" priority="1" operator="equal">
      <formula>"Yes"</formula>
    </cfRule>
    <cfRule type="cellIs" dxfId="12" priority="2" operator="equal">
      <formula>"No"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A89"/>
  <sheetViews>
    <sheetView zoomScaleNormal="100" workbookViewId="0">
      <pane xSplit="1" topLeftCell="B1" activePane="topRight" state="frozen"/>
      <selection pane="topRight" activeCell="B1" sqref="B1"/>
    </sheetView>
  </sheetViews>
  <sheetFormatPr defaultRowHeight="15" x14ac:dyDescent="0.25"/>
  <cols>
    <col min="1" max="1" width="15.85546875" customWidth="1"/>
    <col min="2" max="2" width="15.5703125" customWidth="1"/>
    <col min="3" max="3" width="15.140625" customWidth="1"/>
    <col min="4" max="4" width="15.7109375" bestFit="1" customWidth="1"/>
    <col min="5" max="5" width="15.140625" bestFit="1" customWidth="1"/>
    <col min="6" max="6" width="16.140625" bestFit="1" customWidth="1"/>
    <col min="7" max="7" width="16.140625" customWidth="1"/>
    <col min="8" max="9" width="15.140625" bestFit="1" customWidth="1"/>
    <col min="10" max="10" width="16.140625" bestFit="1" customWidth="1"/>
    <col min="11" max="11" width="15.140625" bestFit="1" customWidth="1"/>
    <col min="12" max="15" width="15.140625" customWidth="1"/>
    <col min="16" max="16" width="15.140625" bestFit="1" customWidth="1"/>
    <col min="17" max="17" width="14.5703125" customWidth="1"/>
    <col min="18" max="18" width="15.140625" customWidth="1"/>
    <col min="19" max="19" width="15.140625" bestFit="1" customWidth="1"/>
    <col min="20" max="51" width="13.85546875" bestFit="1" customWidth="1"/>
    <col min="52" max="54" width="14.5703125" bestFit="1" customWidth="1"/>
  </cols>
  <sheetData>
    <row r="2" spans="1:30" x14ac:dyDescent="0.25">
      <c r="H2" s="4" t="s">
        <v>51</v>
      </c>
      <c r="K2" s="4" t="s">
        <v>51</v>
      </c>
      <c r="M2" s="35" t="s">
        <v>43</v>
      </c>
    </row>
    <row r="3" spans="1:30" x14ac:dyDescent="0.25">
      <c r="A3" s="137" t="s">
        <v>79</v>
      </c>
      <c r="B3" s="4"/>
      <c r="C3" s="4"/>
      <c r="D3" s="4"/>
      <c r="E3" s="4" t="s">
        <v>73</v>
      </c>
      <c r="F3" s="4" t="s">
        <v>21</v>
      </c>
      <c r="G3" s="4" t="s">
        <v>49</v>
      </c>
      <c r="H3" s="4" t="s">
        <v>52</v>
      </c>
      <c r="I3" s="14">
        <v>44012</v>
      </c>
      <c r="J3" s="4" t="s">
        <v>49</v>
      </c>
      <c r="K3" s="4" t="s">
        <v>52</v>
      </c>
      <c r="M3" s="15" t="s">
        <v>36</v>
      </c>
    </row>
    <row r="4" spans="1:30" x14ac:dyDescent="0.25">
      <c r="A4" s="138" t="s">
        <v>65</v>
      </c>
      <c r="B4" s="26" t="s">
        <v>0</v>
      </c>
      <c r="C4" s="25"/>
      <c r="D4" s="5" t="s">
        <v>14</v>
      </c>
      <c r="E4" s="5" t="s">
        <v>74</v>
      </c>
      <c r="F4" s="5" t="s">
        <v>22</v>
      </c>
      <c r="G4" s="5" t="s">
        <v>50</v>
      </c>
      <c r="H4" s="5" t="s">
        <v>53</v>
      </c>
      <c r="I4" s="5" t="s">
        <v>20</v>
      </c>
      <c r="J4" s="5" t="s">
        <v>50</v>
      </c>
      <c r="K4" s="5" t="s">
        <v>53</v>
      </c>
      <c r="M4" s="16">
        <v>2020</v>
      </c>
      <c r="N4" s="16">
        <f t="shared" ref="N4:AD4" si="0">M4+1</f>
        <v>2021</v>
      </c>
      <c r="O4" s="16">
        <f t="shared" si="0"/>
        <v>2022</v>
      </c>
      <c r="P4" s="16">
        <f t="shared" si="0"/>
        <v>2023</v>
      </c>
      <c r="Q4" s="16">
        <f t="shared" si="0"/>
        <v>2024</v>
      </c>
      <c r="R4" s="16">
        <f t="shared" si="0"/>
        <v>2025</v>
      </c>
      <c r="S4" s="16">
        <f t="shared" si="0"/>
        <v>2026</v>
      </c>
      <c r="T4" s="16">
        <f t="shared" si="0"/>
        <v>2027</v>
      </c>
      <c r="U4" s="16">
        <f t="shared" si="0"/>
        <v>2028</v>
      </c>
      <c r="V4" s="16">
        <f t="shared" si="0"/>
        <v>2029</v>
      </c>
      <c r="W4" s="16">
        <f t="shared" si="0"/>
        <v>2030</v>
      </c>
      <c r="X4" s="16">
        <f t="shared" si="0"/>
        <v>2031</v>
      </c>
      <c r="Y4" s="16">
        <f t="shared" si="0"/>
        <v>2032</v>
      </c>
      <c r="Z4" s="16">
        <f t="shared" si="0"/>
        <v>2033</v>
      </c>
      <c r="AA4" s="16">
        <f t="shared" si="0"/>
        <v>2034</v>
      </c>
      <c r="AB4" s="16">
        <f t="shared" si="0"/>
        <v>2035</v>
      </c>
      <c r="AC4" s="16">
        <f t="shared" si="0"/>
        <v>2036</v>
      </c>
      <c r="AD4" s="16">
        <f t="shared" si="0"/>
        <v>2037</v>
      </c>
    </row>
    <row r="5" spans="1:30" x14ac:dyDescent="0.25">
      <c r="A5" s="27" t="s">
        <v>44</v>
      </c>
      <c r="B5" s="36" t="s">
        <v>1</v>
      </c>
      <c r="C5" s="19"/>
      <c r="D5" t="s">
        <v>15</v>
      </c>
      <c r="E5" s="37">
        <f>I5/F5</f>
        <v>2.8120468112243717</v>
      </c>
      <c r="F5" s="1">
        <f>ROUND('[1]Storm Summary'!G11,0)</f>
        <v>38844188</v>
      </c>
      <c r="G5" s="1"/>
      <c r="H5" s="1"/>
      <c r="I5" s="1">
        <f>ROUND('[1]Storm Summary'!F11,0)</f>
        <v>109231675</v>
      </c>
      <c r="J5" s="1"/>
      <c r="K5" s="1"/>
      <c r="L5" s="21"/>
      <c r="M5" s="1">
        <f>ROUND([1]Storm!$V$48,0)</f>
        <v>19345035</v>
      </c>
      <c r="N5" s="1">
        <f>ROUND([1]Storm!$V$60,0)</f>
        <v>38121791</v>
      </c>
      <c r="O5" s="1">
        <f>ROUND([1]Storm!$V$72,0)</f>
        <v>22428529</v>
      </c>
      <c r="P5" s="1">
        <f>ROUND([1]Storm!$V$84,0)</f>
        <v>22652745</v>
      </c>
      <c r="Q5" s="1">
        <f>ROUND([1]Storm!$V$96,0)</f>
        <v>6683575</v>
      </c>
      <c r="R5" s="1">
        <f t="shared" ref="R5:AC5" si="1">IF(($E5+2020-R$4)&gt;1,$F5,IF(($E5+2020-R$4)&gt;0,($E5+2020-R$4)*$F5,0))</f>
        <v>0</v>
      </c>
      <c r="S5" s="1">
        <f t="shared" si="1"/>
        <v>0</v>
      </c>
      <c r="T5" s="1">
        <f t="shared" si="1"/>
        <v>0</v>
      </c>
      <c r="U5" s="1">
        <f t="shared" si="1"/>
        <v>0</v>
      </c>
      <c r="V5" s="1">
        <f t="shared" si="1"/>
        <v>0</v>
      </c>
      <c r="W5" s="1">
        <f t="shared" si="1"/>
        <v>0</v>
      </c>
      <c r="X5" s="1">
        <f t="shared" si="1"/>
        <v>0</v>
      </c>
      <c r="Y5" s="1">
        <f t="shared" si="1"/>
        <v>0</v>
      </c>
      <c r="Z5" s="1">
        <f t="shared" si="1"/>
        <v>0</v>
      </c>
      <c r="AA5" s="1">
        <f t="shared" si="1"/>
        <v>0</v>
      </c>
      <c r="AB5" s="1">
        <f t="shared" si="1"/>
        <v>0</v>
      </c>
      <c r="AC5" s="1">
        <f t="shared" si="1"/>
        <v>0</v>
      </c>
    </row>
    <row r="6" spans="1:30" x14ac:dyDescent="0.25">
      <c r="A6" s="27" t="s">
        <v>44</v>
      </c>
      <c r="B6" s="36" t="s">
        <v>6</v>
      </c>
      <c r="C6" s="19"/>
      <c r="D6" t="s">
        <v>15</v>
      </c>
      <c r="E6" s="37">
        <f>I6/F6</f>
        <v>2.53434723095658</v>
      </c>
      <c r="F6" s="1">
        <f>ROUND('[2]Env Summary'!$G$9,0)</f>
        <v>1575833</v>
      </c>
      <c r="G6" s="1"/>
      <c r="H6" s="1"/>
      <c r="I6" s="1">
        <f>ROUND('[2]Env Summary'!$F$9,0)</f>
        <v>3993708</v>
      </c>
      <c r="J6" s="1"/>
      <c r="K6" s="1"/>
      <c r="L6" s="21"/>
      <c r="M6" s="1">
        <f>ROUND([2]Electric!$L$62,0)</f>
        <v>787916</v>
      </c>
      <c r="N6" s="1">
        <f>ROUND([2]Electric!$L$74,0)</f>
        <v>1575833</v>
      </c>
      <c r="O6" s="1">
        <f>ROUND([2]Electric!$L$86,0)</f>
        <v>1275181</v>
      </c>
      <c r="P6" s="1">
        <f>ROUND([2]Electric!$L$98,0)</f>
        <v>152048</v>
      </c>
      <c r="Q6" s="1">
        <f>ROUND([2]Electric!$L$110,0)</f>
        <v>152048</v>
      </c>
      <c r="R6" s="1">
        <f>ROUND([2]Electric!$L$122,0)</f>
        <v>50683</v>
      </c>
      <c r="S6" s="1">
        <f t="shared" ref="S6:AC9" si="2">IF(($E6+2020-S$4)&gt;1,$F6,IF(($E6+2020-S$4)&gt;0,($E6+2020-S$4)*$F6,0))</f>
        <v>0</v>
      </c>
      <c r="T6" s="1">
        <f t="shared" si="2"/>
        <v>0</v>
      </c>
      <c r="U6" s="1">
        <f t="shared" si="2"/>
        <v>0</v>
      </c>
      <c r="V6" s="1">
        <f t="shared" si="2"/>
        <v>0</v>
      </c>
      <c r="W6" s="1">
        <f t="shared" si="2"/>
        <v>0</v>
      </c>
      <c r="X6" s="1">
        <f t="shared" si="2"/>
        <v>0</v>
      </c>
      <c r="Y6" s="1">
        <f t="shared" si="2"/>
        <v>0</v>
      </c>
      <c r="Z6" s="1">
        <f t="shared" si="2"/>
        <v>0</v>
      </c>
      <c r="AA6" s="1">
        <f t="shared" si="2"/>
        <v>0</v>
      </c>
      <c r="AB6" s="1">
        <f t="shared" si="2"/>
        <v>0</v>
      </c>
      <c r="AC6" s="1">
        <f t="shared" si="2"/>
        <v>0</v>
      </c>
    </row>
    <row r="7" spans="1:30" x14ac:dyDescent="0.25">
      <c r="A7" s="27" t="s">
        <v>44</v>
      </c>
      <c r="B7" s="36" t="s">
        <v>8</v>
      </c>
      <c r="C7" s="19"/>
      <c r="D7" t="s">
        <v>15</v>
      </c>
      <c r="E7" s="37">
        <f>I7/F7</f>
        <v>2.842857142857143</v>
      </c>
      <c r="F7" s="17">
        <f>'[3]Summarize AMI and GTZ'!$F$13</f>
        <v>7000000</v>
      </c>
      <c r="G7" s="17"/>
      <c r="H7" s="17"/>
      <c r="I7" s="17">
        <f>'[3]Summarize AMI and GTZ'!$E$13</f>
        <v>19900000</v>
      </c>
      <c r="J7" s="1"/>
      <c r="K7" s="1"/>
      <c r="L7" s="21"/>
      <c r="M7" s="1">
        <f>ROUND('[3]GTZ CC Common'!$O$33,0)</f>
        <v>3517336</v>
      </c>
      <c r="N7" s="1">
        <f>ROUND('[3]GTZ CC Common'!$O$45,0)</f>
        <v>7034672</v>
      </c>
      <c r="O7" s="1">
        <f>ROUND('[3]GTZ CC Common'!$O$57,0)</f>
        <v>7034672</v>
      </c>
      <c r="P7" s="1">
        <f>ROUND('[3]GTZ CC Common'!$O$69,0)</f>
        <v>2344891</v>
      </c>
      <c r="Q7" s="1">
        <f t="shared" ref="Q7:R9" si="3">IF(($E7+2020-Q$4)&gt;1,$F7,IF(($E7+2020-Q$4)&gt;0,($E7+2020-Q$4)*$F7,0))</f>
        <v>0</v>
      </c>
      <c r="R7" s="1">
        <f t="shared" si="3"/>
        <v>0</v>
      </c>
      <c r="S7" s="1">
        <f t="shared" si="2"/>
        <v>0</v>
      </c>
      <c r="T7" s="1">
        <f t="shared" si="2"/>
        <v>0</v>
      </c>
      <c r="U7" s="1">
        <f t="shared" si="2"/>
        <v>0</v>
      </c>
      <c r="V7" s="1">
        <f t="shared" si="2"/>
        <v>0</v>
      </c>
      <c r="W7" s="1">
        <f t="shared" si="2"/>
        <v>0</v>
      </c>
      <c r="X7" s="1">
        <f t="shared" si="2"/>
        <v>0</v>
      </c>
      <c r="Y7" s="1">
        <f t="shared" si="2"/>
        <v>0</v>
      </c>
      <c r="Z7" s="1">
        <f t="shared" si="2"/>
        <v>0</v>
      </c>
      <c r="AA7" s="1">
        <f t="shared" si="2"/>
        <v>0</v>
      </c>
      <c r="AB7" s="1">
        <f t="shared" si="2"/>
        <v>0</v>
      </c>
      <c r="AC7" s="1">
        <f t="shared" si="2"/>
        <v>0</v>
      </c>
    </row>
    <row r="8" spans="1:30" x14ac:dyDescent="0.25">
      <c r="A8" s="27" t="s">
        <v>44</v>
      </c>
      <c r="B8" s="36" t="s">
        <v>11</v>
      </c>
      <c r="C8" s="19"/>
      <c r="D8" t="s">
        <v>15</v>
      </c>
      <c r="E8" s="37">
        <f>I8/F8</f>
        <v>2.795918367346939</v>
      </c>
      <c r="F8" s="17">
        <f>'[3]Summarize AMI and GTZ'!$F$25</f>
        <v>4900000</v>
      </c>
      <c r="G8" s="17"/>
      <c r="H8" s="17"/>
      <c r="I8" s="17">
        <f>'[3]Summarize AMI and GTZ'!$E$25</f>
        <v>13700000</v>
      </c>
      <c r="J8" s="1"/>
      <c r="K8" s="1"/>
      <c r="L8" s="21"/>
      <c r="M8" s="1">
        <f>ROUND('[3]AMI E'!$P$33,0)</f>
        <v>2434223</v>
      </c>
      <c r="N8" s="1">
        <f>ROUND('[3]AMI E'!$P$45,0)</f>
        <v>4868445</v>
      </c>
      <c r="O8" s="1">
        <f>ROUND('[3]AMI E'!$P$57,0)</f>
        <v>4868445</v>
      </c>
      <c r="P8" s="1">
        <f>ROUND('[3]AMI E'!$P$69,0)</f>
        <v>1622815</v>
      </c>
      <c r="Q8" s="1">
        <f t="shared" si="3"/>
        <v>0</v>
      </c>
      <c r="R8" s="1">
        <f t="shared" si="3"/>
        <v>0</v>
      </c>
      <c r="S8" s="1">
        <f t="shared" si="2"/>
        <v>0</v>
      </c>
      <c r="T8" s="1">
        <f t="shared" si="2"/>
        <v>0</v>
      </c>
      <c r="U8" s="1">
        <f t="shared" si="2"/>
        <v>0</v>
      </c>
      <c r="V8" s="1">
        <f t="shared" si="2"/>
        <v>0</v>
      </c>
      <c r="W8" s="1">
        <f t="shared" si="2"/>
        <v>0</v>
      </c>
      <c r="X8" s="1">
        <f t="shared" si="2"/>
        <v>0</v>
      </c>
      <c r="Y8" s="1">
        <f t="shared" si="2"/>
        <v>0</v>
      </c>
      <c r="Z8" s="1">
        <f t="shared" si="2"/>
        <v>0</v>
      </c>
      <c r="AA8" s="1">
        <f t="shared" si="2"/>
        <v>0</v>
      </c>
      <c r="AB8" s="1">
        <f t="shared" si="2"/>
        <v>0</v>
      </c>
      <c r="AC8" s="1">
        <f t="shared" si="2"/>
        <v>0</v>
      </c>
    </row>
    <row r="9" spans="1:30" x14ac:dyDescent="0.25">
      <c r="A9" s="27" t="s">
        <v>44</v>
      </c>
      <c r="B9" s="36" t="s">
        <v>77</v>
      </c>
      <c r="C9" s="19"/>
      <c r="D9" t="s">
        <v>15</v>
      </c>
      <c r="E9" s="37">
        <f>I9/F9</f>
        <v>0.85461816699929305</v>
      </c>
      <c r="F9" s="17">
        <f>ROUND([4]Sheet1!$N$18,0)</f>
        <v>20602698</v>
      </c>
      <c r="G9" s="17">
        <f>SUM(F5:F9)</f>
        <v>72922719</v>
      </c>
      <c r="H9" s="17">
        <f>SUMIF($A$5:$A$9,"YES",F5:F9)</f>
        <v>72922719</v>
      </c>
      <c r="I9" s="17">
        <f>ROUND([4]Sheet1!$N$21,0)</f>
        <v>17607440</v>
      </c>
      <c r="J9" s="1">
        <f>SUM(I5:I9)</f>
        <v>164432823</v>
      </c>
      <c r="K9" s="1">
        <f>SUMIF($A$5:$A$9,"YES",I5:I9)</f>
        <v>164432823</v>
      </c>
      <c r="L9" s="21"/>
      <c r="M9" s="1">
        <f>ROUND([4]Sheet2!$J$26*0.95,0)</f>
        <v>9984320</v>
      </c>
      <c r="N9" s="1">
        <f>I9-M9</f>
        <v>7623120</v>
      </c>
      <c r="O9" s="1">
        <f>IF(($E9+2020-O$4)&gt;1,$F9,IF(($E9+2020-O$4)&gt;0,($E9+2020-O$4)*$F9,0))</f>
        <v>0</v>
      </c>
      <c r="P9" s="1">
        <f>IF(($E9+2020-P$4)&gt;1,$F9,IF(($E9+2020-P$4)&gt;0,($E9+2020-P$4)*$F9,0))</f>
        <v>0</v>
      </c>
      <c r="Q9" s="1">
        <f t="shared" si="3"/>
        <v>0</v>
      </c>
      <c r="R9" s="1">
        <f t="shared" si="3"/>
        <v>0</v>
      </c>
      <c r="S9" s="1">
        <f t="shared" si="2"/>
        <v>0</v>
      </c>
      <c r="T9" s="1">
        <f t="shared" si="2"/>
        <v>0</v>
      </c>
      <c r="U9" s="1">
        <f t="shared" si="2"/>
        <v>0</v>
      </c>
      <c r="V9" s="1">
        <f t="shared" si="2"/>
        <v>0</v>
      </c>
      <c r="W9" s="1">
        <f t="shared" si="2"/>
        <v>0</v>
      </c>
      <c r="X9" s="1">
        <f t="shared" si="2"/>
        <v>0</v>
      </c>
      <c r="Y9" s="1">
        <f t="shared" si="2"/>
        <v>0</v>
      </c>
      <c r="Z9" s="1">
        <f t="shared" si="2"/>
        <v>0</v>
      </c>
      <c r="AA9" s="1">
        <f t="shared" si="2"/>
        <v>0</v>
      </c>
      <c r="AB9" s="1">
        <f t="shared" si="2"/>
        <v>0</v>
      </c>
      <c r="AC9" s="1">
        <f t="shared" si="2"/>
        <v>0</v>
      </c>
    </row>
    <row r="10" spans="1:30" x14ac:dyDescent="0.25">
      <c r="A10" s="30"/>
      <c r="B10" s="36"/>
      <c r="C10" s="19"/>
      <c r="E10" s="38"/>
      <c r="F10" s="17"/>
      <c r="G10" s="17"/>
      <c r="H10" s="17"/>
      <c r="I10" s="19"/>
      <c r="J10" s="1"/>
      <c r="K10" s="1"/>
      <c r="L10" s="21"/>
      <c r="M10" s="1"/>
    </row>
    <row r="11" spans="1:30" x14ac:dyDescent="0.25">
      <c r="A11" s="27" t="s">
        <v>44</v>
      </c>
      <c r="B11" s="36" t="s">
        <v>2</v>
      </c>
      <c r="C11" s="19"/>
      <c r="D11" t="s">
        <v>16</v>
      </c>
      <c r="E11" s="37">
        <f>I11/F11</f>
        <v>3.4282925209495678</v>
      </c>
      <c r="F11" s="17">
        <f>ROUND('[5]Major Maintenance (R) '!$J$51,0)</f>
        <v>7631303</v>
      </c>
      <c r="G11" s="17"/>
      <c r="H11" s="17"/>
      <c r="I11" s="17">
        <f>ROUND('[5]MM Balances (R)'!$AJ$29,0)</f>
        <v>26162339</v>
      </c>
      <c r="J11" s="1"/>
      <c r="K11" s="1"/>
      <c r="L11" s="21"/>
      <c r="M11" s="1">
        <f>ROUND('[5]MM Balances (R)'!$AP$31,0)</f>
        <v>3465061</v>
      </c>
      <c r="N11" s="1">
        <f>ROUND('[5]MM Balances (R)'!$BB$31,0)</f>
        <v>5440642</v>
      </c>
      <c r="O11" s="1">
        <f>ROUND('[5]MM Balances (R)'!$BN$31,0)</f>
        <v>4410185</v>
      </c>
      <c r="P11" s="1">
        <f>ROUND('[5]MM Balances (R)'!$BZ$31,0)</f>
        <v>3800077</v>
      </c>
      <c r="Q11" s="1">
        <f>ROUND('[5]MM Balances (R)'!$CL$31,0)</f>
        <v>2801046</v>
      </c>
      <c r="R11" s="1">
        <f>ROUND('[5]MM Balances (R)'!$CX$31,0)</f>
        <v>1963456</v>
      </c>
      <c r="S11" s="1">
        <f>ROUND('[5]MM Balances (R)'!$DJ$31,0)</f>
        <v>1588503</v>
      </c>
      <c r="T11" s="1">
        <f>ROUND('[5]MM Balances (R)'!$DV$31,0)</f>
        <v>1043862</v>
      </c>
      <c r="U11" s="1">
        <f>ROUND('[5]MM Balances (R)'!$EH$31,0)</f>
        <v>669756</v>
      </c>
      <c r="V11" s="1">
        <f>ROUND('[5]MM Balances (R)'!$ET$31,0)</f>
        <v>512298</v>
      </c>
      <c r="W11" s="1">
        <f>ROUND('[5]MM Balances (R)'!$FF$31,0)</f>
        <v>436228</v>
      </c>
      <c r="X11" s="1">
        <f t="shared" ref="X11:AC11" si="4">IF(($E11+2020-X$4)&gt;1,$F11,IF(($E11+2020-X$4)&gt;0,($E11+2020-X$4)*$F11,0))</f>
        <v>0</v>
      </c>
      <c r="Y11" s="1">
        <f t="shared" si="4"/>
        <v>0</v>
      </c>
      <c r="Z11" s="1">
        <f t="shared" si="4"/>
        <v>0</v>
      </c>
      <c r="AA11" s="1">
        <f t="shared" si="4"/>
        <v>0</v>
      </c>
      <c r="AB11" s="1">
        <f t="shared" si="4"/>
        <v>0</v>
      </c>
      <c r="AC11" s="1">
        <f t="shared" si="4"/>
        <v>0</v>
      </c>
    </row>
    <row r="12" spans="1:30" x14ac:dyDescent="0.25">
      <c r="A12" s="27" t="s">
        <v>44</v>
      </c>
      <c r="B12" s="36" t="s">
        <v>3</v>
      </c>
      <c r="C12" s="19"/>
      <c r="D12" t="s">
        <v>16</v>
      </c>
      <c r="E12" s="37">
        <f>I12/F12</f>
        <v>11.333332674949697</v>
      </c>
      <c r="F12" s="17">
        <f>ROUND(SUM([6]Chelan!$H$181:$H$192),0)</f>
        <v>7088066</v>
      </c>
      <c r="G12" s="17"/>
      <c r="H12" s="17"/>
      <c r="I12" s="17">
        <f>ROUND([6]Chelan!$L$182,0)</f>
        <v>80331410</v>
      </c>
      <c r="J12" s="1"/>
      <c r="K12" s="1"/>
      <c r="L12" s="21"/>
      <c r="M12" s="1">
        <f>ROUND(SUM([6]Chelan!$H$183:$H$188),0)</f>
        <v>3544033</v>
      </c>
      <c r="N12" s="1">
        <f>ROUND(SUM([6]Chelan!$H$189:$H$200),0)</f>
        <v>7088066</v>
      </c>
      <c r="O12" s="1">
        <f>ROUND(SUM([6]Chelan!$H$201:$H$212),0)</f>
        <v>7088066</v>
      </c>
      <c r="P12" s="1">
        <f>ROUND(SUM([6]Chelan!$H$213:$H$224),0)</f>
        <v>7088066</v>
      </c>
      <c r="Q12" s="1">
        <f>ROUND(SUM([6]Chelan!$H$225:$H$236),0)</f>
        <v>7088066</v>
      </c>
      <c r="R12" s="1">
        <f>ROUND(SUM([6]Chelan!$H$237:$H$248),0)</f>
        <v>7088066</v>
      </c>
      <c r="S12" s="1">
        <f>ROUND(SUM([6]Chelan!$H$249:$H$260),0)</f>
        <v>7088066</v>
      </c>
      <c r="T12" s="1">
        <f>ROUND(SUM([6]Chelan!$H$261:$H$272),0)</f>
        <v>7088066</v>
      </c>
      <c r="U12" s="1">
        <f>ROUND(SUM([6]Chelan!$H$273:$H$284),0)</f>
        <v>7088066</v>
      </c>
      <c r="V12" s="1">
        <f>ROUND(SUM([6]Chelan!$H$285:$H$296),0)</f>
        <v>7088066</v>
      </c>
      <c r="W12" s="1">
        <f>ROUND(SUM([6]Chelan!$H$297:$H$308),0)</f>
        <v>7088066</v>
      </c>
      <c r="X12" s="1">
        <f>ROUND(SUM([6]Chelan!$H$309:$H$320),0)</f>
        <v>5906721</v>
      </c>
      <c r="Y12" s="1">
        <f>IF(($E12+2020-Y$4)&gt;1,$F12,IF(($E12+2020-Y$4)&gt;0,($E12+2020-Y$4)*$F12,0))</f>
        <v>0</v>
      </c>
      <c r="Z12" s="1">
        <f>IF(($E12+2020-Z$4)&gt;1,$F12,IF(($E12+2020-Z$4)&gt;0,($E12+2020-Z$4)*$F12,0))</f>
        <v>0</v>
      </c>
      <c r="AA12" s="1">
        <f>IF(($E12+2020-AA$4)&gt;1,$F12,IF(($E12+2020-AA$4)&gt;0,($E12+2020-AA$4)*$F12,0))</f>
        <v>0</v>
      </c>
      <c r="AB12" s="1">
        <f>IF(($E12+2020-AB$4)&gt;1,$F12,IF(($E12+2020-AB$4)&gt;0,($E12+2020-AB$4)*$F12,0))</f>
        <v>0</v>
      </c>
      <c r="AC12" s="1">
        <f>IF(($E12+2020-AC$4)&gt;1,$F12,IF(($E12+2020-AC$4)&gt;0,($E12+2020-AC$4)*$F12,0))</f>
        <v>0</v>
      </c>
    </row>
    <row r="13" spans="1:30" x14ac:dyDescent="0.25">
      <c r="A13" s="27" t="s">
        <v>44</v>
      </c>
      <c r="B13" s="36" t="s">
        <v>4</v>
      </c>
      <c r="C13" s="19"/>
      <c r="D13" t="s">
        <v>16</v>
      </c>
      <c r="E13" s="37">
        <f>I13/F13</f>
        <v>13.604166666666666</v>
      </c>
      <c r="F13" s="17">
        <f>[6]LSR!$F$11</f>
        <v>4800000</v>
      </c>
      <c r="G13" s="17"/>
      <c r="H13" s="17"/>
      <c r="I13" s="17">
        <f>[6]LSR!$E$11</f>
        <v>65300000</v>
      </c>
      <c r="J13" s="1"/>
      <c r="K13" s="1"/>
      <c r="L13" s="21"/>
      <c r="M13" s="1">
        <f>ROUND('[6]LSR BPA LGIA'!$T$158,0)</f>
        <v>2438618</v>
      </c>
      <c r="N13" s="1">
        <f>ROUND('[6]LSR BPA LGIA'!$T$170,0)</f>
        <v>5101774</v>
      </c>
      <c r="O13" s="1">
        <f>ROUND('[6]LSR BPA LGIA'!$T$182,0)</f>
        <v>5551122</v>
      </c>
      <c r="P13" s="1">
        <f>ROUND('[6]LSR BPA LGIA'!$T$194,0)</f>
        <v>5827664</v>
      </c>
      <c r="Q13" s="1">
        <f>ROUND('[6]LSR BPA LGIA'!$T$206,0)</f>
        <v>6317428</v>
      </c>
      <c r="R13" s="1">
        <f>ROUND('[6]LSR BPA LGIA'!$T$218,0)</f>
        <v>6631622</v>
      </c>
      <c r="S13" s="1">
        <f>ROUND('[6]LSR BPA LGIA'!$T$230,0)</f>
        <v>7173188</v>
      </c>
      <c r="T13" s="1">
        <f>ROUND('[6]LSR BPA LGIA'!$T$242,0)</f>
        <v>7521194</v>
      </c>
      <c r="U13" s="1">
        <f>ROUND('[6]LSR BPA LGIA'!$T$254,0)</f>
        <v>8113886</v>
      </c>
      <c r="V13" s="1">
        <f>ROUND('[6]LSR BPA LGIA'!$T$266,0)</f>
        <v>5436761</v>
      </c>
      <c r="W13" s="1">
        <f>ROUND('[6]LSR BPA LGIA'!$T$278,0)</f>
        <v>687420</v>
      </c>
      <c r="X13" s="1">
        <f>ROUND('[6]LSR BPA LGIA'!$T$290,0)</f>
        <v>687420</v>
      </c>
      <c r="Y13" s="1">
        <f>ROUND('[6]LSR BPA LGIA'!$T$302,0)</f>
        <v>687420</v>
      </c>
      <c r="Z13" s="1">
        <f>ROUND('[6]LSR BPA LGIA'!$T$314,0)</f>
        <v>687420</v>
      </c>
      <c r="AA13" s="1">
        <f>ROUND('[6]LSR BPA LGIA'!$T$326,0)</f>
        <v>687420</v>
      </c>
      <c r="AB13" s="1">
        <f>ROUND('[6]LSR BPA LGIA'!$T$338,0)</f>
        <v>687420</v>
      </c>
      <c r="AC13" s="1">
        <f>ROUND('[6]LSR BPA LGIA'!$T$350,0)</f>
        <v>687420</v>
      </c>
      <c r="AD13" s="1">
        <f>ROUND('[6]LSR BPA LGIA'!$T$362,0)</f>
        <v>308424</v>
      </c>
    </row>
    <row r="14" spans="1:30" x14ac:dyDescent="0.25">
      <c r="A14" s="27" t="s">
        <v>44</v>
      </c>
      <c r="B14" s="36" t="s">
        <v>5</v>
      </c>
      <c r="C14" s="19"/>
      <c r="D14" t="s">
        <v>16</v>
      </c>
      <c r="E14" s="37">
        <f>I14/F14</f>
        <v>4.6923788548698599</v>
      </c>
      <c r="F14" s="17">
        <f>ROUND(SUM('[6]Mint Farm'!$G$150:$G$161),0)</f>
        <v>2885052</v>
      </c>
      <c r="G14" s="17">
        <f>SUM(F11:F14)</f>
        <v>22404421</v>
      </c>
      <c r="H14" s="17">
        <f>SUMIF($A$11:$A$14,"YES",F11:F14)</f>
        <v>22404421</v>
      </c>
      <c r="I14" s="17">
        <f>ROUND(SUM('[6]Mint Farm'!$E$151,'[6]Mint Farm'!$H$151),0)</f>
        <v>13537757</v>
      </c>
      <c r="J14" s="1">
        <f>SUM(I11:I14)</f>
        <v>185331506</v>
      </c>
      <c r="K14" s="1">
        <f>SUMIF($A$11:$A$14,"YES",I11:I14)</f>
        <v>185331506</v>
      </c>
      <c r="L14" s="21"/>
      <c r="M14" s="1">
        <f>ROUND('[6]Mint Farm'!$P$157,0)</f>
        <v>1442526</v>
      </c>
      <c r="N14" s="1">
        <f>ROUND('[6]Mint Farm'!$P$169,0)</f>
        <v>2885052</v>
      </c>
      <c r="O14" s="1">
        <f>ROUND('[6]Mint Farm'!$P$181,0)</f>
        <v>2885052</v>
      </c>
      <c r="P14" s="1">
        <f>ROUND('[6]Mint Farm'!$P$193,0)</f>
        <v>2885052</v>
      </c>
      <c r="Q14" s="1">
        <f>ROUND('[6]Mint Farm'!$P$193,0)</f>
        <v>2885052</v>
      </c>
      <c r="R14" s="1">
        <f>ROUND('[6]Mint Farm'!$P$217,0)</f>
        <v>555023</v>
      </c>
      <c r="S14" s="1">
        <f t="shared" ref="S14:AC14" si="5">IF(($E14+2020-S$4)&gt;1,$F14,IF(($E14+2020-S$4)&gt;0,($E14+2020-S$4)*$F14,0))</f>
        <v>0</v>
      </c>
      <c r="T14" s="1">
        <f t="shared" si="5"/>
        <v>0</v>
      </c>
      <c r="U14" s="1">
        <f t="shared" si="5"/>
        <v>0</v>
      </c>
      <c r="V14" s="1">
        <f t="shared" si="5"/>
        <v>0</v>
      </c>
      <c r="W14" s="1">
        <f t="shared" si="5"/>
        <v>0</v>
      </c>
      <c r="X14" s="1">
        <f t="shared" si="5"/>
        <v>0</v>
      </c>
      <c r="Y14" s="1">
        <f t="shared" si="5"/>
        <v>0</v>
      </c>
      <c r="Z14" s="1">
        <f t="shared" si="5"/>
        <v>0</v>
      </c>
      <c r="AA14" s="1">
        <f t="shared" si="5"/>
        <v>0</v>
      </c>
      <c r="AB14" s="1">
        <f t="shared" si="5"/>
        <v>0</v>
      </c>
      <c r="AC14" s="1">
        <f t="shared" si="5"/>
        <v>0</v>
      </c>
    </row>
    <row r="15" spans="1:30" x14ac:dyDescent="0.25">
      <c r="A15" s="30"/>
      <c r="B15" s="36"/>
      <c r="C15" s="19"/>
      <c r="E15" s="38"/>
      <c r="F15" s="17"/>
      <c r="G15" s="17"/>
      <c r="H15" s="17"/>
      <c r="I15" s="19"/>
      <c r="J15" s="1"/>
      <c r="K15" s="1"/>
      <c r="L15" s="21"/>
      <c r="M15" s="1"/>
    </row>
    <row r="16" spans="1:30" x14ac:dyDescent="0.25">
      <c r="A16" s="27" t="s">
        <v>44</v>
      </c>
      <c r="B16" s="36" t="s">
        <v>7</v>
      </c>
      <c r="C16" s="19"/>
      <c r="D16" t="s">
        <v>17</v>
      </c>
      <c r="E16" s="37">
        <f>I16/F16</f>
        <v>2.6795698256393865</v>
      </c>
      <c r="F16" s="17">
        <f>ROUND('[2]Env Summary'!$G$13,0)</f>
        <v>9460164</v>
      </c>
      <c r="G16" s="17"/>
      <c r="H16" s="17"/>
      <c r="I16" s="17">
        <f>ROUND('[2]Env Summary'!$F$13,0)</f>
        <v>25349170</v>
      </c>
      <c r="J16" s="1"/>
      <c r="K16" s="1"/>
      <c r="L16" s="21"/>
      <c r="M16" s="1">
        <f>ROUND([2]Gas!$L$73,0)</f>
        <v>4730082</v>
      </c>
      <c r="N16" s="1">
        <f>ROUND([2]Gas!$L$85,0)</f>
        <v>9460164</v>
      </c>
      <c r="O16" s="1">
        <f>ROUND([2]Gas!$L$97,0)</f>
        <v>9159512</v>
      </c>
      <c r="P16" s="1">
        <f>ROUND([2]Gas!$L$109,0)</f>
        <v>856891</v>
      </c>
      <c r="Q16" s="1">
        <f>ROUND([2]Gas!$L$121,0)</f>
        <v>856891</v>
      </c>
      <c r="R16" s="1">
        <f t="shared" ref="R16:AC19" si="6">IF(($E16+2020-R$4)&gt;1,$F16,IF(($E16+2020-R$4)&gt;0,($E16+2020-R$4)*$F16,0))</f>
        <v>0</v>
      </c>
      <c r="S16" s="1">
        <f t="shared" si="6"/>
        <v>0</v>
      </c>
      <c r="T16" s="1">
        <f t="shared" si="6"/>
        <v>0</v>
      </c>
      <c r="U16" s="1">
        <f t="shared" si="6"/>
        <v>0</v>
      </c>
      <c r="V16" s="1">
        <f t="shared" si="6"/>
        <v>0</v>
      </c>
      <c r="W16" s="1">
        <f t="shared" si="6"/>
        <v>0</v>
      </c>
      <c r="X16" s="1">
        <f t="shared" si="6"/>
        <v>0</v>
      </c>
      <c r="Y16" s="1">
        <f t="shared" si="6"/>
        <v>0</v>
      </c>
      <c r="Z16" s="1">
        <f t="shared" si="6"/>
        <v>0</v>
      </c>
      <c r="AA16" s="1">
        <f t="shared" si="6"/>
        <v>0</v>
      </c>
      <c r="AB16" s="1">
        <f t="shared" si="6"/>
        <v>0</v>
      </c>
      <c r="AC16" s="1">
        <f t="shared" si="6"/>
        <v>0</v>
      </c>
    </row>
    <row r="17" spans="1:29" x14ac:dyDescent="0.25">
      <c r="A17" s="27" t="s">
        <v>44</v>
      </c>
      <c r="B17" s="36" t="s">
        <v>9</v>
      </c>
      <c r="C17" s="19"/>
      <c r="D17" t="s">
        <v>17</v>
      </c>
      <c r="E17" s="37">
        <f>I17/F17</f>
        <v>2.8333333333333335</v>
      </c>
      <c r="F17" s="17">
        <f>'[3]Summarize AMI and GTZ'!$F$37</f>
        <v>3600000</v>
      </c>
      <c r="G17" s="17"/>
      <c r="H17" s="17"/>
      <c r="I17" s="17">
        <f>'[3]Summarize AMI and GTZ'!$E$37</f>
        <v>10200000</v>
      </c>
      <c r="J17" s="1"/>
      <c r="K17" s="1"/>
      <c r="L17" s="21"/>
      <c r="M17" s="1">
        <f>ROUND('[3]GTZ CC Common'!$P$33,0)</f>
        <v>1796663</v>
      </c>
      <c r="N17" s="1">
        <f>ROUND('[3]GTZ CC Common'!$P$45,0)</f>
        <v>3593326</v>
      </c>
      <c r="O17" s="1">
        <f>ROUND('[3]GTZ CC Common'!$P$57,0)</f>
        <v>3593326</v>
      </c>
      <c r="P17" s="1">
        <f>ROUND('[3]GTZ CC Common'!$P$69,0)</f>
        <v>1197775</v>
      </c>
      <c r="Q17" s="1">
        <f>IF(($E17+2020-Q$4)&gt;1,$F17,IF(($E17+2020-Q$4)&gt;0,($E17+2020-Q$4)*$F17,0))</f>
        <v>0</v>
      </c>
      <c r="R17" s="1">
        <f t="shared" si="6"/>
        <v>0</v>
      </c>
      <c r="S17" s="1">
        <f t="shared" si="6"/>
        <v>0</v>
      </c>
      <c r="T17" s="1">
        <f t="shared" si="6"/>
        <v>0</v>
      </c>
      <c r="U17" s="1">
        <f t="shared" si="6"/>
        <v>0</v>
      </c>
      <c r="V17" s="1">
        <f t="shared" si="6"/>
        <v>0</v>
      </c>
      <c r="W17" s="1">
        <f t="shared" si="6"/>
        <v>0</v>
      </c>
      <c r="X17" s="1">
        <f t="shared" si="6"/>
        <v>0</v>
      </c>
      <c r="Y17" s="1">
        <f t="shared" si="6"/>
        <v>0</v>
      </c>
      <c r="Z17" s="1">
        <f t="shared" si="6"/>
        <v>0</v>
      </c>
      <c r="AA17" s="1">
        <f t="shared" si="6"/>
        <v>0</v>
      </c>
      <c r="AB17" s="1">
        <f t="shared" si="6"/>
        <v>0</v>
      </c>
      <c r="AC17" s="1">
        <f t="shared" si="6"/>
        <v>0</v>
      </c>
    </row>
    <row r="18" spans="1:29" x14ac:dyDescent="0.25">
      <c r="A18" s="27" t="s">
        <v>44</v>
      </c>
      <c r="B18" s="36" t="s">
        <v>10</v>
      </c>
      <c r="C18" s="19"/>
      <c r="D18" t="s">
        <v>17</v>
      </c>
      <c r="E18" s="37">
        <f>I18/F18</f>
        <v>2.7619047619047619</v>
      </c>
      <c r="F18" s="17">
        <f>'[3]Summarize AMI and GTZ'!$F$49</f>
        <v>2100000</v>
      </c>
      <c r="G18" s="17">
        <f>SUM(F16:F18)</f>
        <v>15160164</v>
      </c>
      <c r="H18" s="17">
        <f>SUMIF($A$16:$A$18,"YES",F16:F18)</f>
        <v>15160164</v>
      </c>
      <c r="I18" s="17">
        <f>'[3]Summarize AMI and GTZ'!$E$49</f>
        <v>5800000</v>
      </c>
      <c r="J18" s="1">
        <f>SUM(I16:I18)</f>
        <v>41349170</v>
      </c>
      <c r="K18" s="1">
        <f>SUMIF($A$16:$A$18,"YES",I16:I18)</f>
        <v>41349170</v>
      </c>
      <c r="L18" s="21"/>
      <c r="M18" s="1">
        <f>ROUND('[3]AMI G'!$P$33,0)</f>
        <v>1032946</v>
      </c>
      <c r="N18" s="1">
        <f>ROUND('[3]AMI G'!$P$45,0)</f>
        <v>2065892</v>
      </c>
      <c r="O18" s="1">
        <f>ROUND('[3]AMI G'!$P$57,0)</f>
        <v>2065892</v>
      </c>
      <c r="P18" s="1">
        <f>ROUND('[3]AMI G'!$P$69,0)</f>
        <v>688631</v>
      </c>
      <c r="Q18" s="1">
        <f>IF(($E18+2020-Q$4)&gt;1,$F18,IF(($E18+2020-Q$4)&gt;0,($E18+2020-Q$4)*$F18,0))</f>
        <v>0</v>
      </c>
      <c r="R18" s="1">
        <f t="shared" si="6"/>
        <v>0</v>
      </c>
      <c r="S18" s="1">
        <f t="shared" si="6"/>
        <v>0</v>
      </c>
      <c r="T18" s="1">
        <f t="shared" si="6"/>
        <v>0</v>
      </c>
      <c r="U18" s="1">
        <f t="shared" si="6"/>
        <v>0</v>
      </c>
      <c r="V18" s="1">
        <f t="shared" si="6"/>
        <v>0</v>
      </c>
      <c r="W18" s="1">
        <f t="shared" si="6"/>
        <v>0</v>
      </c>
      <c r="X18" s="1">
        <f t="shared" si="6"/>
        <v>0</v>
      </c>
      <c r="Y18" s="1">
        <f t="shared" si="6"/>
        <v>0</v>
      </c>
      <c r="Z18" s="1">
        <f t="shared" si="6"/>
        <v>0</v>
      </c>
      <c r="AA18" s="1">
        <f t="shared" si="6"/>
        <v>0</v>
      </c>
      <c r="AB18" s="1">
        <f t="shared" si="6"/>
        <v>0</v>
      </c>
      <c r="AC18" s="1">
        <f t="shared" si="6"/>
        <v>0</v>
      </c>
    </row>
    <row r="19" spans="1:29" x14ac:dyDescent="0.25">
      <c r="A19" s="32" t="s">
        <v>44</v>
      </c>
      <c r="B19" s="36" t="s">
        <v>12</v>
      </c>
      <c r="C19" s="19"/>
      <c r="D19" t="s">
        <v>18</v>
      </c>
      <c r="E19" s="37">
        <f>I19/F19</f>
        <v>1.2997028031510767</v>
      </c>
      <c r="F19" s="1">
        <f>ROUND('[7]106 Rates'!$J$35*0.95/2,0)</f>
        <v>54320226</v>
      </c>
      <c r="G19" s="1">
        <f>F19</f>
        <v>54320226</v>
      </c>
      <c r="H19" s="1">
        <f>SUMIF($A$19,"YES",F19)</f>
        <v>54320226</v>
      </c>
      <c r="I19" s="1">
        <f>ROUND('[7]6-2020 PGA Balance'!$C$7,0)</f>
        <v>70600150</v>
      </c>
      <c r="J19" s="1">
        <f>I19</f>
        <v>70600150</v>
      </c>
      <c r="K19" s="1">
        <f>SUMIF($A$19,"YES",I19)</f>
        <v>70600150</v>
      </c>
      <c r="L19" s="21"/>
      <c r="M19" s="1">
        <f>-ROUND(SUM('[7]6-2020 PGA Balance'!$B$8:$B$13),0)</f>
        <v>25092338</v>
      </c>
      <c r="N19" s="1">
        <f>I19-M19</f>
        <v>45507812</v>
      </c>
      <c r="O19" s="1">
        <f>IF(($E19+2020-O$4)&gt;1,$F19,IF(($E19+2020-O$4)&gt;0,($E19+2020-O$4)*$F19,0))</f>
        <v>0</v>
      </c>
      <c r="P19" s="1">
        <f>IF(($E19+2020-P$4)&gt;1,$F19,IF(($E19+2020-P$4)&gt;0,($E19+2020-P$4)*$F19,0))</f>
        <v>0</v>
      </c>
      <c r="Q19" s="1">
        <f>IF(($E19+2020-Q$4)&gt;1,$F19,IF(($E19+2020-Q$4)&gt;0,($E19+2020-Q$4)*$F19,0))</f>
        <v>0</v>
      </c>
      <c r="R19" s="1">
        <f t="shared" si="6"/>
        <v>0</v>
      </c>
      <c r="S19" s="1">
        <f t="shared" si="6"/>
        <v>0</v>
      </c>
      <c r="T19" s="1">
        <f t="shared" si="6"/>
        <v>0</v>
      </c>
      <c r="U19" s="1">
        <f t="shared" si="6"/>
        <v>0</v>
      </c>
      <c r="V19" s="1">
        <f t="shared" si="6"/>
        <v>0</v>
      </c>
      <c r="W19" s="1">
        <f t="shared" si="6"/>
        <v>0</v>
      </c>
      <c r="X19" s="1">
        <f t="shared" si="6"/>
        <v>0</v>
      </c>
      <c r="Y19" s="1">
        <f t="shared" si="6"/>
        <v>0</v>
      </c>
      <c r="Z19" s="1">
        <f t="shared" si="6"/>
        <v>0</v>
      </c>
      <c r="AA19" s="1">
        <f t="shared" si="6"/>
        <v>0</v>
      </c>
      <c r="AB19" s="1">
        <f t="shared" si="6"/>
        <v>0</v>
      </c>
      <c r="AC19" s="1">
        <f t="shared" si="6"/>
        <v>0</v>
      </c>
    </row>
    <row r="21" spans="1:29" x14ac:dyDescent="0.25">
      <c r="E21" t="s">
        <v>19</v>
      </c>
      <c r="G21" s="2">
        <f>G9+G14</f>
        <v>95327140</v>
      </c>
      <c r="H21" s="2">
        <f>H9+H14</f>
        <v>95327140</v>
      </c>
      <c r="J21" s="2">
        <f>J9+J14</f>
        <v>349764329</v>
      </c>
      <c r="K21" s="2">
        <f>K9+K14</f>
        <v>349764329</v>
      </c>
      <c r="N21" s="2"/>
    </row>
    <row r="22" spans="1:29" x14ac:dyDescent="0.25">
      <c r="A22" s="139" t="s">
        <v>80</v>
      </c>
      <c r="B22" s="140"/>
      <c r="E22" t="s">
        <v>17</v>
      </c>
      <c r="G22" s="2">
        <f>G18+G19</f>
        <v>69480390</v>
      </c>
      <c r="H22" s="2">
        <f>H18+H19</f>
        <v>69480390</v>
      </c>
      <c r="J22" s="2">
        <f>J18+J19</f>
        <v>111949320</v>
      </c>
      <c r="K22" s="2">
        <f>K18+K19</f>
        <v>111949320</v>
      </c>
      <c r="M22" s="42"/>
    </row>
    <row r="23" spans="1:29" ht="15.75" thickBot="1" x14ac:dyDescent="0.3">
      <c r="A23" s="141" t="s">
        <v>65</v>
      </c>
      <c r="B23" s="142"/>
      <c r="E23" t="s">
        <v>23</v>
      </c>
      <c r="G23" s="6">
        <f>SUM(G21:G22)</f>
        <v>164807530</v>
      </c>
      <c r="H23" s="6">
        <f>SUM(H21:H22)</f>
        <v>164807530</v>
      </c>
      <c r="J23" s="6">
        <f>SUM(J21:J22)</f>
        <v>461713649</v>
      </c>
      <c r="K23" s="6">
        <f>SUM(K21:K22)</f>
        <v>461713649</v>
      </c>
      <c r="M23" s="42"/>
    </row>
    <row r="24" spans="1:29" ht="15.75" thickTop="1" x14ac:dyDescent="0.25">
      <c r="A24" s="143">
        <f>C42/$H$42</f>
        <v>65364938.99631393</v>
      </c>
      <c r="B24" s="144" t="s">
        <v>19</v>
      </c>
      <c r="F24" t="s">
        <v>66</v>
      </c>
      <c r="M24" s="42"/>
      <c r="S24" s="1"/>
      <c r="T24" s="1"/>
      <c r="U24" s="1"/>
      <c r="V24" s="1"/>
      <c r="W24" s="1"/>
    </row>
    <row r="25" spans="1:29" x14ac:dyDescent="0.25">
      <c r="A25" s="143">
        <f>C43/$H$43</f>
        <v>61651440.737863302</v>
      </c>
      <c r="B25" s="144" t="s">
        <v>17</v>
      </c>
      <c r="C25" s="59"/>
      <c r="L25" s="24" t="s">
        <v>44</v>
      </c>
      <c r="M25" s="23" t="s">
        <v>62</v>
      </c>
    </row>
    <row r="26" spans="1:29" ht="15.75" thickBot="1" x14ac:dyDescent="0.3">
      <c r="A26" s="145">
        <f>SUM(A24:A25)</f>
        <v>127016379.73417723</v>
      </c>
      <c r="B26" s="144" t="s">
        <v>23</v>
      </c>
      <c r="L26" s="24" t="s">
        <v>45</v>
      </c>
      <c r="M26" s="23" t="s">
        <v>63</v>
      </c>
    </row>
    <row r="27" spans="1:29" ht="15.75" thickTop="1" x14ac:dyDescent="0.25">
      <c r="A27" s="146"/>
      <c r="B27" s="147"/>
      <c r="M27" s="42"/>
    </row>
    <row r="28" spans="1:29" x14ac:dyDescent="0.25">
      <c r="Q28" s="42"/>
    </row>
    <row r="29" spans="1:29" x14ac:dyDescent="0.25">
      <c r="A29" s="148"/>
      <c r="B29" s="149"/>
      <c r="C29" s="150" t="s">
        <v>64</v>
      </c>
      <c r="D29" s="151"/>
      <c r="E29" s="151"/>
      <c r="F29" s="151"/>
      <c r="G29" s="152"/>
      <c r="Q29" s="42"/>
    </row>
    <row r="30" spans="1:29" x14ac:dyDescent="0.25">
      <c r="A30" s="153"/>
      <c r="B30" s="154"/>
      <c r="C30" s="155" t="s">
        <v>58</v>
      </c>
      <c r="D30" s="155">
        <v>2021</v>
      </c>
      <c r="E30" s="155">
        <v>2022</v>
      </c>
      <c r="F30" s="155">
        <v>2023</v>
      </c>
      <c r="G30" s="156">
        <v>2024</v>
      </c>
      <c r="Q30" s="42"/>
    </row>
    <row r="31" spans="1:29" x14ac:dyDescent="0.25">
      <c r="A31" s="157" t="s">
        <v>46</v>
      </c>
      <c r="B31" s="154"/>
      <c r="C31" s="154"/>
      <c r="D31" s="154"/>
      <c r="E31" s="154"/>
      <c r="F31" s="154"/>
      <c r="G31" s="158"/>
      <c r="Q31" s="42"/>
    </row>
    <row r="32" spans="1:29" x14ac:dyDescent="0.25">
      <c r="A32" s="153" t="s">
        <v>19</v>
      </c>
      <c r="B32" s="154"/>
      <c r="C32" s="159">
        <f>C69</f>
        <v>46959068</v>
      </c>
      <c r="D32" s="159">
        <f>D69</f>
        <v>79739395</v>
      </c>
      <c r="E32" s="159">
        <f>E69</f>
        <v>55541252</v>
      </c>
      <c r="F32" s="159">
        <f>F69</f>
        <v>46373358</v>
      </c>
      <c r="G32" s="160">
        <f>G69</f>
        <v>25927215</v>
      </c>
      <c r="Q32" s="42"/>
    </row>
    <row r="33" spans="1:53" x14ac:dyDescent="0.25">
      <c r="A33" s="153" t="s">
        <v>17</v>
      </c>
      <c r="B33" s="154"/>
      <c r="C33" s="159">
        <f>C85</f>
        <v>32652029</v>
      </c>
      <c r="D33" s="159">
        <f>D85</f>
        <v>60627194</v>
      </c>
      <c r="E33" s="159">
        <f>E85</f>
        <v>14818730</v>
      </c>
      <c r="F33" s="159">
        <f>F85</f>
        <v>2743297</v>
      </c>
      <c r="G33" s="160">
        <f>G85</f>
        <v>856891</v>
      </c>
      <c r="Q33" s="42"/>
    </row>
    <row r="34" spans="1:53" ht="15.75" thickBot="1" x14ac:dyDescent="0.3">
      <c r="A34" s="153" t="s">
        <v>23</v>
      </c>
      <c r="B34" s="154"/>
      <c r="C34" s="161">
        <f>SUM(C32:C33)</f>
        <v>79611097</v>
      </c>
      <c r="D34" s="161">
        <f t="shared" ref="D34" si="7">SUM(D32:D33)</f>
        <v>140366589</v>
      </c>
      <c r="E34" s="161">
        <f>SUM(E32:E33)</f>
        <v>70359982</v>
      </c>
      <c r="F34" s="161">
        <f>SUM(F32:F33)</f>
        <v>49116655</v>
      </c>
      <c r="G34" s="162">
        <f>SUM(G32:G33)</f>
        <v>26784106</v>
      </c>
      <c r="Q34" s="42"/>
    </row>
    <row r="35" spans="1:53" ht="15.75" thickTop="1" x14ac:dyDescent="0.25">
      <c r="A35" s="153"/>
      <c r="B35" s="154"/>
      <c r="C35" s="154"/>
      <c r="D35" s="154"/>
      <c r="E35" s="154"/>
      <c r="F35" s="154"/>
      <c r="G35" s="158"/>
      <c r="Q35" s="42"/>
    </row>
    <row r="36" spans="1:53" x14ac:dyDescent="0.25">
      <c r="A36" s="157" t="s">
        <v>47</v>
      </c>
      <c r="B36" s="154"/>
      <c r="C36" s="154"/>
      <c r="D36" s="154"/>
      <c r="E36" s="154"/>
      <c r="F36" s="154"/>
      <c r="G36" s="158"/>
      <c r="Q36" s="7"/>
    </row>
    <row r="37" spans="1:53" x14ac:dyDescent="0.25">
      <c r="A37" s="153" t="s">
        <v>19</v>
      </c>
      <c r="B37" s="154"/>
      <c r="C37" s="163">
        <f>C66</f>
        <v>14981100.501843037</v>
      </c>
      <c r="D37" s="163">
        <f>D66</f>
        <v>29962201.003686074</v>
      </c>
      <c r="E37" s="163">
        <f>E66</f>
        <v>29962201.003686074</v>
      </c>
      <c r="F37" s="163">
        <f>F66</f>
        <v>29962201.003686074</v>
      </c>
      <c r="G37" s="164">
        <f>G66</f>
        <v>29962201.003686074</v>
      </c>
    </row>
    <row r="38" spans="1:53" x14ac:dyDescent="0.25">
      <c r="A38" s="153" t="s">
        <v>17</v>
      </c>
      <c r="B38" s="154"/>
      <c r="C38" s="163">
        <f>C82</f>
        <v>3914474.631068348</v>
      </c>
      <c r="D38" s="163">
        <f>D82</f>
        <v>7828949.2621366959</v>
      </c>
      <c r="E38" s="163">
        <f>E82</f>
        <v>7828949.2621366959</v>
      </c>
      <c r="F38" s="163">
        <f>F82</f>
        <v>7828949.2621366959</v>
      </c>
      <c r="G38" s="164">
        <f>G82</f>
        <v>7828949.2621366959</v>
      </c>
    </row>
    <row r="39" spans="1:53" ht="15.75" thickBot="1" x14ac:dyDescent="0.3">
      <c r="A39" s="153" t="s">
        <v>23</v>
      </c>
      <c r="B39" s="154"/>
      <c r="C39" s="161">
        <f>SUM(C37:C38)</f>
        <v>18895575.132911384</v>
      </c>
      <c r="D39" s="161">
        <f t="shared" ref="D39" si="8">SUM(D37:D38)</f>
        <v>37791150.265822768</v>
      </c>
      <c r="E39" s="161">
        <f>SUM(E37:E38)</f>
        <v>37791150.265822768</v>
      </c>
      <c r="F39" s="161">
        <f>SUM(F37:F38)</f>
        <v>37791150.265822768</v>
      </c>
      <c r="G39" s="162">
        <f>SUM(G37:G38)</f>
        <v>37791150.265822768</v>
      </c>
    </row>
    <row r="40" spans="1:53" ht="15.75" thickTop="1" x14ac:dyDescent="0.25">
      <c r="A40" s="153"/>
      <c r="B40" s="154"/>
      <c r="C40" s="154"/>
      <c r="D40" s="154"/>
      <c r="E40" s="154"/>
      <c r="F40" s="154"/>
      <c r="G40" s="158"/>
    </row>
    <row r="41" spans="1:53" x14ac:dyDescent="0.25">
      <c r="A41" s="157" t="s">
        <v>48</v>
      </c>
      <c r="B41" s="154"/>
      <c r="C41" s="154"/>
      <c r="D41" s="154"/>
      <c r="E41" s="154"/>
      <c r="F41" s="154"/>
      <c r="G41" s="158"/>
    </row>
    <row r="42" spans="1:53" s="19" customFormat="1" x14ac:dyDescent="0.25">
      <c r="A42" s="153" t="s">
        <v>19</v>
      </c>
      <c r="B42" s="154"/>
      <c r="C42" s="159">
        <f>C37-C32</f>
        <v>-31977967.498156965</v>
      </c>
      <c r="D42" s="159">
        <f t="shared" ref="D42:G42" si="9">D37-D32</f>
        <v>-49777193.99631393</v>
      </c>
      <c r="E42" s="159">
        <f t="shared" si="9"/>
        <v>-25579050.996313926</v>
      </c>
      <c r="F42" s="159">
        <f t="shared" si="9"/>
        <v>-16411156.996313926</v>
      </c>
      <c r="G42" s="160">
        <f t="shared" si="9"/>
        <v>4034986.0036860742</v>
      </c>
      <c r="H42" s="43">
        <f>C42/'BR 15'!G44</f>
        <v>-0.48922202007960675</v>
      </c>
      <c r="Q42"/>
      <c r="R42"/>
      <c r="S42"/>
      <c r="T42"/>
      <c r="U42"/>
      <c r="V42"/>
    </row>
    <row r="43" spans="1:53" s="19" customFormat="1" x14ac:dyDescent="0.25">
      <c r="A43" s="153" t="s">
        <v>17</v>
      </c>
      <c r="B43" s="154"/>
      <c r="C43" s="159">
        <f t="shared" ref="C43:G43" si="10">C38-C33</f>
        <v>-28737554.368931651</v>
      </c>
      <c r="D43" s="159">
        <f t="shared" si="10"/>
        <v>-52798244.737863302</v>
      </c>
      <c r="E43" s="159">
        <f t="shared" si="10"/>
        <v>-6989780.7378633041</v>
      </c>
      <c r="F43" s="159">
        <f t="shared" si="10"/>
        <v>5085652.2621366959</v>
      </c>
      <c r="G43" s="160">
        <f t="shared" si="10"/>
        <v>6972058.2621366959</v>
      </c>
      <c r="H43" s="43">
        <f>C43/'BR 15'!G45</f>
        <v>-0.4661294857831676</v>
      </c>
      <c r="Q43"/>
      <c r="R43"/>
      <c r="S43"/>
      <c r="T43"/>
      <c r="U43"/>
      <c r="V43"/>
    </row>
    <row r="44" spans="1:53" s="19" customFormat="1" ht="15" customHeight="1" thickBot="1" x14ac:dyDescent="0.3">
      <c r="A44" s="153" t="s">
        <v>23</v>
      </c>
      <c r="B44" s="154"/>
      <c r="C44" s="161">
        <f>SUM(C42:C43)</f>
        <v>-60715521.867088616</v>
      </c>
      <c r="D44" s="161">
        <f t="shared" ref="D44" si="11">SUM(D42:D43)</f>
        <v>-102575438.73417723</v>
      </c>
      <c r="E44" s="161">
        <f>SUM(E42:E43)</f>
        <v>-32568831.734177232</v>
      </c>
      <c r="F44" s="161">
        <f>SUM(F42:F43)</f>
        <v>-11325504.73417723</v>
      </c>
      <c r="G44" s="162">
        <f>SUM(G42:G43)</f>
        <v>11007044.26582277</v>
      </c>
      <c r="Q44"/>
      <c r="R44"/>
      <c r="S44"/>
      <c r="T44"/>
      <c r="U44"/>
      <c r="V44"/>
    </row>
    <row r="45" spans="1:53" s="19" customFormat="1" ht="15" customHeight="1" thickTop="1" x14ac:dyDescent="0.25">
      <c r="A45" s="165"/>
      <c r="B45" s="166"/>
      <c r="C45" s="167"/>
      <c r="D45" s="167"/>
      <c r="E45" s="167"/>
      <c r="F45" s="167"/>
      <c r="G45" s="168"/>
      <c r="Q45"/>
      <c r="R45"/>
      <c r="S45"/>
      <c r="T45"/>
      <c r="U45"/>
      <c r="V45"/>
    </row>
    <row r="46" spans="1:53" x14ac:dyDescent="0.25">
      <c r="C46" s="10"/>
      <c r="D46" s="10"/>
      <c r="E46" s="10"/>
      <c r="F46" s="10"/>
      <c r="G46" s="10"/>
      <c r="H46" s="10"/>
    </row>
    <row r="48" spans="1:53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</row>
    <row r="49" spans="1:53" x14ac:dyDescent="0.25">
      <c r="BA49" s="22"/>
    </row>
    <row r="50" spans="1:53" x14ac:dyDescent="0.25">
      <c r="B50" s="9"/>
      <c r="C50" s="9" t="s">
        <v>58</v>
      </c>
      <c r="D50" s="9">
        <v>2021</v>
      </c>
      <c r="E50" s="9">
        <v>2022</v>
      </c>
      <c r="F50" s="9">
        <v>2023</v>
      </c>
      <c r="G50" s="9">
        <v>2024</v>
      </c>
      <c r="H50" s="9">
        <v>2025</v>
      </c>
      <c r="I50" s="9">
        <v>2026</v>
      </c>
      <c r="J50" s="9">
        <v>2027</v>
      </c>
      <c r="K50" s="9">
        <v>2028</v>
      </c>
      <c r="L50" s="9">
        <v>2029</v>
      </c>
      <c r="M50" s="9">
        <v>2030</v>
      </c>
      <c r="N50" s="9">
        <v>2031</v>
      </c>
      <c r="O50" s="9">
        <v>2032</v>
      </c>
      <c r="P50" s="9">
        <v>2033</v>
      </c>
      <c r="Q50" s="9">
        <v>2034</v>
      </c>
      <c r="R50" s="9">
        <v>2035</v>
      </c>
      <c r="S50" s="9">
        <v>2036</v>
      </c>
      <c r="T50" s="9">
        <v>2037</v>
      </c>
      <c r="U50" s="9">
        <v>2038</v>
      </c>
      <c r="V50" s="9">
        <v>2039</v>
      </c>
      <c r="W50" s="9">
        <v>2040</v>
      </c>
      <c r="X50" s="9">
        <v>2041</v>
      </c>
      <c r="Y50" s="9">
        <v>2042</v>
      </c>
      <c r="Z50" s="9">
        <v>2044</v>
      </c>
      <c r="AA50" s="9">
        <v>2045</v>
      </c>
      <c r="AB50" s="9">
        <v>2046</v>
      </c>
      <c r="AC50" s="9">
        <v>2047</v>
      </c>
      <c r="AD50" s="9">
        <v>2048</v>
      </c>
      <c r="AE50" s="9">
        <v>2049</v>
      </c>
      <c r="AF50" s="9">
        <v>2050</v>
      </c>
      <c r="AG50" s="9">
        <v>2051</v>
      </c>
      <c r="AH50" s="9">
        <v>2052</v>
      </c>
      <c r="AI50" s="9">
        <v>2053</v>
      </c>
      <c r="AJ50" s="9">
        <v>2054</v>
      </c>
      <c r="AK50" s="9">
        <v>2055</v>
      </c>
      <c r="AL50" s="9">
        <v>2056</v>
      </c>
      <c r="AM50" s="9">
        <v>2057</v>
      </c>
      <c r="AN50" s="9">
        <v>2058</v>
      </c>
      <c r="AO50" s="9">
        <v>2059</v>
      </c>
      <c r="AP50" s="9">
        <v>2060</v>
      </c>
      <c r="AQ50" s="9">
        <v>2061</v>
      </c>
      <c r="AR50" s="9">
        <v>2062</v>
      </c>
      <c r="AS50" s="9">
        <v>2063</v>
      </c>
      <c r="AT50" s="9">
        <v>2064</v>
      </c>
      <c r="AU50" s="9">
        <v>2065</v>
      </c>
      <c r="AV50" s="9">
        <v>2066</v>
      </c>
      <c r="AW50" s="9">
        <v>2067</v>
      </c>
      <c r="AX50" s="9">
        <v>2068</v>
      </c>
    </row>
    <row r="51" spans="1:53" x14ac:dyDescent="0.25">
      <c r="A51" t="s">
        <v>24</v>
      </c>
      <c r="B51" s="10"/>
      <c r="C51" s="169">
        <f>25623860.8818532/2</f>
        <v>12811930.4409266</v>
      </c>
      <c r="D51" s="10">
        <v>24015464.813689981</v>
      </c>
      <c r="E51" s="10">
        <v>24399212.795614909</v>
      </c>
      <c r="F51" s="10">
        <v>23634456.756879337</v>
      </c>
      <c r="G51" s="10">
        <v>23865161.310801934</v>
      </c>
      <c r="H51" s="10">
        <v>24306294.826883312</v>
      </c>
      <c r="I51" s="10">
        <v>24965790.475091487</v>
      </c>
      <c r="J51" s="10">
        <v>23994154.745493572</v>
      </c>
      <c r="K51" s="10">
        <v>25275772.89397119</v>
      </c>
      <c r="L51" s="10">
        <v>26131056.095991936</v>
      </c>
      <c r="M51" s="10">
        <v>26028841.090108141</v>
      </c>
      <c r="N51" s="10">
        <v>24812903.904887941</v>
      </c>
      <c r="O51" s="10">
        <v>23616537.393727422</v>
      </c>
      <c r="P51" s="10">
        <v>24612433.532655373</v>
      </c>
      <c r="Q51" s="10">
        <v>24379856.166602965</v>
      </c>
      <c r="R51" s="10">
        <v>21803379.846335806</v>
      </c>
      <c r="S51" s="10">
        <v>21442106.062659975</v>
      </c>
      <c r="T51" s="10">
        <v>20081363.340709705</v>
      </c>
      <c r="U51" s="10">
        <v>19383929.508583747</v>
      </c>
      <c r="V51" s="10">
        <v>18667866.439330954</v>
      </c>
      <c r="W51" s="10">
        <v>17692594.477474216</v>
      </c>
      <c r="X51" s="10">
        <v>16999603.411349051</v>
      </c>
      <c r="Y51" s="10">
        <v>16285493.029040147</v>
      </c>
      <c r="Z51" s="10">
        <v>14870769.959598551</v>
      </c>
      <c r="AA51" s="10">
        <v>14451799.545705659</v>
      </c>
      <c r="AB51" s="10">
        <v>14026295.149741191</v>
      </c>
      <c r="AC51" s="10">
        <v>13562324.99235208</v>
      </c>
      <c r="AD51" s="10">
        <v>13071137.036764193</v>
      </c>
      <c r="AE51" s="10">
        <v>12596956.989343783</v>
      </c>
      <c r="AF51" s="10">
        <v>11804347.317637244</v>
      </c>
      <c r="AG51" s="10">
        <v>11123261.692925638</v>
      </c>
      <c r="AH51" s="10">
        <v>10481473.253878476</v>
      </c>
      <c r="AI51" s="10">
        <v>9876714.6368264724</v>
      </c>
      <c r="AJ51" s="10">
        <v>9306849.3001406919</v>
      </c>
      <c r="AK51" s="10">
        <v>8769863.9760802761</v>
      </c>
      <c r="AL51" s="10">
        <v>8263861.5581524372</v>
      </c>
      <c r="AM51" s="10">
        <v>7787054.3988565616</v>
      </c>
      <c r="AN51" s="10">
        <v>7337757.9941341998</v>
      </c>
      <c r="AO51" s="10">
        <v>6914385.0322127594</v>
      </c>
      <c r="AP51" s="10">
        <v>6515439.7858182443</v>
      </c>
      <c r="AQ51" s="10">
        <v>6139512.8279453134</v>
      </c>
      <c r="AR51" s="10">
        <v>5785276.0525161196</v>
      </c>
      <c r="AS51" s="10">
        <v>5451477.9823365202</v>
      </c>
      <c r="AT51" s="10">
        <v>5136939.3477731636</v>
      </c>
      <c r="AU51" s="10">
        <v>4840548.9205314796</v>
      </c>
      <c r="AV51" s="10">
        <v>4561259.5878157783</v>
      </c>
      <c r="AW51" s="10">
        <v>4298084.6530019213</v>
      </c>
      <c r="AX51" s="10">
        <v>3262386.3164512152</v>
      </c>
    </row>
    <row r="52" spans="1:53" x14ac:dyDescent="0.25">
      <c r="A52" s="11" t="s">
        <v>25</v>
      </c>
      <c r="B52" s="12"/>
      <c r="C52" s="12">
        <f>C51+B52</f>
        <v>12811930.4409266</v>
      </c>
      <c r="D52" s="12">
        <f t="shared" ref="D52" si="12">D51+C52</f>
        <v>36827395.254616581</v>
      </c>
      <c r="E52" s="12">
        <f>E51+D52</f>
        <v>61226608.050231487</v>
      </c>
      <c r="F52" s="12">
        <f t="shared" ref="F52" si="13">F51+E52</f>
        <v>84861064.807110816</v>
      </c>
      <c r="G52" s="12">
        <f>G51+F52</f>
        <v>108726226.11791275</v>
      </c>
      <c r="H52" s="12">
        <f t="shared" ref="H52" si="14">H51+G52</f>
        <v>133032520.94479607</v>
      </c>
      <c r="I52" s="12">
        <f>I51+H52</f>
        <v>157998311.41988754</v>
      </c>
      <c r="J52" s="12">
        <f t="shared" ref="J52" si="15">J51+I52</f>
        <v>181992466.1653811</v>
      </c>
      <c r="K52" s="12">
        <f>K51+J52</f>
        <v>207268239.05935228</v>
      </c>
      <c r="L52" s="12">
        <f t="shared" ref="L52" si="16">L51+K52</f>
        <v>233399295.15534422</v>
      </c>
      <c r="M52" s="12">
        <f t="shared" ref="M52" si="17">M51+L52</f>
        <v>259428136.24545234</v>
      </c>
      <c r="N52" s="12">
        <f t="shared" ref="N52" si="18">N51+M52</f>
        <v>284241040.15034026</v>
      </c>
      <c r="O52" s="12">
        <f t="shared" ref="O52" si="19">O51+N52</f>
        <v>307857577.54406768</v>
      </c>
      <c r="P52" s="12">
        <f t="shared" ref="P52" si="20">P51+O52</f>
        <v>332470011.07672304</v>
      </c>
      <c r="Q52" s="12">
        <f t="shared" ref="Q52" si="21">Q51+P52</f>
        <v>356849867.24332601</v>
      </c>
      <c r="R52" s="12">
        <f t="shared" ref="R52" si="22">R51+Q52</f>
        <v>378653247.08966184</v>
      </c>
      <c r="S52" s="12">
        <f t="shared" ref="S52" si="23">S51+R52</f>
        <v>400095353.15232182</v>
      </c>
      <c r="T52" s="12">
        <f t="shared" ref="T52" si="24">T51+S52</f>
        <v>420176716.4930315</v>
      </c>
      <c r="U52" s="12">
        <f t="shared" ref="U52" si="25">U51+T52</f>
        <v>439560646.00161523</v>
      </c>
      <c r="V52" s="12">
        <f t="shared" ref="V52" si="26">V51+U52</f>
        <v>458228512.44094616</v>
      </c>
      <c r="W52" s="12">
        <f t="shared" ref="W52" si="27">W51+V52</f>
        <v>475921106.91842037</v>
      </c>
      <c r="X52" s="12">
        <f t="shared" ref="X52" si="28">X51+W52</f>
        <v>492920710.32976943</v>
      </c>
      <c r="Y52" s="12">
        <f>Y51+X52</f>
        <v>509206203.35880959</v>
      </c>
      <c r="Z52" s="12">
        <f t="shared" ref="Z52:AX52" si="29">Z51+Y52</f>
        <v>524076973.31840813</v>
      </c>
      <c r="AA52" s="12">
        <f t="shared" si="29"/>
        <v>538528772.86411381</v>
      </c>
      <c r="AB52" s="12">
        <f t="shared" si="29"/>
        <v>552555068.01385498</v>
      </c>
      <c r="AC52" s="12">
        <f t="shared" si="29"/>
        <v>566117393.00620711</v>
      </c>
      <c r="AD52" s="12">
        <f t="shared" si="29"/>
        <v>579188530.04297125</v>
      </c>
      <c r="AE52" s="12">
        <f t="shared" si="29"/>
        <v>591785487.03231502</v>
      </c>
      <c r="AF52" s="12">
        <f t="shared" si="29"/>
        <v>603589834.34995222</v>
      </c>
      <c r="AG52" s="12">
        <f t="shared" si="29"/>
        <v>614713096.04287791</v>
      </c>
      <c r="AH52" s="12">
        <f t="shared" si="29"/>
        <v>625194569.29675639</v>
      </c>
      <c r="AI52" s="12">
        <f t="shared" si="29"/>
        <v>635071283.9335829</v>
      </c>
      <c r="AJ52" s="12">
        <f t="shared" si="29"/>
        <v>644378133.23372364</v>
      </c>
      <c r="AK52" s="12">
        <f t="shared" si="29"/>
        <v>653147997.20980394</v>
      </c>
      <c r="AL52" s="12">
        <f t="shared" si="29"/>
        <v>661411858.76795638</v>
      </c>
      <c r="AM52" s="12">
        <f t="shared" si="29"/>
        <v>669198913.1668129</v>
      </c>
      <c r="AN52" s="12">
        <f t="shared" si="29"/>
        <v>676536671.16094708</v>
      </c>
      <c r="AO52" s="12">
        <f t="shared" si="29"/>
        <v>683451056.19315982</v>
      </c>
      <c r="AP52" s="12">
        <f t="shared" si="29"/>
        <v>689966495.97897804</v>
      </c>
      <c r="AQ52" s="12">
        <f t="shared" si="29"/>
        <v>696106008.80692339</v>
      </c>
      <c r="AR52" s="12">
        <f t="shared" si="29"/>
        <v>701891284.85943949</v>
      </c>
      <c r="AS52" s="12">
        <f t="shared" si="29"/>
        <v>707342762.84177601</v>
      </c>
      <c r="AT52" s="12">
        <f t="shared" si="29"/>
        <v>712479702.18954921</v>
      </c>
      <c r="AU52" s="12">
        <f t="shared" si="29"/>
        <v>717320251.11008072</v>
      </c>
      <c r="AV52" s="12">
        <f t="shared" si="29"/>
        <v>721881510.69789648</v>
      </c>
      <c r="AW52" s="12">
        <f t="shared" si="29"/>
        <v>726179595.35089839</v>
      </c>
      <c r="AX52" s="12">
        <f t="shared" si="29"/>
        <v>729441981.66734958</v>
      </c>
    </row>
    <row r="54" spans="1:53" x14ac:dyDescent="0.25">
      <c r="A54" s="8" t="s">
        <v>29</v>
      </c>
    </row>
    <row r="55" spans="1:53" x14ac:dyDescent="0.25">
      <c r="A55" t="s">
        <v>26</v>
      </c>
      <c r="B55" s="12"/>
      <c r="C55" s="12">
        <f t="shared" ref="C55:D55" si="30">C51/0.79</f>
        <v>16217633.469527341</v>
      </c>
      <c r="D55" s="12">
        <f t="shared" si="30"/>
        <v>30399322.548974659</v>
      </c>
      <c r="E55" s="12">
        <f t="shared" ref="E55:AX55" si="31">E51/0.79</f>
        <v>30885079.488120139</v>
      </c>
      <c r="F55" s="12">
        <f t="shared" si="31"/>
        <v>29917033.869467515</v>
      </c>
      <c r="G55" s="12">
        <f t="shared" si="31"/>
        <v>30209064.950382195</v>
      </c>
      <c r="H55" s="12">
        <f t="shared" si="31"/>
        <v>30767461.806181408</v>
      </c>
      <c r="I55" s="12">
        <f t="shared" si="31"/>
        <v>31602266.424166437</v>
      </c>
      <c r="J55" s="12">
        <f t="shared" si="31"/>
        <v>30372347.779105786</v>
      </c>
      <c r="K55" s="12">
        <f t="shared" si="31"/>
        <v>31994649.232874922</v>
      </c>
      <c r="L55" s="12">
        <f t="shared" si="31"/>
        <v>33077286.197458144</v>
      </c>
      <c r="M55" s="12">
        <f t="shared" si="31"/>
        <v>32947900.114060938</v>
      </c>
      <c r="N55" s="12">
        <f t="shared" si="31"/>
        <v>31408739.120111316</v>
      </c>
      <c r="O55" s="12">
        <f t="shared" si="31"/>
        <v>29894351.131300531</v>
      </c>
      <c r="P55" s="12">
        <f t="shared" si="31"/>
        <v>31154979.155259963</v>
      </c>
      <c r="Q55" s="12">
        <f t="shared" si="31"/>
        <v>30860577.426079702</v>
      </c>
      <c r="R55" s="12">
        <f t="shared" si="31"/>
        <v>27599214.995361779</v>
      </c>
      <c r="S55" s="12">
        <f t="shared" si="31"/>
        <v>27141906.408430345</v>
      </c>
      <c r="T55" s="12">
        <f t="shared" si="31"/>
        <v>25419447.266721144</v>
      </c>
      <c r="U55" s="12">
        <f t="shared" si="31"/>
        <v>24536619.631118666</v>
      </c>
      <c r="V55" s="12">
        <f t="shared" si="31"/>
        <v>23630210.682697408</v>
      </c>
      <c r="W55" s="12">
        <f t="shared" si="31"/>
        <v>22395689.211992677</v>
      </c>
      <c r="X55" s="12">
        <f t="shared" si="31"/>
        <v>21518485.330821581</v>
      </c>
      <c r="Y55" s="12">
        <f t="shared" si="31"/>
        <v>20614548.1380255</v>
      </c>
      <c r="Z55" s="12">
        <f t="shared" si="31"/>
        <v>18823759.442529809</v>
      </c>
      <c r="AA55" s="12">
        <f t="shared" si="31"/>
        <v>18293417.146462858</v>
      </c>
      <c r="AB55" s="12">
        <f t="shared" si="31"/>
        <v>17754803.987014167</v>
      </c>
      <c r="AC55" s="12">
        <f t="shared" si="31"/>
        <v>17167499.990319088</v>
      </c>
      <c r="AD55" s="12">
        <f t="shared" si="31"/>
        <v>16545743.084511636</v>
      </c>
      <c r="AE55" s="12">
        <f t="shared" si="31"/>
        <v>15945515.176384535</v>
      </c>
      <c r="AF55" s="12">
        <f t="shared" si="31"/>
        <v>14942211.794477524</v>
      </c>
      <c r="AG55" s="12">
        <f t="shared" si="31"/>
        <v>14080078.092310933</v>
      </c>
      <c r="AH55" s="12">
        <f t="shared" si="31"/>
        <v>13267687.663137311</v>
      </c>
      <c r="AI55" s="12">
        <f t="shared" si="31"/>
        <v>12502170.426362623</v>
      </c>
      <c r="AJ55" s="12">
        <f t="shared" si="31"/>
        <v>11780821.898912268</v>
      </c>
      <c r="AK55" s="12">
        <f t="shared" si="31"/>
        <v>11101093.640607944</v>
      </c>
      <c r="AL55" s="12">
        <f t="shared" si="31"/>
        <v>10460584.250825869</v>
      </c>
      <c r="AM55" s="12">
        <f t="shared" si="31"/>
        <v>9857030.8846285585</v>
      </c>
      <c r="AN55" s="12">
        <f t="shared" si="31"/>
        <v>9288301.2583977208</v>
      </c>
      <c r="AO55" s="12">
        <f t="shared" si="31"/>
        <v>8752386.1167250108</v>
      </c>
      <c r="AP55" s="12">
        <f t="shared" si="31"/>
        <v>8247392.1339471443</v>
      </c>
      <c r="AQ55" s="12">
        <f t="shared" si="31"/>
        <v>7771535.2252472322</v>
      </c>
      <c r="AR55" s="12">
        <f t="shared" si="31"/>
        <v>7323134.2436912898</v>
      </c>
      <c r="AS55" s="12">
        <f t="shared" si="31"/>
        <v>6900605.0409323042</v>
      </c>
      <c r="AT55" s="12">
        <f t="shared" si="31"/>
        <v>6502454.8705989411</v>
      </c>
      <c r="AU55" s="12">
        <f t="shared" si="31"/>
        <v>6127277.1145968093</v>
      </c>
      <c r="AV55" s="12">
        <f t="shared" si="31"/>
        <v>5773746.313690858</v>
      </c>
      <c r="AW55" s="12">
        <f t="shared" si="31"/>
        <v>5440613.4848125586</v>
      </c>
      <c r="AX55" s="12">
        <f t="shared" si="31"/>
        <v>4129602.9322167281</v>
      </c>
    </row>
    <row r="56" spans="1:53" x14ac:dyDescent="0.25">
      <c r="A56" t="s">
        <v>27</v>
      </c>
      <c r="B56" s="12"/>
      <c r="C56" s="12">
        <f t="shared" ref="C56:D56" si="32">C55+B56</f>
        <v>16217633.469527341</v>
      </c>
      <c r="D56" s="12">
        <f t="shared" si="32"/>
        <v>46616956.018501997</v>
      </c>
      <c r="E56" s="12">
        <f t="shared" ref="E56:Y56" si="33">E55+D56</f>
        <v>77502035.506622136</v>
      </c>
      <c r="F56" s="12">
        <f t="shared" si="33"/>
        <v>107419069.37608965</v>
      </c>
      <c r="G56" s="12">
        <f t="shared" si="33"/>
        <v>137628134.32647184</v>
      </c>
      <c r="H56" s="12">
        <f t="shared" si="33"/>
        <v>168395596.13265324</v>
      </c>
      <c r="I56" s="12">
        <f t="shared" si="33"/>
        <v>199997862.55681968</v>
      </c>
      <c r="J56" s="12">
        <f t="shared" si="33"/>
        <v>230370210.33592546</v>
      </c>
      <c r="K56" s="12">
        <f t="shared" si="33"/>
        <v>262364859.56880039</v>
      </c>
      <c r="L56" s="12">
        <f t="shared" si="33"/>
        <v>295442145.76625854</v>
      </c>
      <c r="M56" s="12">
        <f t="shared" si="33"/>
        <v>328390045.88031948</v>
      </c>
      <c r="N56" s="12">
        <f t="shared" si="33"/>
        <v>359798785.00043082</v>
      </c>
      <c r="O56" s="12">
        <f t="shared" si="33"/>
        <v>389693136.13173133</v>
      </c>
      <c r="P56" s="12">
        <f t="shared" si="33"/>
        <v>420848115.2869913</v>
      </c>
      <c r="Q56" s="12">
        <f t="shared" si="33"/>
        <v>451708692.71307099</v>
      </c>
      <c r="R56" s="12">
        <f t="shared" si="33"/>
        <v>479307907.70843279</v>
      </c>
      <c r="S56" s="12">
        <f t="shared" si="33"/>
        <v>506449814.11686313</v>
      </c>
      <c r="T56" s="12">
        <f t="shared" si="33"/>
        <v>531869261.38358426</v>
      </c>
      <c r="U56" s="12">
        <f t="shared" si="33"/>
        <v>556405881.01470292</v>
      </c>
      <c r="V56" s="12">
        <f t="shared" si="33"/>
        <v>580036091.69740033</v>
      </c>
      <c r="W56" s="12">
        <f t="shared" si="33"/>
        <v>602431780.90939295</v>
      </c>
      <c r="X56" s="12">
        <f t="shared" si="33"/>
        <v>623950266.24021459</v>
      </c>
      <c r="Y56" s="12">
        <f t="shared" si="33"/>
        <v>644564814.37824011</v>
      </c>
      <c r="Z56" s="12">
        <f t="shared" ref="Z56" si="34">Z55+Y56</f>
        <v>663388573.82076991</v>
      </c>
      <c r="AA56" s="12">
        <f t="shared" ref="AA56" si="35">AA55+Z56</f>
        <v>681681990.9672327</v>
      </c>
      <c r="AB56" s="12">
        <f t="shared" ref="AB56" si="36">AB55+AA56</f>
        <v>699436794.95424688</v>
      </c>
      <c r="AC56" s="12">
        <f t="shared" ref="AC56" si="37">AC55+AB56</f>
        <v>716604294.94456601</v>
      </c>
      <c r="AD56" s="12">
        <f t="shared" ref="AD56" si="38">AD55+AC56</f>
        <v>733150038.02907765</v>
      </c>
      <c r="AE56" s="12">
        <f t="shared" ref="AE56" si="39">AE55+AD56</f>
        <v>749095553.20546222</v>
      </c>
      <c r="AF56" s="12">
        <f t="shared" ref="AF56" si="40">AF55+AE56</f>
        <v>764037764.9999398</v>
      </c>
      <c r="AG56" s="12">
        <f t="shared" ref="AG56" si="41">AG55+AF56</f>
        <v>778117843.0922507</v>
      </c>
      <c r="AH56" s="12">
        <f t="shared" ref="AH56" si="42">AH55+AG56</f>
        <v>791385530.75538802</v>
      </c>
      <c r="AI56" s="12">
        <f t="shared" ref="AI56" si="43">AI55+AH56</f>
        <v>803887701.18175066</v>
      </c>
      <c r="AJ56" s="12">
        <f t="shared" ref="AJ56" si="44">AJ55+AI56</f>
        <v>815668523.08066297</v>
      </c>
      <c r="AK56" s="12">
        <f t="shared" ref="AK56" si="45">AK55+AJ56</f>
        <v>826769616.72127092</v>
      </c>
      <c r="AL56" s="12">
        <f t="shared" ref="AL56" si="46">AL55+AK56</f>
        <v>837230200.9720968</v>
      </c>
      <c r="AM56" s="12">
        <f t="shared" ref="AM56" si="47">AM55+AL56</f>
        <v>847087231.85672534</v>
      </c>
      <c r="AN56" s="12">
        <f t="shared" ref="AN56" si="48">AN55+AM56</f>
        <v>856375533.11512303</v>
      </c>
      <c r="AO56" s="12">
        <f t="shared" ref="AO56" si="49">AO55+AN56</f>
        <v>865127919.231848</v>
      </c>
      <c r="AP56" s="12">
        <f t="shared" ref="AP56" si="50">AP55+AO56</f>
        <v>873375311.36579514</v>
      </c>
      <c r="AQ56" s="12">
        <f t="shared" ref="AQ56" si="51">AQ55+AP56</f>
        <v>881146846.5910424</v>
      </c>
      <c r="AR56" s="12">
        <f t="shared" ref="AR56" si="52">AR55+AQ56</f>
        <v>888469980.83473372</v>
      </c>
      <c r="AS56" s="12">
        <f t="shared" ref="AS56" si="53">AS55+AR56</f>
        <v>895370585.87566602</v>
      </c>
      <c r="AT56" s="12">
        <f t="shared" ref="AT56" si="54">AT55+AS56</f>
        <v>901873040.74626493</v>
      </c>
      <c r="AU56" s="12">
        <f t="shared" ref="AU56" si="55">AU55+AT56</f>
        <v>908000317.86086178</v>
      </c>
      <c r="AV56" s="12">
        <f t="shared" ref="AV56" si="56">AV55+AU56</f>
        <v>913774064.17455268</v>
      </c>
      <c r="AW56" s="12">
        <f t="shared" ref="AW56" si="57">AW55+AV56</f>
        <v>919214677.6593653</v>
      </c>
      <c r="AX56" s="12">
        <f t="shared" ref="AX56" si="58">AX55+AW56</f>
        <v>923344280.59158206</v>
      </c>
    </row>
    <row r="58" spans="1:53" x14ac:dyDescent="0.25">
      <c r="A58" s="3" t="s">
        <v>32</v>
      </c>
      <c r="B58" s="9"/>
      <c r="C58" s="9" t="s">
        <v>58</v>
      </c>
      <c r="D58" s="9">
        <v>2021</v>
      </c>
      <c r="E58" s="9">
        <v>2022</v>
      </c>
      <c r="F58" s="9">
        <v>2023</v>
      </c>
      <c r="G58" s="9">
        <v>2024</v>
      </c>
      <c r="H58" s="9">
        <v>2025</v>
      </c>
      <c r="I58" s="9">
        <v>2026</v>
      </c>
      <c r="J58" s="9">
        <v>2027</v>
      </c>
      <c r="K58" s="9">
        <v>2028</v>
      </c>
      <c r="L58" s="9">
        <v>2029</v>
      </c>
      <c r="M58" s="9">
        <v>2030</v>
      </c>
      <c r="N58" s="9">
        <v>2031</v>
      </c>
      <c r="O58" s="9">
        <v>2032</v>
      </c>
      <c r="P58" s="9">
        <v>2033</v>
      </c>
      <c r="Q58" s="9">
        <v>2034</v>
      </c>
      <c r="R58" s="9">
        <v>2035</v>
      </c>
      <c r="S58" s="9">
        <v>2036</v>
      </c>
      <c r="T58" s="9">
        <v>2037</v>
      </c>
      <c r="U58" s="9">
        <v>2038</v>
      </c>
      <c r="V58" s="9">
        <v>2039</v>
      </c>
      <c r="W58" s="9">
        <v>2040</v>
      </c>
      <c r="X58" s="9">
        <v>2041</v>
      </c>
      <c r="Y58" s="9">
        <v>2042</v>
      </c>
      <c r="Z58" s="9">
        <v>2044</v>
      </c>
      <c r="AA58" s="9">
        <v>2045</v>
      </c>
      <c r="AB58" s="9">
        <v>2046</v>
      </c>
      <c r="AC58" s="9">
        <v>2047</v>
      </c>
      <c r="AD58" s="9">
        <v>2048</v>
      </c>
      <c r="AE58" s="9">
        <v>2049</v>
      </c>
      <c r="AF58" s="9">
        <v>2050</v>
      </c>
      <c r="AG58" s="9">
        <v>2051</v>
      </c>
      <c r="AH58" s="9">
        <v>2052</v>
      </c>
      <c r="AI58" s="9">
        <v>2053</v>
      </c>
      <c r="AJ58" s="9">
        <v>2054</v>
      </c>
      <c r="AK58" s="9">
        <v>2055</v>
      </c>
      <c r="AL58" s="9">
        <v>2056</v>
      </c>
      <c r="AM58" s="9">
        <v>2057</v>
      </c>
      <c r="AN58" s="9">
        <v>2058</v>
      </c>
      <c r="AO58" s="9">
        <v>2059</v>
      </c>
      <c r="AP58" s="9">
        <v>2060</v>
      </c>
      <c r="AQ58" s="9">
        <v>2061</v>
      </c>
      <c r="AR58" s="9">
        <v>2062</v>
      </c>
      <c r="AS58" s="9">
        <v>2063</v>
      </c>
      <c r="AT58" s="9">
        <v>2064</v>
      </c>
      <c r="AU58" s="9">
        <v>2065</v>
      </c>
      <c r="AV58" s="9">
        <v>2066</v>
      </c>
      <c r="AW58" s="9">
        <v>2067</v>
      </c>
      <c r="AX58" s="9">
        <v>2068</v>
      </c>
    </row>
    <row r="60" spans="1:53" x14ac:dyDescent="0.25">
      <c r="A60" s="8" t="s">
        <v>30</v>
      </c>
    </row>
    <row r="61" spans="1:53" x14ac:dyDescent="0.25">
      <c r="A61" t="s">
        <v>26</v>
      </c>
      <c r="B61" s="12"/>
      <c r="C61" s="12">
        <f>C$55*ARAM!$D$7</f>
        <v>12811930.4409266</v>
      </c>
      <c r="D61" s="12">
        <f>D$55*ARAM!$D$7</f>
        <v>24015464.813689981</v>
      </c>
      <c r="E61" s="12">
        <f>E$55*ARAM!$D$7</f>
        <v>24399212.795614909</v>
      </c>
      <c r="F61" s="12">
        <f>F$55*ARAM!$D$7</f>
        <v>23634456.756879337</v>
      </c>
      <c r="G61" s="12">
        <f>G$55*ARAM!$D$7</f>
        <v>23865161.310801934</v>
      </c>
      <c r="H61" s="12">
        <f>H$55*ARAM!$D$7</f>
        <v>24306294.826883312</v>
      </c>
      <c r="I61" s="12">
        <f>I$55*ARAM!$D$7</f>
        <v>24965790.475091487</v>
      </c>
      <c r="J61" s="12">
        <f>J$55*ARAM!$D$7</f>
        <v>23994154.745493572</v>
      </c>
      <c r="K61" s="12">
        <f>K$55*ARAM!$D$7</f>
        <v>25275772.89397119</v>
      </c>
      <c r="L61" s="12">
        <f>L$55*ARAM!$D$7</f>
        <v>26131056.095991936</v>
      </c>
      <c r="M61" s="12">
        <f>M$55*ARAM!$D$7</f>
        <v>26028841.090108141</v>
      </c>
      <c r="N61" s="12">
        <f>N$55*ARAM!$D$7</f>
        <v>24812903.904887941</v>
      </c>
      <c r="O61" s="12">
        <f>O$55*ARAM!$D$7</f>
        <v>23616537.393727422</v>
      </c>
      <c r="P61" s="12">
        <f>P$55*ARAM!$D$7</f>
        <v>24612433.532655373</v>
      </c>
      <c r="Q61" s="12">
        <f>Q$55*ARAM!$D$7</f>
        <v>24379856.166602965</v>
      </c>
      <c r="R61" s="12">
        <f>R$55*ARAM!$D$7</f>
        <v>21803379.846335806</v>
      </c>
      <c r="S61" s="12">
        <f>S$55*ARAM!$D$7</f>
        <v>21442106.062659975</v>
      </c>
      <c r="T61" s="12">
        <f>T$55*ARAM!$D$7</f>
        <v>20081363.340709705</v>
      </c>
      <c r="U61" s="12">
        <f>U$55*ARAM!$D$7</f>
        <v>19383929.508583747</v>
      </c>
      <c r="V61" s="12">
        <f>V$55*ARAM!$D$7</f>
        <v>18667866.439330954</v>
      </c>
      <c r="W61" s="12">
        <f>W$55*ARAM!$D$7</f>
        <v>17692594.477474216</v>
      </c>
      <c r="X61" s="12">
        <f>X$55*ARAM!$D$7</f>
        <v>16999603.411349051</v>
      </c>
      <c r="Y61" s="12">
        <f>Y$55*ARAM!$D$7</f>
        <v>16285493.029040145</v>
      </c>
      <c r="Z61" s="12">
        <f>Z$55*ARAM!$D$7</f>
        <v>14870769.959598549</v>
      </c>
      <c r="AA61" s="12">
        <f>AA$55*ARAM!$D$7</f>
        <v>14451799.545705657</v>
      </c>
      <c r="AB61" s="12">
        <f>AB$55*ARAM!$D$7</f>
        <v>14026295.149741193</v>
      </c>
      <c r="AC61" s="12">
        <f>AC$55*ARAM!$D$7</f>
        <v>13562324.99235208</v>
      </c>
      <c r="AD61" s="12">
        <f>AD$55*ARAM!$D$7</f>
        <v>13071137.036764193</v>
      </c>
      <c r="AE61" s="12">
        <f>AE$55*ARAM!$D$7</f>
        <v>12596956.989343783</v>
      </c>
      <c r="AF61" s="12">
        <f>AF$55*ARAM!$D$7</f>
        <v>11804347.317637244</v>
      </c>
      <c r="AG61" s="12">
        <f>AG$55*ARAM!$D$7</f>
        <v>11123261.692925638</v>
      </c>
      <c r="AH61" s="12">
        <f>AH$55*ARAM!$D$7</f>
        <v>10481473.253878476</v>
      </c>
      <c r="AI61" s="12">
        <f>AI$55*ARAM!$D$7</f>
        <v>9876714.6368264724</v>
      </c>
      <c r="AJ61" s="12">
        <f>AJ$55*ARAM!$D$7</f>
        <v>9306849.3001406919</v>
      </c>
      <c r="AK61" s="12">
        <f>AK$55*ARAM!$D$7</f>
        <v>8769863.9760802761</v>
      </c>
      <c r="AL61" s="12">
        <f>AL$55*ARAM!$D$7</f>
        <v>8263861.5581524372</v>
      </c>
      <c r="AM61" s="12">
        <f>AM$55*ARAM!$D$7</f>
        <v>7787054.3988565616</v>
      </c>
      <c r="AN61" s="12">
        <f>AN$55*ARAM!$D$7</f>
        <v>7337757.9941341998</v>
      </c>
      <c r="AO61" s="12">
        <f>AO$55*ARAM!$D$7</f>
        <v>6914385.0322127584</v>
      </c>
      <c r="AP61" s="12">
        <f>AP$55*ARAM!$D$7</f>
        <v>6515439.7858182443</v>
      </c>
      <c r="AQ61" s="12">
        <f>AQ$55*ARAM!$D$7</f>
        <v>6139512.8279453134</v>
      </c>
      <c r="AR61" s="12">
        <f>AR$55*ARAM!$D$7</f>
        <v>5785276.0525161196</v>
      </c>
      <c r="AS61" s="12">
        <f>AS$55*ARAM!$D$7</f>
        <v>5451477.9823365202</v>
      </c>
      <c r="AT61" s="12">
        <f>AT$55*ARAM!$D$7</f>
        <v>5136939.3477731636</v>
      </c>
      <c r="AU61" s="12">
        <f>AU$55*ARAM!$D$7</f>
        <v>4840548.9205314796</v>
      </c>
      <c r="AV61" s="12">
        <f>AV$55*ARAM!$D$7</f>
        <v>4561259.5878157783</v>
      </c>
      <c r="AW61" s="12">
        <f>AW$55*ARAM!$D$7</f>
        <v>4298084.6530019213</v>
      </c>
      <c r="AX61" s="12">
        <f>AX$55*ARAM!$D$7</f>
        <v>3262386.3164512152</v>
      </c>
    </row>
    <row r="62" spans="1:53" x14ac:dyDescent="0.25">
      <c r="A62" t="s">
        <v>27</v>
      </c>
      <c r="B62" s="12"/>
      <c r="C62" s="12">
        <f>C61+B62</f>
        <v>12811930.4409266</v>
      </c>
      <c r="D62" s="12">
        <f t="shared" ref="D62" si="59">D61+C62</f>
        <v>36827395.254616581</v>
      </c>
      <c r="E62" s="12">
        <f>E61+D62</f>
        <v>61226608.050231487</v>
      </c>
      <c r="F62" s="12">
        <f t="shared" ref="F62" si="60">F61+E62</f>
        <v>84861064.807110816</v>
      </c>
      <c r="G62" s="12">
        <f>G61+F62</f>
        <v>108726226.11791275</v>
      </c>
      <c r="H62" s="12">
        <f t="shared" ref="H62" si="61">H61+G62</f>
        <v>133032520.94479607</v>
      </c>
      <c r="I62" s="12">
        <f>I61+H62</f>
        <v>157998311.41988754</v>
      </c>
      <c r="J62" s="12">
        <f t="shared" ref="J62" si="62">J61+I62</f>
        <v>181992466.1653811</v>
      </c>
      <c r="K62" s="12">
        <f>K61+J62</f>
        <v>207268239.05935228</v>
      </c>
      <c r="L62" s="12">
        <f t="shared" ref="L62" si="63">L61+K62</f>
        <v>233399295.15534422</v>
      </c>
      <c r="M62" s="12">
        <f t="shared" ref="M62" si="64">M61+L62</f>
        <v>259428136.24545234</v>
      </c>
      <c r="N62" s="12">
        <f t="shared" ref="N62" si="65">N61+M62</f>
        <v>284241040.15034026</v>
      </c>
      <c r="O62" s="12">
        <f t="shared" ref="O62" si="66">O61+N62</f>
        <v>307857577.54406768</v>
      </c>
      <c r="P62" s="12">
        <f t="shared" ref="P62" si="67">P61+O62</f>
        <v>332470011.07672304</v>
      </c>
      <c r="Q62" s="12">
        <f t="shared" ref="Q62" si="68">Q61+P62</f>
        <v>356849867.24332601</v>
      </c>
      <c r="R62" s="12">
        <f t="shared" ref="R62" si="69">R61+Q62</f>
        <v>378653247.08966184</v>
      </c>
      <c r="S62" s="12">
        <f t="shared" ref="S62" si="70">S61+R62</f>
        <v>400095353.15232182</v>
      </c>
      <c r="T62" s="12">
        <f t="shared" ref="T62" si="71">T61+S62</f>
        <v>420176716.4930315</v>
      </c>
      <c r="U62" s="12">
        <f t="shared" ref="U62" si="72">U61+T62</f>
        <v>439560646.00161523</v>
      </c>
      <c r="V62" s="12">
        <f t="shared" ref="V62" si="73">V61+U62</f>
        <v>458228512.44094616</v>
      </c>
      <c r="W62" s="12">
        <f t="shared" ref="W62" si="74">W61+V62</f>
        <v>475921106.91842037</v>
      </c>
      <c r="X62" s="12">
        <f t="shared" ref="X62" si="75">X61+W62</f>
        <v>492920710.32976943</v>
      </c>
      <c r="Y62" s="12">
        <f t="shared" ref="Y62" si="76">Y61+X62</f>
        <v>509206203.35880959</v>
      </c>
      <c r="Z62" s="12">
        <f t="shared" ref="Z62" si="77">Z61+Y62</f>
        <v>524076973.31840813</v>
      </c>
      <c r="AA62" s="12">
        <f t="shared" ref="AA62" si="78">AA61+Z62</f>
        <v>538528772.86411381</v>
      </c>
      <c r="AB62" s="12">
        <f t="shared" ref="AB62" si="79">AB61+AA62</f>
        <v>552555068.01385498</v>
      </c>
      <c r="AC62" s="12">
        <f t="shared" ref="AC62" si="80">AC61+AB62</f>
        <v>566117393.00620711</v>
      </c>
      <c r="AD62" s="12">
        <f t="shared" ref="AD62" si="81">AD61+AC62</f>
        <v>579188530.04297125</v>
      </c>
      <c r="AE62" s="12">
        <f t="shared" ref="AE62" si="82">AE61+AD62</f>
        <v>591785487.03231502</v>
      </c>
      <c r="AF62" s="12">
        <f t="shared" ref="AF62" si="83">AF61+AE62</f>
        <v>603589834.34995222</v>
      </c>
      <c r="AG62" s="12">
        <f t="shared" ref="AG62" si="84">AG61+AF62</f>
        <v>614713096.04287791</v>
      </c>
      <c r="AH62" s="12">
        <f t="shared" ref="AH62" si="85">AH61+AG62</f>
        <v>625194569.29675639</v>
      </c>
      <c r="AI62" s="12">
        <f t="shared" ref="AI62" si="86">AI61+AH62</f>
        <v>635071283.9335829</v>
      </c>
      <c r="AJ62" s="12">
        <f t="shared" ref="AJ62" si="87">AJ61+AI62</f>
        <v>644378133.23372364</v>
      </c>
      <c r="AK62" s="12">
        <f t="shared" ref="AK62" si="88">AK61+AJ62</f>
        <v>653147997.20980394</v>
      </c>
      <c r="AL62" s="12">
        <f t="shared" ref="AL62" si="89">AL61+AK62</f>
        <v>661411858.76795638</v>
      </c>
      <c r="AM62" s="12">
        <f t="shared" ref="AM62" si="90">AM61+AL62</f>
        <v>669198913.1668129</v>
      </c>
      <c r="AN62" s="12">
        <f t="shared" ref="AN62" si="91">AN61+AM62</f>
        <v>676536671.16094708</v>
      </c>
      <c r="AO62" s="12">
        <f t="shared" ref="AO62" si="92">AO61+AN62</f>
        <v>683451056.19315982</v>
      </c>
      <c r="AP62" s="12">
        <f t="shared" ref="AP62" si="93">AP61+AO62</f>
        <v>689966495.97897804</v>
      </c>
      <c r="AQ62" s="12">
        <f t="shared" ref="AQ62" si="94">AQ61+AP62</f>
        <v>696106008.80692339</v>
      </c>
      <c r="AR62" s="12">
        <f t="shared" ref="AR62" si="95">AR61+AQ62</f>
        <v>701891284.85943949</v>
      </c>
      <c r="AS62" s="12">
        <f t="shared" ref="AS62" si="96">AS61+AR62</f>
        <v>707342762.84177601</v>
      </c>
      <c r="AT62" s="12">
        <f t="shared" ref="AT62" si="97">AT61+AS62</f>
        <v>712479702.18954921</v>
      </c>
      <c r="AU62" s="12">
        <f t="shared" ref="AU62" si="98">AU61+AT62</f>
        <v>717320251.11008072</v>
      </c>
      <c r="AV62" s="12">
        <f t="shared" ref="AV62" si="99">AV61+AU62</f>
        <v>721881510.69789648</v>
      </c>
      <c r="AW62" s="12">
        <f t="shared" ref="AW62" si="100">AW61+AV62</f>
        <v>726179595.35089839</v>
      </c>
      <c r="AX62" s="12">
        <f t="shared" ref="AX62" si="101">AX61+AW62</f>
        <v>729441981.66734958</v>
      </c>
    </row>
    <row r="64" spans="1:53" x14ac:dyDescent="0.25">
      <c r="A64" s="8" t="s">
        <v>31</v>
      </c>
    </row>
    <row r="65" spans="1:50" x14ac:dyDescent="0.25">
      <c r="A65" t="s">
        <v>34</v>
      </c>
      <c r="C65" s="170">
        <f>SUMIF(A$5:A$14,"YES",I$5:I$14)</f>
        <v>349764329</v>
      </c>
      <c r="D65" s="2">
        <f>C67</f>
        <v>334783228.49815696</v>
      </c>
      <c r="E65" s="2">
        <f>D67</f>
        <v>304821027.49447089</v>
      </c>
      <c r="F65" s="2">
        <f t="shared" ref="F65" si="102">E67</f>
        <v>274858826.49078482</v>
      </c>
      <c r="G65" s="2">
        <f t="shared" ref="G65:L65" si="103">F67</f>
        <v>244896625.48709875</v>
      </c>
      <c r="H65" s="2">
        <f t="shared" si="103"/>
        <v>214934424.48341268</v>
      </c>
      <c r="I65" s="2">
        <f t="shared" si="103"/>
        <v>184972223.47972661</v>
      </c>
      <c r="J65" s="2">
        <f t="shared" si="103"/>
        <v>155010022.47604054</v>
      </c>
      <c r="K65" s="2">
        <f t="shared" si="103"/>
        <v>125047821.47235447</v>
      </c>
      <c r="L65" s="2">
        <f t="shared" si="103"/>
        <v>95085620.468668401</v>
      </c>
      <c r="M65" s="2">
        <f t="shared" ref="M65:Y65" si="104">L67</f>
        <v>65123419.464982331</v>
      </c>
      <c r="N65" s="2">
        <f t="shared" si="104"/>
        <v>35161218.46129626</v>
      </c>
      <c r="O65" s="2">
        <f t="shared" si="104"/>
        <v>5199017.4576101862</v>
      </c>
      <c r="P65" s="2">
        <f t="shared" si="104"/>
        <v>0</v>
      </c>
      <c r="Q65" s="2">
        <f t="shared" si="104"/>
        <v>0</v>
      </c>
      <c r="R65" s="2">
        <f t="shared" si="104"/>
        <v>0</v>
      </c>
      <c r="S65" s="2">
        <f t="shared" si="104"/>
        <v>0</v>
      </c>
      <c r="T65" s="2">
        <f t="shared" si="104"/>
        <v>0</v>
      </c>
      <c r="U65" s="2">
        <f t="shared" si="104"/>
        <v>0</v>
      </c>
      <c r="V65" s="2">
        <f t="shared" si="104"/>
        <v>0</v>
      </c>
      <c r="W65" s="2">
        <f t="shared" si="104"/>
        <v>0</v>
      </c>
      <c r="X65" s="2">
        <f t="shared" si="104"/>
        <v>0</v>
      </c>
      <c r="Y65" s="2">
        <f t="shared" si="104"/>
        <v>0</v>
      </c>
      <c r="Z65" s="2">
        <f t="shared" ref="Z65:AK65" si="105">Y67</f>
        <v>0</v>
      </c>
      <c r="AA65" s="2">
        <f t="shared" si="105"/>
        <v>0</v>
      </c>
      <c r="AB65" s="2">
        <f t="shared" si="105"/>
        <v>0</v>
      </c>
      <c r="AC65" s="2">
        <f t="shared" si="105"/>
        <v>0</v>
      </c>
      <c r="AD65" s="2">
        <f t="shared" si="105"/>
        <v>0</v>
      </c>
      <c r="AE65" s="2">
        <f t="shared" si="105"/>
        <v>0</v>
      </c>
      <c r="AF65" s="2">
        <f t="shared" si="105"/>
        <v>0</v>
      </c>
      <c r="AG65" s="2">
        <f t="shared" si="105"/>
        <v>0</v>
      </c>
      <c r="AH65" s="2">
        <f t="shared" si="105"/>
        <v>0</v>
      </c>
      <c r="AI65" s="2">
        <f t="shared" si="105"/>
        <v>0</v>
      </c>
      <c r="AJ65" s="2">
        <f t="shared" si="105"/>
        <v>0</v>
      </c>
      <c r="AK65" s="2">
        <f t="shared" si="105"/>
        <v>0</v>
      </c>
    </row>
    <row r="66" spans="1:50" ht="17.25" x14ac:dyDescent="0.4">
      <c r="A66" t="s">
        <v>28</v>
      </c>
      <c r="B66" s="12">
        <f>COUNTIF(C66:AK66,"&gt;0")</f>
        <v>13</v>
      </c>
      <c r="C66" s="13">
        <f>MIN(C65,ARAM!C7/2)</f>
        <v>14981100.501843037</v>
      </c>
      <c r="D66" s="13">
        <f>MIN(D65,ARAM!$C$7)</f>
        <v>29962201.003686074</v>
      </c>
      <c r="E66" s="13">
        <f>MIN(E65,ARAM!$C$7)</f>
        <v>29962201.003686074</v>
      </c>
      <c r="F66" s="13">
        <f>MIN(F65,ARAM!$C$7)</f>
        <v>29962201.003686074</v>
      </c>
      <c r="G66" s="13">
        <f>MIN(G65,ARAM!$C$7)</f>
        <v>29962201.003686074</v>
      </c>
      <c r="H66" s="13">
        <f>MIN(H65,ARAM!$C$7)</f>
        <v>29962201.003686074</v>
      </c>
      <c r="I66" s="13">
        <f>MIN(I65,ARAM!$C$7)</f>
        <v>29962201.003686074</v>
      </c>
      <c r="J66" s="13">
        <f>MIN(J65,ARAM!$C$7)</f>
        <v>29962201.003686074</v>
      </c>
      <c r="K66" s="13">
        <f>MIN(K65,ARAM!$C$7)</f>
        <v>29962201.003686074</v>
      </c>
      <c r="L66" s="13">
        <f>MIN(L65,ARAM!$C$7)</f>
        <v>29962201.003686074</v>
      </c>
      <c r="M66" s="13">
        <f>MIN(M65,ARAM!$C$7)</f>
        <v>29962201.003686074</v>
      </c>
      <c r="N66" s="13">
        <f>MIN(N65,ARAM!$C$7)</f>
        <v>29962201.003686074</v>
      </c>
      <c r="O66" s="13">
        <f>MIN(O65,ARAM!$C$7)</f>
        <v>5199017.4576101862</v>
      </c>
      <c r="P66" s="13">
        <f>MIN(P65,ARAM!$C$7)</f>
        <v>0</v>
      </c>
      <c r="Q66" s="13">
        <f>MIN(Q65,ARAM!$C$7)</f>
        <v>0</v>
      </c>
      <c r="R66" s="13">
        <f>MIN(R65,ARAM!$C$7)</f>
        <v>0</v>
      </c>
      <c r="S66" s="13">
        <f>MIN(S65,ARAM!$C$7)</f>
        <v>0</v>
      </c>
      <c r="T66" s="13">
        <f>MIN(T65,ARAM!$C$7)</f>
        <v>0</v>
      </c>
      <c r="U66" s="13">
        <f>MIN(U65,ARAM!$C$7)</f>
        <v>0</v>
      </c>
      <c r="V66" s="13">
        <f>MIN(V65,ARAM!$C$7)</f>
        <v>0</v>
      </c>
      <c r="W66" s="13">
        <f>MIN(W65,ARAM!$C$7)</f>
        <v>0</v>
      </c>
      <c r="X66" s="13">
        <f>MIN(X65,ARAM!$C$7)</f>
        <v>0</v>
      </c>
      <c r="Y66" s="13">
        <f>MIN(Y65,ARAM!$C$7)</f>
        <v>0</v>
      </c>
      <c r="Z66" s="13">
        <f>MIN(Z65,ARAM!$C$7)</f>
        <v>0</v>
      </c>
      <c r="AA66" s="13">
        <f>MIN(AA65,ARAM!$C$7)</f>
        <v>0</v>
      </c>
      <c r="AB66" s="13">
        <f>MIN(AB65,ARAM!$C$7)</f>
        <v>0</v>
      </c>
      <c r="AC66" s="13">
        <f>MIN(AC65,ARAM!$C$7)</f>
        <v>0</v>
      </c>
      <c r="AD66" s="13">
        <f>MIN(AD65,ARAM!$C$7)</f>
        <v>0</v>
      </c>
      <c r="AE66" s="13">
        <f>MIN(AE65,ARAM!$C$7)</f>
        <v>0</v>
      </c>
      <c r="AF66" s="13">
        <f>MIN(AF65,ARAM!$C$7)</f>
        <v>0</v>
      </c>
      <c r="AG66" s="13">
        <f>MIN(AG65,ARAM!$C$7)</f>
        <v>0</v>
      </c>
      <c r="AH66" s="13">
        <f>MIN(AH65,ARAM!$C$7)</f>
        <v>0</v>
      </c>
      <c r="AI66" s="13">
        <f>MIN(AI65,ARAM!$C$7)</f>
        <v>0</v>
      </c>
      <c r="AJ66" s="13">
        <f>MIN(AJ65,ARAM!$C$7)</f>
        <v>0</v>
      </c>
      <c r="AK66" s="13">
        <f>MIN(AK65,ARAM!$C$7)</f>
        <v>0</v>
      </c>
    </row>
    <row r="67" spans="1:50" x14ac:dyDescent="0.25">
      <c r="A67" t="s">
        <v>35</v>
      </c>
      <c r="C67" s="2">
        <f t="shared" ref="C67:D67" si="106">MAX(C65-C66,0)</f>
        <v>334783228.49815696</v>
      </c>
      <c r="D67" s="2">
        <f t="shared" si="106"/>
        <v>304821027.49447089</v>
      </c>
      <c r="E67" s="2">
        <f t="shared" ref="E67:AK67" si="107">MAX(E65-E66,0)</f>
        <v>274858826.49078482</v>
      </c>
      <c r="F67" s="2">
        <f t="shared" si="107"/>
        <v>244896625.48709875</v>
      </c>
      <c r="G67" s="2">
        <f t="shared" si="107"/>
        <v>214934424.48341268</v>
      </c>
      <c r="H67" s="2">
        <f t="shared" si="107"/>
        <v>184972223.47972661</v>
      </c>
      <c r="I67" s="2">
        <f t="shared" si="107"/>
        <v>155010022.47604054</v>
      </c>
      <c r="J67" s="2">
        <f t="shared" si="107"/>
        <v>125047821.47235447</v>
      </c>
      <c r="K67" s="2">
        <f t="shared" si="107"/>
        <v>95085620.468668401</v>
      </c>
      <c r="L67" s="2">
        <f t="shared" si="107"/>
        <v>65123419.464982331</v>
      </c>
      <c r="M67" s="2">
        <f t="shared" si="107"/>
        <v>35161218.46129626</v>
      </c>
      <c r="N67" s="2">
        <f t="shared" si="107"/>
        <v>5199017.4576101862</v>
      </c>
      <c r="O67" s="2">
        <f t="shared" si="107"/>
        <v>0</v>
      </c>
      <c r="P67" s="2">
        <f t="shared" si="107"/>
        <v>0</v>
      </c>
      <c r="Q67" s="2">
        <f t="shared" si="107"/>
        <v>0</v>
      </c>
      <c r="R67" s="2">
        <f t="shared" si="107"/>
        <v>0</v>
      </c>
      <c r="S67" s="2">
        <f t="shared" si="107"/>
        <v>0</v>
      </c>
      <c r="T67" s="2">
        <f t="shared" si="107"/>
        <v>0</v>
      </c>
      <c r="U67" s="2">
        <f t="shared" si="107"/>
        <v>0</v>
      </c>
      <c r="V67" s="2">
        <f t="shared" si="107"/>
        <v>0</v>
      </c>
      <c r="W67" s="2">
        <f t="shared" si="107"/>
        <v>0</v>
      </c>
      <c r="X67" s="2">
        <f t="shared" si="107"/>
        <v>0</v>
      </c>
      <c r="Y67" s="2">
        <f t="shared" si="107"/>
        <v>0</v>
      </c>
      <c r="Z67" s="2">
        <f t="shared" si="107"/>
        <v>0</v>
      </c>
      <c r="AA67" s="2">
        <f t="shared" si="107"/>
        <v>0</v>
      </c>
      <c r="AB67" s="2">
        <f t="shared" si="107"/>
        <v>0</v>
      </c>
      <c r="AC67" s="2">
        <f t="shared" si="107"/>
        <v>0</v>
      </c>
      <c r="AD67" s="2">
        <f t="shared" si="107"/>
        <v>0</v>
      </c>
      <c r="AE67" s="2">
        <f t="shared" si="107"/>
        <v>0</v>
      </c>
      <c r="AF67" s="2">
        <f t="shared" si="107"/>
        <v>0</v>
      </c>
      <c r="AG67" s="2">
        <f t="shared" si="107"/>
        <v>0</v>
      </c>
      <c r="AH67" s="2">
        <f t="shared" si="107"/>
        <v>0</v>
      </c>
      <c r="AI67" s="2">
        <f t="shared" si="107"/>
        <v>0</v>
      </c>
      <c r="AJ67" s="2">
        <f t="shared" si="107"/>
        <v>0</v>
      </c>
      <c r="AK67" s="2">
        <f t="shared" si="107"/>
        <v>0</v>
      </c>
    </row>
    <row r="69" spans="1:50" x14ac:dyDescent="0.25">
      <c r="A69" t="s">
        <v>33</v>
      </c>
      <c r="C69" s="170">
        <f t="shared" ref="C69:T69" si="108">SUMIF($A$5:$A$14,"YES",M$5:M$14)</f>
        <v>46959068</v>
      </c>
      <c r="D69" s="2">
        <f t="shared" si="108"/>
        <v>79739395</v>
      </c>
      <c r="E69" s="2">
        <f t="shared" si="108"/>
        <v>55541252</v>
      </c>
      <c r="F69" s="2">
        <f t="shared" si="108"/>
        <v>46373358</v>
      </c>
      <c r="G69" s="2">
        <f t="shared" si="108"/>
        <v>25927215</v>
      </c>
      <c r="H69" s="2">
        <f t="shared" si="108"/>
        <v>16288850</v>
      </c>
      <c r="I69" s="2">
        <f t="shared" si="108"/>
        <v>15849757</v>
      </c>
      <c r="J69" s="2">
        <f t="shared" si="108"/>
        <v>15653122</v>
      </c>
      <c r="K69" s="2">
        <f t="shared" si="108"/>
        <v>15871708</v>
      </c>
      <c r="L69" s="2">
        <f t="shared" si="108"/>
        <v>13037125</v>
      </c>
      <c r="M69" s="2">
        <f t="shared" si="108"/>
        <v>8211714</v>
      </c>
      <c r="N69" s="2">
        <f t="shared" si="108"/>
        <v>6594141</v>
      </c>
      <c r="O69" s="2">
        <f t="shared" si="108"/>
        <v>687420</v>
      </c>
      <c r="P69" s="2">
        <f t="shared" si="108"/>
        <v>687420</v>
      </c>
      <c r="Q69" s="2">
        <f t="shared" si="108"/>
        <v>687420</v>
      </c>
      <c r="R69" s="2">
        <f t="shared" si="108"/>
        <v>687420</v>
      </c>
      <c r="S69" s="2">
        <f t="shared" si="108"/>
        <v>687420</v>
      </c>
      <c r="T69" s="2">
        <f t="shared" si="108"/>
        <v>308424</v>
      </c>
      <c r="U69" s="2">
        <f>SUMIF($A$5:$A$14,"YES",AG$5:AG$14)</f>
        <v>0</v>
      </c>
      <c r="V69" s="2">
        <f>SUMIF($A$5:$A$14,"YES",AH$5:AH$14)</f>
        <v>0</v>
      </c>
      <c r="W69" s="2">
        <f>SUMIF($A$5:$A$14,"YES",AI$5:AI$14)</f>
        <v>0</v>
      </c>
      <c r="X69" s="2">
        <f>SUMIF($A$5:$A$14,"YES",AJ$5:AJ$14)</f>
        <v>0</v>
      </c>
      <c r="Y69" s="2">
        <f>SUMIF($A$5:$A$14,"YES",AL$5:AL$14)</f>
        <v>0</v>
      </c>
      <c r="Z69" s="2">
        <f t="shared" ref="Z69:AK69" si="109">SUMIF($A$5:$A$14,"YES",AN$5:AN$14)</f>
        <v>0</v>
      </c>
      <c r="AA69" s="2">
        <f t="shared" si="109"/>
        <v>0</v>
      </c>
      <c r="AB69" s="2">
        <f t="shared" si="109"/>
        <v>0</v>
      </c>
      <c r="AC69" s="2">
        <f t="shared" si="109"/>
        <v>0</v>
      </c>
      <c r="AD69" s="2">
        <f t="shared" si="109"/>
        <v>0</v>
      </c>
      <c r="AE69" s="2">
        <f t="shared" si="109"/>
        <v>0</v>
      </c>
      <c r="AF69" s="2">
        <f t="shared" si="109"/>
        <v>0</v>
      </c>
      <c r="AG69" s="2">
        <f t="shared" si="109"/>
        <v>0</v>
      </c>
      <c r="AH69" s="2">
        <f t="shared" si="109"/>
        <v>0</v>
      </c>
      <c r="AI69" s="2">
        <f t="shared" si="109"/>
        <v>0</v>
      </c>
      <c r="AJ69" s="2">
        <f t="shared" si="109"/>
        <v>0</v>
      </c>
      <c r="AK69" s="2">
        <f t="shared" si="109"/>
        <v>0</v>
      </c>
    </row>
    <row r="71" spans="1:50" ht="15.75" thickBot="1" x14ac:dyDescent="0.3">
      <c r="A71" s="3" t="s">
        <v>37</v>
      </c>
      <c r="B71" s="3"/>
      <c r="C71" s="6">
        <f t="shared" ref="C71:D71" si="110">C66-C69</f>
        <v>-31977967.498156965</v>
      </c>
      <c r="D71" s="6">
        <f t="shared" si="110"/>
        <v>-49777193.99631393</v>
      </c>
      <c r="E71" s="6">
        <f t="shared" ref="E71:AX71" si="111">E66-E69</f>
        <v>-25579050.996313926</v>
      </c>
      <c r="F71" s="6">
        <f t="shared" si="111"/>
        <v>-16411156.996313926</v>
      </c>
      <c r="G71" s="6">
        <f t="shared" si="111"/>
        <v>4034986.0036860742</v>
      </c>
      <c r="H71" s="6">
        <f t="shared" si="111"/>
        <v>13673351.003686074</v>
      </c>
      <c r="I71" s="6">
        <f t="shared" si="111"/>
        <v>14112444.003686074</v>
      </c>
      <c r="J71" s="6">
        <f t="shared" si="111"/>
        <v>14309079.003686074</v>
      </c>
      <c r="K71" s="6">
        <f t="shared" si="111"/>
        <v>14090493.003686074</v>
      </c>
      <c r="L71" s="6">
        <f t="shared" si="111"/>
        <v>16925076.003686074</v>
      </c>
      <c r="M71" s="6">
        <f t="shared" si="111"/>
        <v>21750487.003686074</v>
      </c>
      <c r="N71" s="6">
        <f t="shared" si="111"/>
        <v>23368060.003686074</v>
      </c>
      <c r="O71" s="6">
        <f t="shared" si="111"/>
        <v>4511597.4576101862</v>
      </c>
      <c r="P71" s="6">
        <f t="shared" si="111"/>
        <v>-687420</v>
      </c>
      <c r="Q71" s="6">
        <f t="shared" si="111"/>
        <v>-687420</v>
      </c>
      <c r="R71" s="6">
        <f t="shared" si="111"/>
        <v>-687420</v>
      </c>
      <c r="S71" s="6">
        <f t="shared" si="111"/>
        <v>-687420</v>
      </c>
      <c r="T71" s="6">
        <f t="shared" si="111"/>
        <v>-308424</v>
      </c>
      <c r="U71" s="6">
        <f t="shared" si="111"/>
        <v>0</v>
      </c>
      <c r="V71" s="6">
        <f t="shared" si="111"/>
        <v>0</v>
      </c>
      <c r="W71" s="6">
        <f t="shared" si="111"/>
        <v>0</v>
      </c>
      <c r="X71" s="6">
        <f t="shared" si="111"/>
        <v>0</v>
      </c>
      <c r="Y71" s="6">
        <f t="shared" si="111"/>
        <v>0</v>
      </c>
      <c r="Z71" s="6">
        <f t="shared" si="111"/>
        <v>0</v>
      </c>
      <c r="AA71" s="6">
        <f t="shared" si="111"/>
        <v>0</v>
      </c>
      <c r="AB71" s="6">
        <f t="shared" si="111"/>
        <v>0</v>
      </c>
      <c r="AC71" s="6">
        <f t="shared" si="111"/>
        <v>0</v>
      </c>
      <c r="AD71" s="6">
        <f t="shared" si="111"/>
        <v>0</v>
      </c>
      <c r="AE71" s="6">
        <f t="shared" si="111"/>
        <v>0</v>
      </c>
      <c r="AF71" s="6">
        <f t="shared" si="111"/>
        <v>0</v>
      </c>
      <c r="AG71" s="6">
        <f t="shared" si="111"/>
        <v>0</v>
      </c>
      <c r="AH71" s="6">
        <f t="shared" si="111"/>
        <v>0</v>
      </c>
      <c r="AI71" s="6">
        <f t="shared" si="111"/>
        <v>0</v>
      </c>
      <c r="AJ71" s="6">
        <f t="shared" si="111"/>
        <v>0</v>
      </c>
      <c r="AK71" s="6">
        <f t="shared" si="111"/>
        <v>0</v>
      </c>
      <c r="AL71" s="6">
        <f t="shared" si="111"/>
        <v>0</v>
      </c>
      <c r="AM71" s="6">
        <f t="shared" si="111"/>
        <v>0</v>
      </c>
      <c r="AN71" s="6">
        <f t="shared" si="111"/>
        <v>0</v>
      </c>
      <c r="AO71" s="6">
        <f t="shared" si="111"/>
        <v>0</v>
      </c>
      <c r="AP71" s="6">
        <f t="shared" si="111"/>
        <v>0</v>
      </c>
      <c r="AQ71" s="6">
        <f t="shared" si="111"/>
        <v>0</v>
      </c>
      <c r="AR71" s="6">
        <f t="shared" si="111"/>
        <v>0</v>
      </c>
      <c r="AS71" s="6">
        <f t="shared" si="111"/>
        <v>0</v>
      </c>
      <c r="AT71" s="6">
        <f t="shared" si="111"/>
        <v>0</v>
      </c>
      <c r="AU71" s="6">
        <f t="shared" si="111"/>
        <v>0</v>
      </c>
      <c r="AV71" s="6">
        <f t="shared" si="111"/>
        <v>0</v>
      </c>
      <c r="AW71" s="6">
        <f t="shared" si="111"/>
        <v>0</v>
      </c>
      <c r="AX71" s="6">
        <f t="shared" si="111"/>
        <v>0</v>
      </c>
    </row>
    <row r="72" spans="1:50" ht="15.75" thickTop="1" x14ac:dyDescent="0.25"/>
    <row r="74" spans="1:50" x14ac:dyDescent="0.25">
      <c r="A74" s="3" t="s">
        <v>38</v>
      </c>
      <c r="B74" s="9"/>
      <c r="C74" s="9">
        <v>2020</v>
      </c>
      <c r="D74" s="9">
        <v>2021</v>
      </c>
      <c r="E74" s="9">
        <v>2022</v>
      </c>
      <c r="F74" s="9">
        <v>2023</v>
      </c>
      <c r="G74" s="9">
        <v>2024</v>
      </c>
      <c r="H74" s="9">
        <v>2025</v>
      </c>
      <c r="I74" s="9">
        <v>2026</v>
      </c>
      <c r="J74" s="9">
        <v>2027</v>
      </c>
      <c r="K74" s="9">
        <v>2028</v>
      </c>
      <c r="L74" s="9">
        <v>2029</v>
      </c>
      <c r="M74" s="9">
        <v>2030</v>
      </c>
      <c r="N74" s="9">
        <v>2031</v>
      </c>
      <c r="O74" s="9">
        <v>2032</v>
      </c>
      <c r="P74" s="9">
        <v>2033</v>
      </c>
      <c r="Q74" s="9">
        <v>2034</v>
      </c>
      <c r="R74" s="9">
        <v>2035</v>
      </c>
      <c r="S74" s="9">
        <v>2036</v>
      </c>
      <c r="T74" s="9">
        <v>2037</v>
      </c>
      <c r="U74" s="9">
        <v>2038</v>
      </c>
      <c r="V74" s="9">
        <v>2039</v>
      </c>
      <c r="W74" s="9">
        <v>2040</v>
      </c>
      <c r="X74" s="9">
        <v>2041</v>
      </c>
      <c r="Y74" s="9">
        <v>2042</v>
      </c>
      <c r="Z74" s="9">
        <v>2044</v>
      </c>
      <c r="AA74" s="9">
        <v>2045</v>
      </c>
      <c r="AB74" s="9">
        <v>2046</v>
      </c>
      <c r="AC74" s="9">
        <v>2047</v>
      </c>
      <c r="AD74" s="9">
        <v>2048</v>
      </c>
      <c r="AE74" s="9">
        <v>2049</v>
      </c>
      <c r="AF74" s="9">
        <v>2050</v>
      </c>
      <c r="AG74" s="9">
        <v>2051</v>
      </c>
      <c r="AH74" s="9">
        <v>2052</v>
      </c>
      <c r="AI74" s="9">
        <v>2053</v>
      </c>
      <c r="AJ74" s="9">
        <v>2054</v>
      </c>
      <c r="AK74" s="9">
        <v>2055</v>
      </c>
      <c r="AL74" s="9">
        <v>2056</v>
      </c>
      <c r="AM74" s="9">
        <v>2057</v>
      </c>
      <c r="AN74" s="9">
        <v>2058</v>
      </c>
      <c r="AO74" s="9">
        <v>2059</v>
      </c>
      <c r="AP74" s="9">
        <v>2060</v>
      </c>
      <c r="AQ74" s="9">
        <v>2061</v>
      </c>
      <c r="AR74" s="9">
        <v>2062</v>
      </c>
      <c r="AS74" s="9">
        <v>2063</v>
      </c>
      <c r="AT74" s="9">
        <v>2064</v>
      </c>
      <c r="AU74" s="9">
        <v>2065</v>
      </c>
      <c r="AV74" s="9">
        <v>2066</v>
      </c>
      <c r="AW74" s="9">
        <v>2067</v>
      </c>
      <c r="AX74" s="9">
        <v>2068</v>
      </c>
    </row>
    <row r="76" spans="1:50" x14ac:dyDescent="0.25">
      <c r="A76" s="8" t="s">
        <v>39</v>
      </c>
    </row>
    <row r="77" spans="1:50" x14ac:dyDescent="0.25">
      <c r="A77" t="s">
        <v>26</v>
      </c>
      <c r="B77" s="12"/>
      <c r="C77" s="12">
        <f>C$55*ARAM!$D$8</f>
        <v>3405703.0286007412</v>
      </c>
      <c r="D77" s="12">
        <f>D$55*ARAM!$D$8</f>
        <v>6383857.7352846777</v>
      </c>
      <c r="E77" s="12">
        <f>E$55*ARAM!$D$8</f>
        <v>6485866.6925052283</v>
      </c>
      <c r="F77" s="12">
        <f>F$55*ARAM!$D$8</f>
        <v>6282577.1125881774</v>
      </c>
      <c r="G77" s="12">
        <f>G$55*ARAM!$D$8</f>
        <v>6343903.63958026</v>
      </c>
      <c r="H77" s="12">
        <f>H$55*ARAM!$D$8</f>
        <v>6461166.9792980943</v>
      </c>
      <c r="I77" s="12">
        <f>I$55*ARAM!$D$8</f>
        <v>6636475.949074951</v>
      </c>
      <c r="J77" s="12">
        <f>J$55*ARAM!$D$8</f>
        <v>6378193.033612214</v>
      </c>
      <c r="K77" s="12">
        <f>K$55*ARAM!$D$8</f>
        <v>6718876.3389037326</v>
      </c>
      <c r="L77" s="12">
        <f>L$55*ARAM!$D$8</f>
        <v>6946230.1014662087</v>
      </c>
      <c r="M77" s="12">
        <f>M$55*ARAM!$D$8</f>
        <v>6919059.0239527961</v>
      </c>
      <c r="N77" s="12">
        <f>N$55*ARAM!$D$8</f>
        <v>6595835.2152233757</v>
      </c>
      <c r="O77" s="12">
        <f>O$55*ARAM!$D$8</f>
        <v>6277813.7375731105</v>
      </c>
      <c r="P77" s="12">
        <f>P$55*ARAM!$D$8</f>
        <v>6542545.6226045908</v>
      </c>
      <c r="Q77" s="12">
        <f>Q$55*ARAM!$D$8</f>
        <v>6480721.2594767362</v>
      </c>
      <c r="R77" s="12">
        <f>R$55*ARAM!$D$8</f>
        <v>5795835.1490259729</v>
      </c>
      <c r="S77" s="12">
        <f>S$55*ARAM!$D$8</f>
        <v>5699800.3457703711</v>
      </c>
      <c r="T77" s="12">
        <f>T$55*ARAM!$D$8</f>
        <v>5338083.9260114394</v>
      </c>
      <c r="U77" s="12">
        <f>U$55*ARAM!$D$8</f>
        <v>5152690.1225349195</v>
      </c>
      <c r="V77" s="12">
        <f>V$55*ARAM!$D$8</f>
        <v>4962344.2433664547</v>
      </c>
      <c r="W77" s="12">
        <f>W$55*ARAM!$D$8</f>
        <v>4703094.7345184619</v>
      </c>
      <c r="X77" s="12">
        <f>X$55*ARAM!$D$8</f>
        <v>4518881.9194725314</v>
      </c>
      <c r="Y77" s="12">
        <f>Y$55*ARAM!$D$8</f>
        <v>4329055.1089853542</v>
      </c>
      <c r="Z77" s="12">
        <f>Z$55*ARAM!$D$8</f>
        <v>3952989.4829312591</v>
      </c>
      <c r="AA77" s="12">
        <f>AA$55*ARAM!$D$8</f>
        <v>3841617.6007571993</v>
      </c>
      <c r="AB77" s="12">
        <f>AB$55*ARAM!$D$8</f>
        <v>3728508.8372729747</v>
      </c>
      <c r="AC77" s="12">
        <f>AC$55*ARAM!$D$8</f>
        <v>3605174.997967008</v>
      </c>
      <c r="AD77" s="12">
        <f>AD$55*ARAM!$D$8</f>
        <v>3474606.047747443</v>
      </c>
      <c r="AE77" s="12">
        <f>AE$55*ARAM!$D$8</f>
        <v>3348558.1870407518</v>
      </c>
      <c r="AF77" s="12">
        <f>AF$55*ARAM!$D$8</f>
        <v>3137864.4768402795</v>
      </c>
      <c r="AG77" s="12">
        <f>AG$55*ARAM!$D$8</f>
        <v>2956816.3993852953</v>
      </c>
      <c r="AH77" s="12">
        <f>AH$55*ARAM!$D$8</f>
        <v>2786214.409258835</v>
      </c>
      <c r="AI77" s="12">
        <f>AI$55*ARAM!$D$8</f>
        <v>2625455.7895361502</v>
      </c>
      <c r="AJ77" s="12">
        <f>AJ$55*ARAM!$D$8</f>
        <v>2473972.5987715758</v>
      </c>
      <c r="AK77" s="12">
        <f>AK$55*ARAM!$D$8</f>
        <v>2331229.6645276677</v>
      </c>
      <c r="AL77" s="12">
        <f>AL$55*ARAM!$D$8</f>
        <v>2196722.6926734322</v>
      </c>
      <c r="AM77" s="12">
        <f>AM$55*ARAM!$D$8</f>
        <v>2069976.4857719969</v>
      </c>
      <c r="AN77" s="12">
        <f>AN$55*ARAM!$D$8</f>
        <v>1950543.2642635209</v>
      </c>
      <c r="AO77" s="12">
        <f>AO$55*ARAM!$D$8</f>
        <v>1838001.0845122519</v>
      </c>
      <c r="AP77" s="12">
        <f>AP$55*ARAM!$D$8</f>
        <v>1731952.3481288999</v>
      </c>
      <c r="AQ77" s="12">
        <f>AQ$55*ARAM!$D$8</f>
        <v>1632022.3973019186</v>
      </c>
      <c r="AR77" s="12">
        <f>AR$55*ARAM!$D$8</f>
        <v>1537858.1911751707</v>
      </c>
      <c r="AS77" s="12">
        <f>AS$55*ARAM!$D$8</f>
        <v>1449127.0585957835</v>
      </c>
      <c r="AT77" s="12">
        <f>AT$55*ARAM!$D$8</f>
        <v>1365515.5228257773</v>
      </c>
      <c r="AU77" s="12">
        <f>AU$55*ARAM!$D$8</f>
        <v>1286728.1940653296</v>
      </c>
      <c r="AV77" s="12">
        <f>AV$55*ARAM!$D$8</f>
        <v>1212486.7258750799</v>
      </c>
      <c r="AW77" s="12">
        <f>AW$55*ARAM!$D$8</f>
        <v>1142528.8318106371</v>
      </c>
      <c r="AX77" s="12">
        <f>AX$55*ARAM!$D$8</f>
        <v>867216.6157655128</v>
      </c>
    </row>
    <row r="78" spans="1:50" x14ac:dyDescent="0.25">
      <c r="A78" t="s">
        <v>27</v>
      </c>
      <c r="B78" s="12"/>
      <c r="C78" s="12">
        <f>C77+B78</f>
        <v>3405703.0286007412</v>
      </c>
      <c r="D78" s="12">
        <f t="shared" ref="D78" si="112">D77+C78</f>
        <v>9789560.7638854198</v>
      </c>
      <c r="E78" s="12">
        <f>E77+D78</f>
        <v>16275427.456390649</v>
      </c>
      <c r="F78" s="12">
        <f t="shared" ref="F78" si="113">F77+E78</f>
        <v>22558004.568978827</v>
      </c>
      <c r="G78" s="12">
        <f>G77+F78</f>
        <v>28901908.208559088</v>
      </c>
      <c r="H78" s="12">
        <f t="shared" ref="H78" si="114">H77+G78</f>
        <v>35363075.187857181</v>
      </c>
      <c r="I78" s="12">
        <f>I77+H78</f>
        <v>41999551.136932135</v>
      </c>
      <c r="J78" s="12">
        <f t="shared" ref="J78" si="115">J77+I78</f>
        <v>48377744.170544349</v>
      </c>
      <c r="K78" s="12">
        <f>K77+J78</f>
        <v>55096620.509448081</v>
      </c>
      <c r="L78" s="12">
        <f t="shared" ref="L78" si="116">L77+K78</f>
        <v>62042850.61091429</v>
      </c>
      <c r="M78" s="12">
        <f t="shared" ref="M78" si="117">M77+L78</f>
        <v>68961909.634867087</v>
      </c>
      <c r="N78" s="12">
        <f t="shared" ref="N78" si="118">N77+M78</f>
        <v>75557744.850090459</v>
      </c>
      <c r="O78" s="12">
        <f t="shared" ref="O78" si="119">O77+N78</f>
        <v>81835558.587663576</v>
      </c>
      <c r="P78" s="12">
        <f t="shared" ref="P78" si="120">P77+O78</f>
        <v>88378104.21026817</v>
      </c>
      <c r="Q78" s="12">
        <f t="shared" ref="Q78" si="121">Q77+P78</f>
        <v>94858825.469744906</v>
      </c>
      <c r="R78" s="12">
        <f t="shared" ref="R78" si="122">R77+Q78</f>
        <v>100654660.61877088</v>
      </c>
      <c r="S78" s="12">
        <f t="shared" ref="S78" si="123">S77+R78</f>
        <v>106354460.96454126</v>
      </c>
      <c r="T78" s="12">
        <f t="shared" ref="T78" si="124">T77+S78</f>
        <v>111692544.8905527</v>
      </c>
      <c r="U78" s="12">
        <f t="shared" ref="U78" si="125">U77+T78</f>
        <v>116845235.01308762</v>
      </c>
      <c r="V78" s="12">
        <f t="shared" ref="V78" si="126">V77+U78</f>
        <v>121807579.25645407</v>
      </c>
      <c r="W78" s="12">
        <f t="shared" ref="W78" si="127">W77+V78</f>
        <v>126510673.99097253</v>
      </c>
      <c r="X78" s="12">
        <f t="shared" ref="X78" si="128">X77+W78</f>
        <v>131029555.91044506</v>
      </c>
      <c r="Y78" s="12">
        <f t="shared" ref="Y78" si="129">Y77+X78</f>
        <v>135358611.01943043</v>
      </c>
      <c r="Z78" s="12">
        <f t="shared" ref="Z78" si="130">Z77+Y78</f>
        <v>139311600.50236169</v>
      </c>
      <c r="AA78" s="12">
        <f t="shared" ref="AA78" si="131">AA77+Z78</f>
        <v>143153218.1031189</v>
      </c>
      <c r="AB78" s="12">
        <f t="shared" ref="AB78" si="132">AB77+AA78</f>
        <v>146881726.94039187</v>
      </c>
      <c r="AC78" s="12">
        <f t="shared" ref="AC78" si="133">AC77+AB78</f>
        <v>150486901.93835887</v>
      </c>
      <c r="AD78" s="12">
        <f t="shared" ref="AD78" si="134">AD77+AC78</f>
        <v>153961507.98610631</v>
      </c>
      <c r="AE78" s="12">
        <f t="shared" ref="AE78" si="135">AE77+AD78</f>
        <v>157310066.17314705</v>
      </c>
      <c r="AF78" s="12">
        <f t="shared" ref="AF78" si="136">AF77+AE78</f>
        <v>160447930.64998734</v>
      </c>
      <c r="AG78" s="12">
        <f t="shared" ref="AG78" si="137">AG77+AF78</f>
        <v>163404747.04937264</v>
      </c>
      <c r="AH78" s="12">
        <f t="shared" ref="AH78" si="138">AH77+AG78</f>
        <v>166190961.45863149</v>
      </c>
      <c r="AI78" s="12">
        <f t="shared" ref="AI78" si="139">AI77+AH78</f>
        <v>168816417.24816763</v>
      </c>
      <c r="AJ78" s="12">
        <f t="shared" ref="AJ78" si="140">AJ77+AI78</f>
        <v>171290389.84693921</v>
      </c>
      <c r="AK78" s="12">
        <f t="shared" ref="AK78" si="141">AK77+AJ78</f>
        <v>173621619.51146686</v>
      </c>
      <c r="AL78" s="12">
        <f t="shared" ref="AL78" si="142">AL77+AK78</f>
        <v>175818342.20414031</v>
      </c>
      <c r="AM78" s="12">
        <f t="shared" ref="AM78" si="143">AM77+AL78</f>
        <v>177888318.68991229</v>
      </c>
      <c r="AN78" s="12">
        <f t="shared" ref="AN78" si="144">AN77+AM78</f>
        <v>179838861.9541758</v>
      </c>
      <c r="AO78" s="12">
        <f t="shared" ref="AO78" si="145">AO77+AN78</f>
        <v>181676863.03868806</v>
      </c>
      <c r="AP78" s="12">
        <f t="shared" ref="AP78" si="146">AP77+AO78</f>
        <v>183408815.38681698</v>
      </c>
      <c r="AQ78" s="12">
        <f t="shared" ref="AQ78" si="147">AQ77+AP78</f>
        <v>185040837.78411889</v>
      </c>
      <c r="AR78" s="12">
        <f t="shared" ref="AR78" si="148">AR77+AQ78</f>
        <v>186578695.97529405</v>
      </c>
      <c r="AS78" s="12">
        <f t="shared" ref="AS78" si="149">AS77+AR78</f>
        <v>188027823.03388983</v>
      </c>
      <c r="AT78" s="12">
        <f t="shared" ref="AT78" si="150">AT77+AS78</f>
        <v>189393338.55671561</v>
      </c>
      <c r="AU78" s="12">
        <f t="shared" ref="AU78" si="151">AU77+AT78</f>
        <v>190680066.75078094</v>
      </c>
      <c r="AV78" s="12">
        <f t="shared" ref="AV78" si="152">AV77+AU78</f>
        <v>191892553.47665602</v>
      </c>
      <c r="AW78" s="12">
        <f t="shared" ref="AW78" si="153">AW77+AV78</f>
        <v>193035082.30846664</v>
      </c>
      <c r="AX78" s="12">
        <f t="shared" ref="AX78" si="154">AX77+AW78</f>
        <v>193902298.92423216</v>
      </c>
    </row>
    <row r="80" spans="1:50" x14ac:dyDescent="0.25">
      <c r="A80" s="8" t="s">
        <v>40</v>
      </c>
    </row>
    <row r="81" spans="1:50" x14ac:dyDescent="0.25">
      <c r="A81" t="s">
        <v>34</v>
      </c>
      <c r="C81" s="170">
        <f>SUMIF(A$16:A$19,"YES",I$16:I$19)</f>
        <v>111949320</v>
      </c>
      <c r="D81" s="2">
        <f>C83</f>
        <v>108034845.36893165</v>
      </c>
      <c r="E81" s="2">
        <f>D83</f>
        <v>100205896.10679495</v>
      </c>
      <c r="F81" s="2">
        <f t="shared" ref="F81" si="155">E83</f>
        <v>92376946.844658256</v>
      </c>
      <c r="G81" s="2">
        <f t="shared" ref="G81:AK81" si="156">F83</f>
        <v>84547997.582521558</v>
      </c>
      <c r="H81" s="2">
        <f t="shared" si="156"/>
        <v>76719048.32038486</v>
      </c>
      <c r="I81" s="2">
        <f t="shared" si="156"/>
        <v>68890099.058248162</v>
      </c>
      <c r="J81" s="2">
        <f t="shared" si="156"/>
        <v>61061149.796111465</v>
      </c>
      <c r="K81" s="2">
        <f t="shared" si="156"/>
        <v>53232200.533974767</v>
      </c>
      <c r="L81" s="2">
        <f t="shared" si="156"/>
        <v>45403251.271838069</v>
      </c>
      <c r="M81" s="2">
        <f t="shared" si="156"/>
        <v>37574302.009701371</v>
      </c>
      <c r="N81" s="2">
        <f t="shared" si="156"/>
        <v>29745352.747564673</v>
      </c>
      <c r="O81" s="2">
        <f t="shared" si="156"/>
        <v>21916403.485427976</v>
      </c>
      <c r="P81" s="2">
        <f t="shared" si="156"/>
        <v>14087454.22329128</v>
      </c>
      <c r="Q81" s="2">
        <f t="shared" si="156"/>
        <v>6258504.9611545838</v>
      </c>
      <c r="R81" s="2">
        <f t="shared" si="156"/>
        <v>0</v>
      </c>
      <c r="S81" s="2">
        <f t="shared" si="156"/>
        <v>0</v>
      </c>
      <c r="T81" s="2">
        <f t="shared" si="156"/>
        <v>0</v>
      </c>
      <c r="U81" s="2">
        <f t="shared" si="156"/>
        <v>0</v>
      </c>
      <c r="V81" s="2">
        <f t="shared" si="156"/>
        <v>0</v>
      </c>
      <c r="W81" s="2">
        <f t="shared" si="156"/>
        <v>0</v>
      </c>
      <c r="X81" s="2">
        <f t="shared" si="156"/>
        <v>0</v>
      </c>
      <c r="Y81" s="2">
        <f t="shared" si="156"/>
        <v>0</v>
      </c>
      <c r="Z81" s="2">
        <f t="shared" si="156"/>
        <v>0</v>
      </c>
      <c r="AA81" s="2">
        <f t="shared" si="156"/>
        <v>0</v>
      </c>
      <c r="AB81" s="2">
        <f t="shared" si="156"/>
        <v>0</v>
      </c>
      <c r="AC81" s="2">
        <f t="shared" si="156"/>
        <v>0</v>
      </c>
      <c r="AD81" s="2">
        <f t="shared" si="156"/>
        <v>0</v>
      </c>
      <c r="AE81" s="2">
        <f t="shared" si="156"/>
        <v>0</v>
      </c>
      <c r="AF81" s="2">
        <f t="shared" si="156"/>
        <v>0</v>
      </c>
      <c r="AG81" s="2">
        <f t="shared" si="156"/>
        <v>0</v>
      </c>
      <c r="AH81" s="2">
        <f t="shared" si="156"/>
        <v>0</v>
      </c>
      <c r="AI81" s="2">
        <f t="shared" si="156"/>
        <v>0</v>
      </c>
      <c r="AJ81" s="2">
        <f t="shared" si="156"/>
        <v>0</v>
      </c>
      <c r="AK81" s="2">
        <f t="shared" si="156"/>
        <v>0</v>
      </c>
    </row>
    <row r="82" spans="1:50" ht="17.25" x14ac:dyDescent="0.4">
      <c r="A82" t="s">
        <v>28</v>
      </c>
      <c r="B82" s="12">
        <f>COUNTIF(C82:AK82,"&gt;0")</f>
        <v>15</v>
      </c>
      <c r="C82" s="13">
        <f>MIN(C81,ARAM!C8/2)</f>
        <v>3914474.631068348</v>
      </c>
      <c r="D82" s="13">
        <f>MIN(D81,ARAM!$C$8)</f>
        <v>7828949.2621366959</v>
      </c>
      <c r="E82" s="13">
        <f>MIN(E81,ARAM!$C$8)</f>
        <v>7828949.2621366959</v>
      </c>
      <c r="F82" s="13">
        <f>MIN(F81,ARAM!$C$8)</f>
        <v>7828949.2621366959</v>
      </c>
      <c r="G82" s="13">
        <f>MIN(G81,ARAM!$C$8)</f>
        <v>7828949.2621366959</v>
      </c>
      <c r="H82" s="13">
        <f>MIN(H81,ARAM!$C$8)</f>
        <v>7828949.2621366959</v>
      </c>
      <c r="I82" s="13">
        <f>MIN(I81,ARAM!$C$8)</f>
        <v>7828949.2621366959</v>
      </c>
      <c r="J82" s="13">
        <f>MIN(J81,ARAM!$C$8)</f>
        <v>7828949.2621366959</v>
      </c>
      <c r="K82" s="13">
        <f>MIN(K81,ARAM!$C$8)</f>
        <v>7828949.2621366959</v>
      </c>
      <c r="L82" s="13">
        <f>MIN(L81,ARAM!$C$8)</f>
        <v>7828949.2621366959</v>
      </c>
      <c r="M82" s="13">
        <f>MIN(M81,ARAM!$C$8)</f>
        <v>7828949.2621366959</v>
      </c>
      <c r="N82" s="13">
        <f>MIN(N81,ARAM!$C$8)</f>
        <v>7828949.2621366959</v>
      </c>
      <c r="O82" s="13">
        <f>MIN(O81,ARAM!$C$8)</f>
        <v>7828949.2621366959</v>
      </c>
      <c r="P82" s="13">
        <f>MIN(P81,ARAM!$C$8)</f>
        <v>7828949.2621366959</v>
      </c>
      <c r="Q82" s="13">
        <f>MIN(Q81,ARAM!$C$8)</f>
        <v>6258504.9611545838</v>
      </c>
      <c r="R82" s="13">
        <f>MIN(R81,ARAM!$C$8)</f>
        <v>0</v>
      </c>
      <c r="S82" s="13">
        <f>MIN(S81,ARAM!$C$8)</f>
        <v>0</v>
      </c>
      <c r="T82" s="13">
        <f>MIN(T81,ARAM!$C$8)</f>
        <v>0</v>
      </c>
      <c r="U82" s="13">
        <f>MIN(U81,ARAM!$C$8)</f>
        <v>0</v>
      </c>
      <c r="V82" s="13">
        <f>MIN(V81,ARAM!$C$8)</f>
        <v>0</v>
      </c>
      <c r="W82" s="13">
        <f>MIN(W81,ARAM!$C$8)</f>
        <v>0</v>
      </c>
      <c r="X82" s="13">
        <f>MIN(X81,ARAM!$C$8)</f>
        <v>0</v>
      </c>
      <c r="Y82" s="13">
        <f>MIN(Y81,ARAM!$C$8)</f>
        <v>0</v>
      </c>
      <c r="Z82" s="13">
        <f>MIN(Z81,ARAM!$C$8)</f>
        <v>0</v>
      </c>
      <c r="AA82" s="13">
        <f>MIN(AA81,ARAM!$C$8)</f>
        <v>0</v>
      </c>
      <c r="AB82" s="13">
        <f>MIN(AB81,ARAM!$C$8)</f>
        <v>0</v>
      </c>
      <c r="AC82" s="13">
        <f>MIN(AC81,ARAM!$C$8)</f>
        <v>0</v>
      </c>
      <c r="AD82" s="13">
        <f>MIN(AD81,ARAM!$C$8)</f>
        <v>0</v>
      </c>
      <c r="AE82" s="13">
        <f>MIN(AE81,ARAM!$C$8)</f>
        <v>0</v>
      </c>
      <c r="AF82" s="13">
        <f>MIN(AF81,ARAM!$C$8)</f>
        <v>0</v>
      </c>
      <c r="AG82" s="13">
        <f>MIN(AG81,ARAM!$C$8)</f>
        <v>0</v>
      </c>
      <c r="AH82" s="13">
        <f>MIN(AH81,ARAM!$C$8)</f>
        <v>0</v>
      </c>
      <c r="AI82" s="13">
        <f>MIN(AI81,ARAM!$C$8)</f>
        <v>0</v>
      </c>
      <c r="AJ82" s="13">
        <f>MIN(AJ81,ARAM!$C$8)</f>
        <v>0</v>
      </c>
      <c r="AK82" s="13">
        <f>MIN(AK81,ARAM!$C$8)</f>
        <v>0</v>
      </c>
    </row>
    <row r="83" spans="1:50" x14ac:dyDescent="0.25">
      <c r="A83" t="s">
        <v>35</v>
      </c>
      <c r="C83" s="2">
        <f>MAX(C81-C82,0)</f>
        <v>108034845.36893165</v>
      </c>
      <c r="D83" s="2">
        <f t="shared" ref="D83" si="157">MAX(D81-D82,0)</f>
        <v>100205896.10679495</v>
      </c>
      <c r="E83" s="2">
        <f t="shared" ref="E83" si="158">MAX(E81-E82,0)</f>
        <v>92376946.844658256</v>
      </c>
      <c r="F83" s="2">
        <f t="shared" ref="F83" si="159">MAX(F81-F82,0)</f>
        <v>84547997.582521558</v>
      </c>
      <c r="G83" s="2">
        <f t="shared" ref="G83" si="160">MAX(G81-G82,0)</f>
        <v>76719048.32038486</v>
      </c>
      <c r="H83" s="2">
        <f t="shared" ref="H83" si="161">MAX(H81-H82,0)</f>
        <v>68890099.058248162</v>
      </c>
      <c r="I83" s="2">
        <f t="shared" ref="I83" si="162">MAX(I81-I82,0)</f>
        <v>61061149.796111465</v>
      </c>
      <c r="J83" s="2">
        <f t="shared" ref="J83" si="163">MAX(J81-J82,0)</f>
        <v>53232200.533974767</v>
      </c>
      <c r="K83" s="2">
        <f t="shared" ref="K83" si="164">MAX(K81-K82,0)</f>
        <v>45403251.271838069</v>
      </c>
      <c r="L83" s="2">
        <f t="shared" ref="L83" si="165">MAX(L81-L82,0)</f>
        <v>37574302.009701371</v>
      </c>
      <c r="M83" s="2">
        <f t="shared" ref="M83" si="166">MAX(M81-M82,0)</f>
        <v>29745352.747564673</v>
      </c>
      <c r="N83" s="2">
        <f t="shared" ref="N83" si="167">MAX(N81-N82,0)</f>
        <v>21916403.485427976</v>
      </c>
      <c r="O83" s="2">
        <f t="shared" ref="O83" si="168">MAX(O81-O82,0)</f>
        <v>14087454.22329128</v>
      </c>
      <c r="P83" s="2">
        <f t="shared" ref="P83" si="169">MAX(P81-P82,0)</f>
        <v>6258504.9611545838</v>
      </c>
      <c r="Q83" s="2">
        <f t="shared" ref="Q83" si="170">MAX(Q81-Q82,0)</f>
        <v>0</v>
      </c>
      <c r="R83" s="2">
        <f t="shared" ref="R83" si="171">MAX(R81-R82,0)</f>
        <v>0</v>
      </c>
      <c r="S83" s="2">
        <f t="shared" ref="S83" si="172">MAX(S81-S82,0)</f>
        <v>0</v>
      </c>
      <c r="T83" s="2">
        <f t="shared" ref="T83" si="173">MAX(T81-T82,0)</f>
        <v>0</v>
      </c>
      <c r="U83" s="2">
        <f t="shared" ref="U83" si="174">MAX(U81-U82,0)</f>
        <v>0</v>
      </c>
      <c r="V83" s="2">
        <f t="shared" ref="V83" si="175">MAX(V81-V82,0)</f>
        <v>0</v>
      </c>
      <c r="W83" s="2">
        <f t="shared" ref="W83" si="176">MAX(W81-W82,0)</f>
        <v>0</v>
      </c>
      <c r="X83" s="2">
        <f t="shared" ref="X83" si="177">MAX(X81-X82,0)</f>
        <v>0</v>
      </c>
      <c r="Y83" s="2">
        <f t="shared" ref="Y83" si="178">MAX(Y81-Y82,0)</f>
        <v>0</v>
      </c>
      <c r="Z83" s="2">
        <f t="shared" ref="Z83" si="179">MAX(Z81-Z82,0)</f>
        <v>0</v>
      </c>
      <c r="AA83" s="2">
        <f t="shared" ref="AA83" si="180">MAX(AA81-AA82,0)</f>
        <v>0</v>
      </c>
      <c r="AB83" s="2">
        <f t="shared" ref="AB83" si="181">MAX(AB81-AB82,0)</f>
        <v>0</v>
      </c>
      <c r="AC83" s="2">
        <f t="shared" ref="AC83" si="182">MAX(AC81-AC82,0)</f>
        <v>0</v>
      </c>
      <c r="AD83" s="2">
        <f t="shared" ref="AD83" si="183">MAX(AD81-AD82,0)</f>
        <v>0</v>
      </c>
      <c r="AE83" s="2">
        <f t="shared" ref="AE83" si="184">MAX(AE81-AE82,0)</f>
        <v>0</v>
      </c>
      <c r="AF83" s="2">
        <f t="shared" ref="AF83" si="185">MAX(AF81-AF82,0)</f>
        <v>0</v>
      </c>
      <c r="AG83" s="2">
        <f t="shared" ref="AG83" si="186">MAX(AG81-AG82,0)</f>
        <v>0</v>
      </c>
      <c r="AH83" s="2">
        <f t="shared" ref="AH83" si="187">MAX(AH81-AH82,0)</f>
        <v>0</v>
      </c>
      <c r="AI83" s="2">
        <f t="shared" ref="AI83" si="188">MAX(AI81-AI82,0)</f>
        <v>0</v>
      </c>
      <c r="AJ83" s="2">
        <f t="shared" ref="AJ83" si="189">MAX(AJ81-AJ82,0)</f>
        <v>0</v>
      </c>
      <c r="AK83" s="2">
        <f t="shared" ref="AK83" si="190">MAX(AK81-AK82,0)</f>
        <v>0</v>
      </c>
    </row>
    <row r="85" spans="1:50" x14ac:dyDescent="0.25">
      <c r="A85" t="s">
        <v>41</v>
      </c>
      <c r="C85" s="170">
        <f t="shared" ref="C85:T85" si="191">SUMIF($A$16:$A$19,"YES",M$16:M$19)</f>
        <v>32652029</v>
      </c>
      <c r="D85" s="17">
        <f t="shared" si="191"/>
        <v>60627194</v>
      </c>
      <c r="E85" s="17">
        <f t="shared" si="191"/>
        <v>14818730</v>
      </c>
      <c r="F85" s="17">
        <f t="shared" si="191"/>
        <v>2743297</v>
      </c>
      <c r="G85" s="17">
        <f t="shared" si="191"/>
        <v>856891</v>
      </c>
      <c r="H85" s="17">
        <f t="shared" si="191"/>
        <v>0</v>
      </c>
      <c r="I85" s="17">
        <f t="shared" si="191"/>
        <v>0</v>
      </c>
      <c r="J85" s="17">
        <f t="shared" si="191"/>
        <v>0</v>
      </c>
      <c r="K85" s="17">
        <f t="shared" si="191"/>
        <v>0</v>
      </c>
      <c r="L85" s="17">
        <f t="shared" si="191"/>
        <v>0</v>
      </c>
      <c r="M85" s="17">
        <f t="shared" si="191"/>
        <v>0</v>
      </c>
      <c r="N85" s="17">
        <f t="shared" si="191"/>
        <v>0</v>
      </c>
      <c r="O85" s="17">
        <f t="shared" si="191"/>
        <v>0</v>
      </c>
      <c r="P85" s="17">
        <f t="shared" si="191"/>
        <v>0</v>
      </c>
      <c r="Q85" s="17">
        <f t="shared" si="191"/>
        <v>0</v>
      </c>
      <c r="R85" s="17">
        <f t="shared" si="191"/>
        <v>0</v>
      </c>
      <c r="S85" s="17">
        <f t="shared" si="191"/>
        <v>0</v>
      </c>
      <c r="T85" s="17">
        <f t="shared" si="191"/>
        <v>0</v>
      </c>
      <c r="U85" s="17">
        <f>SUMIF($A$16:$A$19,"YES",AG$16:AG$19)</f>
        <v>0</v>
      </c>
      <c r="V85" s="17">
        <f>SUMIF($A$16:$A$19,"YES",AH$16:AH$19)</f>
        <v>0</v>
      </c>
      <c r="W85" s="17">
        <f>SUMIF($A$16:$A$19,"YES",AI$16:AI$19)</f>
        <v>0</v>
      </c>
      <c r="X85" s="17">
        <f>SUMIF($A$16:$A$19,"YES",AJ$16:AJ$19)</f>
        <v>0</v>
      </c>
      <c r="Y85" s="17">
        <f>SUMIF($A$16:$A$19,"YES",AL$16:AL$19)</f>
        <v>0</v>
      </c>
      <c r="Z85" s="17">
        <f t="shared" ref="Z85:AK85" si="192">SUMIF($A$16:$A$19,"YES",AN$16:AN$19)</f>
        <v>0</v>
      </c>
      <c r="AA85" s="17">
        <f t="shared" si="192"/>
        <v>0</v>
      </c>
      <c r="AB85" s="17">
        <f t="shared" si="192"/>
        <v>0</v>
      </c>
      <c r="AC85" s="17">
        <f t="shared" si="192"/>
        <v>0</v>
      </c>
      <c r="AD85" s="17">
        <f t="shared" si="192"/>
        <v>0</v>
      </c>
      <c r="AE85" s="17">
        <f t="shared" si="192"/>
        <v>0</v>
      </c>
      <c r="AF85" s="17">
        <f t="shared" si="192"/>
        <v>0</v>
      </c>
      <c r="AG85" s="17">
        <f t="shared" si="192"/>
        <v>0</v>
      </c>
      <c r="AH85" s="17">
        <f t="shared" si="192"/>
        <v>0</v>
      </c>
      <c r="AI85" s="17">
        <f t="shared" si="192"/>
        <v>0</v>
      </c>
      <c r="AJ85" s="17">
        <f t="shared" si="192"/>
        <v>0</v>
      </c>
      <c r="AK85" s="17">
        <f t="shared" si="192"/>
        <v>0</v>
      </c>
    </row>
    <row r="87" spans="1:50" ht="15.75" thickBot="1" x14ac:dyDescent="0.3">
      <c r="A87" s="3" t="s">
        <v>42</v>
      </c>
      <c r="B87" s="3"/>
      <c r="C87" s="6">
        <f t="shared" ref="C87:D87" si="193">C82-C85</f>
        <v>-28737554.368931651</v>
      </c>
      <c r="D87" s="6">
        <f t="shared" si="193"/>
        <v>-52798244.737863302</v>
      </c>
      <c r="E87" s="6">
        <f t="shared" ref="E87:AX87" si="194">E82-E85</f>
        <v>-6989780.7378633041</v>
      </c>
      <c r="F87" s="6">
        <f t="shared" si="194"/>
        <v>5085652.2621366959</v>
      </c>
      <c r="G87" s="6">
        <f t="shared" si="194"/>
        <v>6972058.2621366959</v>
      </c>
      <c r="H87" s="6">
        <f t="shared" si="194"/>
        <v>7828949.2621366959</v>
      </c>
      <c r="I87" s="6">
        <f t="shared" si="194"/>
        <v>7828949.2621366959</v>
      </c>
      <c r="J87" s="6">
        <f t="shared" si="194"/>
        <v>7828949.2621366959</v>
      </c>
      <c r="K87" s="6">
        <f t="shared" si="194"/>
        <v>7828949.2621366959</v>
      </c>
      <c r="L87" s="6">
        <f t="shared" si="194"/>
        <v>7828949.2621366959</v>
      </c>
      <c r="M87" s="6">
        <f t="shared" si="194"/>
        <v>7828949.2621366959</v>
      </c>
      <c r="N87" s="6">
        <f t="shared" si="194"/>
        <v>7828949.2621366959</v>
      </c>
      <c r="O87" s="6">
        <f t="shared" si="194"/>
        <v>7828949.2621366959</v>
      </c>
      <c r="P87" s="6">
        <f t="shared" si="194"/>
        <v>7828949.2621366959</v>
      </c>
      <c r="Q87" s="6">
        <f t="shared" si="194"/>
        <v>6258504.9611545838</v>
      </c>
      <c r="R87" s="6">
        <f t="shared" si="194"/>
        <v>0</v>
      </c>
      <c r="S87" s="6">
        <f t="shared" si="194"/>
        <v>0</v>
      </c>
      <c r="T87" s="6">
        <f t="shared" si="194"/>
        <v>0</v>
      </c>
      <c r="U87" s="6">
        <f t="shared" si="194"/>
        <v>0</v>
      </c>
      <c r="V87" s="6">
        <f t="shared" si="194"/>
        <v>0</v>
      </c>
      <c r="W87" s="6">
        <f t="shared" si="194"/>
        <v>0</v>
      </c>
      <c r="X87" s="6">
        <f t="shared" si="194"/>
        <v>0</v>
      </c>
      <c r="Y87" s="6">
        <f t="shared" si="194"/>
        <v>0</v>
      </c>
      <c r="Z87" s="6">
        <f t="shared" si="194"/>
        <v>0</v>
      </c>
      <c r="AA87" s="6">
        <f t="shared" si="194"/>
        <v>0</v>
      </c>
      <c r="AB87" s="6">
        <f t="shared" si="194"/>
        <v>0</v>
      </c>
      <c r="AC87" s="6">
        <f t="shared" si="194"/>
        <v>0</v>
      </c>
      <c r="AD87" s="6">
        <f t="shared" si="194"/>
        <v>0</v>
      </c>
      <c r="AE87" s="6">
        <f t="shared" si="194"/>
        <v>0</v>
      </c>
      <c r="AF87" s="6">
        <f t="shared" si="194"/>
        <v>0</v>
      </c>
      <c r="AG87" s="6">
        <f t="shared" si="194"/>
        <v>0</v>
      </c>
      <c r="AH87" s="6">
        <f t="shared" si="194"/>
        <v>0</v>
      </c>
      <c r="AI87" s="6">
        <f t="shared" si="194"/>
        <v>0</v>
      </c>
      <c r="AJ87" s="6">
        <f t="shared" si="194"/>
        <v>0</v>
      </c>
      <c r="AK87" s="6">
        <f t="shared" si="194"/>
        <v>0</v>
      </c>
      <c r="AL87" s="6">
        <f t="shared" si="194"/>
        <v>0</v>
      </c>
      <c r="AM87" s="6">
        <f t="shared" si="194"/>
        <v>0</v>
      </c>
      <c r="AN87" s="6">
        <f t="shared" si="194"/>
        <v>0</v>
      </c>
      <c r="AO87" s="6">
        <f t="shared" si="194"/>
        <v>0</v>
      </c>
      <c r="AP87" s="6">
        <f t="shared" si="194"/>
        <v>0</v>
      </c>
      <c r="AQ87" s="6">
        <f t="shared" si="194"/>
        <v>0</v>
      </c>
      <c r="AR87" s="6">
        <f t="shared" si="194"/>
        <v>0</v>
      </c>
      <c r="AS87" s="6">
        <f t="shared" si="194"/>
        <v>0</v>
      </c>
      <c r="AT87" s="6">
        <f t="shared" si="194"/>
        <v>0</v>
      </c>
      <c r="AU87" s="6">
        <f t="shared" si="194"/>
        <v>0</v>
      </c>
      <c r="AV87" s="6">
        <f t="shared" si="194"/>
        <v>0</v>
      </c>
      <c r="AW87" s="6">
        <f t="shared" si="194"/>
        <v>0</v>
      </c>
      <c r="AX87" s="6">
        <f t="shared" si="194"/>
        <v>0</v>
      </c>
    </row>
    <row r="88" spans="1:50" ht="15.75" thickTop="1" x14ac:dyDescent="0.25"/>
    <row r="89" spans="1:50" x14ac:dyDescent="0.25">
      <c r="A89" s="3" t="s">
        <v>54</v>
      </c>
      <c r="C89" s="18">
        <f>C71+C87</f>
        <v>-60715521.867088616</v>
      </c>
      <c r="D89" s="18">
        <f t="shared" ref="D89" si="195">D71+D87</f>
        <v>-102575438.73417723</v>
      </c>
      <c r="E89" s="18">
        <f t="shared" ref="E89:AX89" si="196">E71+E87</f>
        <v>-32568831.734177232</v>
      </c>
      <c r="F89" s="18">
        <f t="shared" si="196"/>
        <v>-11325504.73417723</v>
      </c>
      <c r="G89" s="18">
        <f t="shared" si="196"/>
        <v>11007044.26582277</v>
      </c>
      <c r="H89" s="18">
        <f t="shared" si="196"/>
        <v>21502300.265822768</v>
      </c>
      <c r="I89" s="18">
        <f t="shared" si="196"/>
        <v>21941393.265822768</v>
      </c>
      <c r="J89" s="18">
        <f t="shared" si="196"/>
        <v>22138028.265822768</v>
      </c>
      <c r="K89" s="18">
        <f t="shared" si="196"/>
        <v>21919442.265822768</v>
      </c>
      <c r="L89" s="18">
        <f t="shared" si="196"/>
        <v>24754025.265822768</v>
      </c>
      <c r="M89" s="18">
        <f t="shared" si="196"/>
        <v>29579436.265822768</v>
      </c>
      <c r="N89" s="18">
        <f t="shared" si="196"/>
        <v>31197009.265822768</v>
      </c>
      <c r="O89" s="18">
        <f t="shared" si="196"/>
        <v>12340546.719746882</v>
      </c>
      <c r="P89" s="18">
        <f t="shared" si="196"/>
        <v>7141529.2621366959</v>
      </c>
      <c r="Q89" s="18">
        <f t="shared" si="196"/>
        <v>5571084.9611545838</v>
      </c>
      <c r="R89" s="18">
        <f t="shared" si="196"/>
        <v>-687420</v>
      </c>
      <c r="S89" s="18">
        <f t="shared" si="196"/>
        <v>-687420</v>
      </c>
      <c r="T89" s="18">
        <f t="shared" si="196"/>
        <v>-308424</v>
      </c>
      <c r="U89" s="18">
        <f t="shared" si="196"/>
        <v>0</v>
      </c>
      <c r="V89" s="18">
        <f t="shared" si="196"/>
        <v>0</v>
      </c>
      <c r="W89" s="18">
        <f t="shared" si="196"/>
        <v>0</v>
      </c>
      <c r="X89" s="18">
        <f t="shared" si="196"/>
        <v>0</v>
      </c>
      <c r="Y89" s="18">
        <f t="shared" si="196"/>
        <v>0</v>
      </c>
      <c r="Z89" s="18">
        <f t="shared" si="196"/>
        <v>0</v>
      </c>
      <c r="AA89" s="18">
        <f t="shared" si="196"/>
        <v>0</v>
      </c>
      <c r="AB89" s="18">
        <f t="shared" si="196"/>
        <v>0</v>
      </c>
      <c r="AC89" s="18">
        <f t="shared" si="196"/>
        <v>0</v>
      </c>
      <c r="AD89" s="18">
        <f t="shared" si="196"/>
        <v>0</v>
      </c>
      <c r="AE89" s="18">
        <f t="shared" si="196"/>
        <v>0</v>
      </c>
      <c r="AF89" s="18">
        <f t="shared" si="196"/>
        <v>0</v>
      </c>
      <c r="AG89" s="18">
        <f t="shared" si="196"/>
        <v>0</v>
      </c>
      <c r="AH89" s="18">
        <f t="shared" si="196"/>
        <v>0</v>
      </c>
      <c r="AI89" s="18">
        <f t="shared" si="196"/>
        <v>0</v>
      </c>
      <c r="AJ89" s="18">
        <f t="shared" si="196"/>
        <v>0</v>
      </c>
      <c r="AK89" s="18">
        <f t="shared" si="196"/>
        <v>0</v>
      </c>
      <c r="AL89" s="18">
        <f t="shared" si="196"/>
        <v>0</v>
      </c>
      <c r="AM89" s="18">
        <f t="shared" si="196"/>
        <v>0</v>
      </c>
      <c r="AN89" s="18">
        <f t="shared" si="196"/>
        <v>0</v>
      </c>
      <c r="AO89" s="18">
        <f t="shared" si="196"/>
        <v>0</v>
      </c>
      <c r="AP89" s="18">
        <f t="shared" si="196"/>
        <v>0</v>
      </c>
      <c r="AQ89" s="18">
        <f t="shared" si="196"/>
        <v>0</v>
      </c>
      <c r="AR89" s="18">
        <f t="shared" si="196"/>
        <v>0</v>
      </c>
      <c r="AS89" s="18">
        <f t="shared" si="196"/>
        <v>0</v>
      </c>
      <c r="AT89" s="18">
        <f t="shared" si="196"/>
        <v>0</v>
      </c>
      <c r="AU89" s="18">
        <f t="shared" si="196"/>
        <v>0</v>
      </c>
      <c r="AV89" s="18">
        <f t="shared" si="196"/>
        <v>0</v>
      </c>
      <c r="AW89" s="18">
        <f t="shared" si="196"/>
        <v>0</v>
      </c>
      <c r="AX89" s="18">
        <f t="shared" si="196"/>
        <v>0</v>
      </c>
    </row>
  </sheetData>
  <conditionalFormatting sqref="C89">
    <cfRule type="cellIs" dxfId="11" priority="8" operator="greaterThan">
      <formula>0</formula>
    </cfRule>
  </conditionalFormatting>
  <conditionalFormatting sqref="D89:AX89">
    <cfRule type="cellIs" dxfId="10" priority="7" operator="greaterThan">
      <formula>0</formula>
    </cfRule>
  </conditionalFormatting>
  <conditionalFormatting sqref="A5:A19">
    <cfRule type="cellIs" dxfId="9" priority="1" operator="equal">
      <formula>"Yes"</formula>
    </cfRule>
    <cfRule type="cellIs" dxfId="8" priority="2" operator="equal">
      <formula>"No"</formula>
    </cfRule>
  </conditionalFormatting>
  <dataValidations count="1">
    <dataValidation type="list" allowBlank="1" showInputMessage="1" showErrorMessage="1" sqref="A5:A9 A16:A19 A11:A14">
      <formula1>$L$25:$L$26</formula1>
    </dataValidation>
  </dataValidations>
  <pageMargins left="0.7" right="0.7" top="0.75" bottom="0.75" header="0.3" footer="0.3"/>
  <pageSetup orientation="portrait" horizontalDpi="90" verticalDpi="9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A89"/>
  <sheetViews>
    <sheetView workbookViewId="0"/>
  </sheetViews>
  <sheetFormatPr defaultRowHeight="15" x14ac:dyDescent="0.25"/>
  <cols>
    <col min="1" max="1" width="16.7109375" customWidth="1"/>
    <col min="2" max="2" width="15.5703125" customWidth="1"/>
    <col min="3" max="3" width="15.140625" customWidth="1"/>
    <col min="4" max="4" width="15.7109375" bestFit="1" customWidth="1"/>
    <col min="5" max="5" width="15.140625" bestFit="1" customWidth="1"/>
    <col min="6" max="6" width="16.140625" bestFit="1" customWidth="1"/>
    <col min="7" max="7" width="16.140625" customWidth="1"/>
    <col min="8" max="9" width="15.140625" bestFit="1" customWidth="1"/>
    <col min="10" max="10" width="16.140625" bestFit="1" customWidth="1"/>
    <col min="11" max="11" width="15.140625" bestFit="1" customWidth="1"/>
    <col min="12" max="15" width="15.140625" customWidth="1"/>
    <col min="16" max="16" width="15.140625" bestFit="1" customWidth="1"/>
    <col min="17" max="17" width="14.5703125" customWidth="1"/>
    <col min="18" max="18" width="15.140625" customWidth="1"/>
    <col min="19" max="19" width="15.140625" bestFit="1" customWidth="1"/>
    <col min="20" max="51" width="13.85546875" bestFit="1" customWidth="1"/>
    <col min="52" max="54" width="14.5703125" bestFit="1" customWidth="1"/>
  </cols>
  <sheetData>
    <row r="2" spans="1:30" x14ac:dyDescent="0.25">
      <c r="H2" s="4" t="s">
        <v>51</v>
      </c>
      <c r="K2" s="4" t="s">
        <v>51</v>
      </c>
      <c r="M2" s="35" t="s">
        <v>43</v>
      </c>
    </row>
    <row r="3" spans="1:30" x14ac:dyDescent="0.25">
      <c r="A3" s="171" t="s">
        <v>79</v>
      </c>
      <c r="B3" s="4"/>
      <c r="C3" s="4"/>
      <c r="D3" s="4"/>
      <c r="E3" s="4" t="s">
        <v>73</v>
      </c>
      <c r="F3" s="4" t="s">
        <v>21</v>
      </c>
      <c r="G3" s="4" t="s">
        <v>49</v>
      </c>
      <c r="H3" s="4" t="s">
        <v>52</v>
      </c>
      <c r="I3" s="14">
        <v>44012</v>
      </c>
      <c r="J3" s="4" t="s">
        <v>49</v>
      </c>
      <c r="K3" s="4" t="s">
        <v>52</v>
      </c>
      <c r="M3" s="15" t="s">
        <v>36</v>
      </c>
    </row>
    <row r="4" spans="1:30" x14ac:dyDescent="0.25">
      <c r="A4" s="172" t="s">
        <v>59</v>
      </c>
      <c r="B4" s="26" t="s">
        <v>0</v>
      </c>
      <c r="C4" s="25"/>
      <c r="D4" s="5" t="s">
        <v>14</v>
      </c>
      <c r="E4" s="5" t="s">
        <v>74</v>
      </c>
      <c r="F4" s="5" t="s">
        <v>22</v>
      </c>
      <c r="G4" s="5" t="s">
        <v>50</v>
      </c>
      <c r="H4" s="5" t="s">
        <v>53</v>
      </c>
      <c r="I4" s="5" t="s">
        <v>20</v>
      </c>
      <c r="J4" s="5" t="s">
        <v>50</v>
      </c>
      <c r="K4" s="5" t="s">
        <v>53</v>
      </c>
      <c r="M4" s="16">
        <v>2020</v>
      </c>
      <c r="N4" s="16">
        <f t="shared" ref="N4:AD4" si="0">M4+1</f>
        <v>2021</v>
      </c>
      <c r="O4" s="16">
        <f t="shared" si="0"/>
        <v>2022</v>
      </c>
      <c r="P4" s="16">
        <f t="shared" si="0"/>
        <v>2023</v>
      </c>
      <c r="Q4" s="16">
        <f t="shared" si="0"/>
        <v>2024</v>
      </c>
      <c r="R4" s="16">
        <f t="shared" si="0"/>
        <v>2025</v>
      </c>
      <c r="S4" s="16">
        <f t="shared" si="0"/>
        <v>2026</v>
      </c>
      <c r="T4" s="16">
        <f t="shared" si="0"/>
        <v>2027</v>
      </c>
      <c r="U4" s="16">
        <f t="shared" si="0"/>
        <v>2028</v>
      </c>
      <c r="V4" s="16">
        <f t="shared" si="0"/>
        <v>2029</v>
      </c>
      <c r="W4" s="16">
        <f t="shared" si="0"/>
        <v>2030</v>
      </c>
      <c r="X4" s="16">
        <f t="shared" si="0"/>
        <v>2031</v>
      </c>
      <c r="Y4" s="16">
        <f t="shared" si="0"/>
        <v>2032</v>
      </c>
      <c r="Z4" s="16">
        <f t="shared" si="0"/>
        <v>2033</v>
      </c>
      <c r="AA4" s="16">
        <f t="shared" si="0"/>
        <v>2034</v>
      </c>
      <c r="AB4" s="16">
        <f t="shared" si="0"/>
        <v>2035</v>
      </c>
      <c r="AC4" s="16">
        <f t="shared" si="0"/>
        <v>2036</v>
      </c>
      <c r="AD4" s="16">
        <f t="shared" si="0"/>
        <v>2037</v>
      </c>
    </row>
    <row r="5" spans="1:30" x14ac:dyDescent="0.25">
      <c r="A5" s="28" t="s">
        <v>44</v>
      </c>
      <c r="B5" s="36" t="s">
        <v>1</v>
      </c>
      <c r="C5" s="19"/>
      <c r="D5" t="s">
        <v>15</v>
      </c>
      <c r="E5" s="37">
        <f>I5/F5</f>
        <v>2.8120468112243717</v>
      </c>
      <c r="F5" s="1">
        <f>ROUND('[1]Storm Summary'!G11,0)</f>
        <v>38844188</v>
      </c>
      <c r="G5" s="1"/>
      <c r="H5" s="1"/>
      <c r="I5" s="1">
        <f>ROUND('[1]Storm Summary'!F11,0)</f>
        <v>109231675</v>
      </c>
      <c r="J5" s="1"/>
      <c r="K5" s="1"/>
      <c r="L5" s="21"/>
      <c r="M5" s="1">
        <f>ROUND([1]Storm!$V$48,0)</f>
        <v>19345035</v>
      </c>
      <c r="N5" s="1">
        <f>ROUND([1]Storm!$V$60,0)</f>
        <v>38121791</v>
      </c>
      <c r="O5" s="1">
        <f>ROUND([1]Storm!$V$72,0)</f>
        <v>22428529</v>
      </c>
      <c r="P5" s="1">
        <f>ROUND([1]Storm!$V$84,0)</f>
        <v>22652745</v>
      </c>
      <c r="Q5" s="1">
        <f>ROUND([1]Storm!$V$96,0)</f>
        <v>6683575</v>
      </c>
      <c r="R5" s="1">
        <f t="shared" ref="R5:AC5" si="1">IF(($E5+2020-R$4)&gt;1,$F5,IF(($E5+2020-R$4)&gt;0,($E5+2020-R$4)*$F5,0))</f>
        <v>0</v>
      </c>
      <c r="S5" s="1">
        <f t="shared" si="1"/>
        <v>0</v>
      </c>
      <c r="T5" s="1">
        <f t="shared" si="1"/>
        <v>0</v>
      </c>
      <c r="U5" s="1">
        <f t="shared" si="1"/>
        <v>0</v>
      </c>
      <c r="V5" s="1">
        <f t="shared" si="1"/>
        <v>0</v>
      </c>
      <c r="W5" s="1">
        <f t="shared" si="1"/>
        <v>0</v>
      </c>
      <c r="X5" s="1">
        <f t="shared" si="1"/>
        <v>0</v>
      </c>
      <c r="Y5" s="1">
        <f t="shared" si="1"/>
        <v>0</v>
      </c>
      <c r="Z5" s="1">
        <f t="shared" si="1"/>
        <v>0</v>
      </c>
      <c r="AA5" s="1">
        <f t="shared" si="1"/>
        <v>0</v>
      </c>
      <c r="AB5" s="1">
        <f t="shared" si="1"/>
        <v>0</v>
      </c>
      <c r="AC5" s="1">
        <f t="shared" si="1"/>
        <v>0</v>
      </c>
    </row>
    <row r="6" spans="1:30" x14ac:dyDescent="0.25">
      <c r="A6" s="28" t="s">
        <v>44</v>
      </c>
      <c r="B6" s="36" t="s">
        <v>6</v>
      </c>
      <c r="C6" s="19"/>
      <c r="D6" t="s">
        <v>15</v>
      </c>
      <c r="E6" s="37">
        <f>I6/F6</f>
        <v>2.53434723095658</v>
      </c>
      <c r="F6" s="1">
        <f>ROUND('[2]Env Summary'!$G$9,0)</f>
        <v>1575833</v>
      </c>
      <c r="G6" s="1"/>
      <c r="H6" s="1"/>
      <c r="I6" s="1">
        <f>ROUND('[2]Env Summary'!$F$9,0)</f>
        <v>3993708</v>
      </c>
      <c r="J6" s="1"/>
      <c r="K6" s="1"/>
      <c r="L6" s="21"/>
      <c r="M6" s="1">
        <f>ROUND([2]Electric!$L$62,0)</f>
        <v>787916</v>
      </c>
      <c r="N6" s="1">
        <f>ROUND([2]Electric!$L$74,0)</f>
        <v>1575833</v>
      </c>
      <c r="O6" s="1">
        <f>ROUND([2]Electric!$L$86,0)</f>
        <v>1275181</v>
      </c>
      <c r="P6" s="1">
        <f>ROUND([2]Electric!$L$98,0)</f>
        <v>152048</v>
      </c>
      <c r="Q6" s="1">
        <f>ROUND([2]Electric!$L$110,0)</f>
        <v>152048</v>
      </c>
      <c r="R6" s="1">
        <f>ROUND([2]Electric!$L$122,0)</f>
        <v>50683</v>
      </c>
      <c r="S6" s="1">
        <f t="shared" ref="S6:AC9" si="2">IF(($E6+2020-S$4)&gt;1,$F6,IF(($E6+2020-S$4)&gt;0,($E6+2020-S$4)*$F6,0))</f>
        <v>0</v>
      </c>
      <c r="T6" s="1">
        <f t="shared" si="2"/>
        <v>0</v>
      </c>
      <c r="U6" s="1">
        <f t="shared" si="2"/>
        <v>0</v>
      </c>
      <c r="V6" s="1">
        <f t="shared" si="2"/>
        <v>0</v>
      </c>
      <c r="W6" s="1">
        <f t="shared" si="2"/>
        <v>0</v>
      </c>
      <c r="X6" s="1">
        <f t="shared" si="2"/>
        <v>0</v>
      </c>
      <c r="Y6" s="1">
        <f t="shared" si="2"/>
        <v>0</v>
      </c>
      <c r="Z6" s="1">
        <f t="shared" si="2"/>
        <v>0</v>
      </c>
      <c r="AA6" s="1">
        <f t="shared" si="2"/>
        <v>0</v>
      </c>
      <c r="AB6" s="1">
        <f t="shared" si="2"/>
        <v>0</v>
      </c>
      <c r="AC6" s="1">
        <f t="shared" si="2"/>
        <v>0</v>
      </c>
    </row>
    <row r="7" spans="1:30" x14ac:dyDescent="0.25">
      <c r="A7" s="28" t="s">
        <v>44</v>
      </c>
      <c r="B7" s="36" t="s">
        <v>8</v>
      </c>
      <c r="C7" s="19"/>
      <c r="D7" t="s">
        <v>15</v>
      </c>
      <c r="E7" s="37">
        <f>I7/F7</f>
        <v>2.842857142857143</v>
      </c>
      <c r="F7" s="17">
        <f>'[3]Summarize AMI and GTZ'!$F$13</f>
        <v>7000000</v>
      </c>
      <c r="G7" s="17"/>
      <c r="H7" s="17"/>
      <c r="I7" s="17">
        <f>'[3]Summarize AMI and GTZ'!$E$13</f>
        <v>19900000</v>
      </c>
      <c r="J7" s="1"/>
      <c r="K7" s="1"/>
      <c r="L7" s="21"/>
      <c r="M7" s="1">
        <f>ROUND('[3]GTZ CC Common'!$O$33,0)</f>
        <v>3517336</v>
      </c>
      <c r="N7" s="1">
        <f>ROUND('[3]GTZ CC Common'!$O$45,0)</f>
        <v>7034672</v>
      </c>
      <c r="O7" s="1">
        <f>ROUND('[3]GTZ CC Common'!$O$57,0)</f>
        <v>7034672</v>
      </c>
      <c r="P7" s="1">
        <f>ROUND('[3]GTZ CC Common'!$O$69,0)</f>
        <v>2344891</v>
      </c>
      <c r="Q7" s="1">
        <f t="shared" ref="Q7:R9" si="3">IF(($E7+2020-Q$4)&gt;1,$F7,IF(($E7+2020-Q$4)&gt;0,($E7+2020-Q$4)*$F7,0))</f>
        <v>0</v>
      </c>
      <c r="R7" s="1">
        <f t="shared" si="3"/>
        <v>0</v>
      </c>
      <c r="S7" s="1">
        <f t="shared" si="2"/>
        <v>0</v>
      </c>
      <c r="T7" s="1">
        <f t="shared" si="2"/>
        <v>0</v>
      </c>
      <c r="U7" s="1">
        <f t="shared" si="2"/>
        <v>0</v>
      </c>
      <c r="V7" s="1">
        <f t="shared" si="2"/>
        <v>0</v>
      </c>
      <c r="W7" s="1">
        <f t="shared" si="2"/>
        <v>0</v>
      </c>
      <c r="X7" s="1">
        <f t="shared" si="2"/>
        <v>0</v>
      </c>
      <c r="Y7" s="1">
        <f t="shared" si="2"/>
        <v>0</v>
      </c>
      <c r="Z7" s="1">
        <f t="shared" si="2"/>
        <v>0</v>
      </c>
      <c r="AA7" s="1">
        <f t="shared" si="2"/>
        <v>0</v>
      </c>
      <c r="AB7" s="1">
        <f t="shared" si="2"/>
        <v>0</v>
      </c>
      <c r="AC7" s="1">
        <f t="shared" si="2"/>
        <v>0</v>
      </c>
    </row>
    <row r="8" spans="1:30" x14ac:dyDescent="0.25">
      <c r="A8" s="28" t="s">
        <v>44</v>
      </c>
      <c r="B8" s="36" t="s">
        <v>11</v>
      </c>
      <c r="C8" s="19"/>
      <c r="D8" t="s">
        <v>15</v>
      </c>
      <c r="E8" s="37">
        <f>I8/F8</f>
        <v>2.795918367346939</v>
      </c>
      <c r="F8" s="17">
        <f>'[3]Summarize AMI and GTZ'!$F$25</f>
        <v>4900000</v>
      </c>
      <c r="G8" s="17"/>
      <c r="H8" s="17"/>
      <c r="I8" s="17">
        <f>'[3]Summarize AMI and GTZ'!$E$25</f>
        <v>13700000</v>
      </c>
      <c r="J8" s="1"/>
      <c r="K8" s="1"/>
      <c r="L8" s="21"/>
      <c r="M8" s="1">
        <f>ROUND('[3]AMI E'!$P$33,0)</f>
        <v>2434223</v>
      </c>
      <c r="N8" s="1">
        <f>ROUND('[3]AMI E'!$P$45,0)</f>
        <v>4868445</v>
      </c>
      <c r="O8" s="1">
        <f>ROUND('[3]AMI E'!$P$57,0)</f>
        <v>4868445</v>
      </c>
      <c r="P8" s="1">
        <f>ROUND('[3]AMI E'!$P$69,0)</f>
        <v>1622815</v>
      </c>
      <c r="Q8" s="1">
        <f t="shared" si="3"/>
        <v>0</v>
      </c>
      <c r="R8" s="1">
        <f t="shared" si="3"/>
        <v>0</v>
      </c>
      <c r="S8" s="1">
        <f t="shared" si="2"/>
        <v>0</v>
      </c>
      <c r="T8" s="1">
        <f t="shared" si="2"/>
        <v>0</v>
      </c>
      <c r="U8" s="1">
        <f t="shared" si="2"/>
        <v>0</v>
      </c>
      <c r="V8" s="1">
        <f t="shared" si="2"/>
        <v>0</v>
      </c>
      <c r="W8" s="1">
        <f t="shared" si="2"/>
        <v>0</v>
      </c>
      <c r="X8" s="1">
        <f t="shared" si="2"/>
        <v>0</v>
      </c>
      <c r="Y8" s="1">
        <f t="shared" si="2"/>
        <v>0</v>
      </c>
      <c r="Z8" s="1">
        <f t="shared" si="2"/>
        <v>0</v>
      </c>
      <c r="AA8" s="1">
        <f t="shared" si="2"/>
        <v>0</v>
      </c>
      <c r="AB8" s="1">
        <f t="shared" si="2"/>
        <v>0</v>
      </c>
      <c r="AC8" s="1">
        <f t="shared" si="2"/>
        <v>0</v>
      </c>
    </row>
    <row r="9" spans="1:30" x14ac:dyDescent="0.25">
      <c r="A9" s="28" t="s">
        <v>45</v>
      </c>
      <c r="B9" s="36" t="s">
        <v>13</v>
      </c>
      <c r="C9" s="19"/>
      <c r="D9" t="s">
        <v>15</v>
      </c>
      <c r="E9" s="37">
        <f>I9/F9</f>
        <v>0.85461816699929305</v>
      </c>
      <c r="F9" s="17">
        <f>ROUND([4]Sheet1!$N$18,0)</f>
        <v>20602698</v>
      </c>
      <c r="G9" s="17">
        <f>SUM(F5:F9)</f>
        <v>72922719</v>
      </c>
      <c r="H9" s="17">
        <f>SUMIF($A$5:$A$9,"YES",F5:F9)</f>
        <v>52320021</v>
      </c>
      <c r="I9" s="17">
        <f>ROUND([4]Sheet1!$N$21,0)</f>
        <v>17607440</v>
      </c>
      <c r="J9" s="1">
        <f>SUM(I5:I9)</f>
        <v>164432823</v>
      </c>
      <c r="K9" s="17">
        <f>SUMIF($A$5:$A$9,"YES",I5:I9)</f>
        <v>146825383</v>
      </c>
      <c r="L9" s="21"/>
      <c r="M9" s="1">
        <f>ROUND([4]Sheet2!$J$26*0.95,0)</f>
        <v>9984320</v>
      </c>
      <c r="N9" s="1">
        <f>I9-M9</f>
        <v>7623120</v>
      </c>
      <c r="O9" s="1">
        <f>IF(($E9+2020-O$4)&gt;1,$F9,IF(($E9+2020-O$4)&gt;0,($E9+2020-O$4)*$F9,0))</f>
        <v>0</v>
      </c>
      <c r="P9" s="1">
        <f>IF(($E9+2020-P$4)&gt;1,$F9,IF(($E9+2020-P$4)&gt;0,($E9+2020-P$4)*$F9,0))</f>
        <v>0</v>
      </c>
      <c r="Q9" s="1">
        <f t="shared" si="3"/>
        <v>0</v>
      </c>
      <c r="R9" s="1">
        <f t="shared" si="3"/>
        <v>0</v>
      </c>
      <c r="S9" s="1">
        <f t="shared" si="2"/>
        <v>0</v>
      </c>
      <c r="T9" s="1">
        <f t="shared" si="2"/>
        <v>0</v>
      </c>
      <c r="U9" s="1">
        <f t="shared" si="2"/>
        <v>0</v>
      </c>
      <c r="V9" s="1">
        <f t="shared" si="2"/>
        <v>0</v>
      </c>
      <c r="W9" s="1">
        <f t="shared" si="2"/>
        <v>0</v>
      </c>
      <c r="X9" s="1">
        <f t="shared" si="2"/>
        <v>0</v>
      </c>
      <c r="Y9" s="1">
        <f t="shared" si="2"/>
        <v>0</v>
      </c>
      <c r="Z9" s="1">
        <f t="shared" si="2"/>
        <v>0</v>
      </c>
      <c r="AA9" s="1">
        <f t="shared" si="2"/>
        <v>0</v>
      </c>
      <c r="AB9" s="1">
        <f t="shared" si="2"/>
        <v>0</v>
      </c>
      <c r="AC9" s="1">
        <f t="shared" si="2"/>
        <v>0</v>
      </c>
    </row>
    <row r="10" spans="1:30" x14ac:dyDescent="0.25">
      <c r="A10" s="31"/>
      <c r="B10" s="36"/>
      <c r="C10" s="19"/>
      <c r="E10" s="38"/>
      <c r="F10" s="17"/>
      <c r="G10" s="17"/>
      <c r="H10" s="17"/>
      <c r="I10" s="19"/>
      <c r="J10" s="1"/>
      <c r="K10" s="17"/>
      <c r="L10" s="21"/>
      <c r="M10" s="1"/>
    </row>
    <row r="11" spans="1:30" x14ac:dyDescent="0.25">
      <c r="A11" s="28" t="s">
        <v>44</v>
      </c>
      <c r="B11" s="36" t="s">
        <v>2</v>
      </c>
      <c r="C11" s="19"/>
      <c r="D11" t="s">
        <v>16</v>
      </c>
      <c r="E11" s="37">
        <f>I11/F11</f>
        <v>3.4282925209495678</v>
      </c>
      <c r="F11" s="17">
        <f>ROUND('[5]Major Maintenance (R) '!$J$51,0)</f>
        <v>7631303</v>
      </c>
      <c r="G11" s="17"/>
      <c r="H11" s="17"/>
      <c r="I11" s="17">
        <f>ROUND('[5]MM Balances (R)'!$AJ$29,0)</f>
        <v>26162339</v>
      </c>
      <c r="J11" s="1"/>
      <c r="K11" s="17"/>
      <c r="L11" s="21"/>
      <c r="M11" s="1">
        <f>ROUND('[5]MM Balances (R)'!$AP$31,0)</f>
        <v>3465061</v>
      </c>
      <c r="N11" s="1">
        <f>ROUND('[5]MM Balances (R)'!$BB$31,0)</f>
        <v>5440642</v>
      </c>
      <c r="O11" s="1">
        <f>ROUND('[5]MM Balances (R)'!$BN$31,0)</f>
        <v>4410185</v>
      </c>
      <c r="P11" s="1">
        <f>ROUND('[5]MM Balances (R)'!$BZ$31,0)</f>
        <v>3800077</v>
      </c>
      <c r="Q11" s="1">
        <f>ROUND('[5]MM Balances (R)'!$CL$31,0)</f>
        <v>2801046</v>
      </c>
      <c r="R11" s="1">
        <f>ROUND('[5]MM Balances (R)'!$CX$31,0)</f>
        <v>1963456</v>
      </c>
      <c r="S11" s="1">
        <f>ROUND('[5]MM Balances (R)'!$DJ$31,0)</f>
        <v>1588503</v>
      </c>
      <c r="T11" s="1">
        <f>ROUND('[5]MM Balances (R)'!$DV$31,0)</f>
        <v>1043862</v>
      </c>
      <c r="U11" s="1">
        <f>ROUND('[5]MM Balances (R)'!$EH$31,0)</f>
        <v>669756</v>
      </c>
      <c r="V11" s="1">
        <f>ROUND('[5]MM Balances (R)'!$ET$31,0)</f>
        <v>512298</v>
      </c>
      <c r="W11" s="1">
        <f>ROUND('[5]MM Balances (R)'!$FF$31,0)</f>
        <v>436228</v>
      </c>
      <c r="X11" s="1">
        <f t="shared" ref="X11:AC11" si="4">IF(($E11+2020-X$4)&gt;1,$F11,IF(($E11+2020-X$4)&gt;0,($E11+2020-X$4)*$F11,0))</f>
        <v>0</v>
      </c>
      <c r="Y11" s="1">
        <f t="shared" si="4"/>
        <v>0</v>
      </c>
      <c r="Z11" s="1">
        <f t="shared" si="4"/>
        <v>0</v>
      </c>
      <c r="AA11" s="1">
        <f t="shared" si="4"/>
        <v>0</v>
      </c>
      <c r="AB11" s="1">
        <f t="shared" si="4"/>
        <v>0</v>
      </c>
      <c r="AC11" s="1">
        <f t="shared" si="4"/>
        <v>0</v>
      </c>
    </row>
    <row r="12" spans="1:30" x14ac:dyDescent="0.25">
      <c r="A12" s="28" t="s">
        <v>44</v>
      </c>
      <c r="B12" s="36" t="s">
        <v>3</v>
      </c>
      <c r="C12" s="19"/>
      <c r="D12" t="s">
        <v>16</v>
      </c>
      <c r="E12" s="37">
        <f>I12/F12</f>
        <v>11.333332674949697</v>
      </c>
      <c r="F12" s="17">
        <f>ROUND(SUM([6]Chelan!$H$181:$H$192),0)</f>
        <v>7088066</v>
      </c>
      <c r="G12" s="17"/>
      <c r="H12" s="17"/>
      <c r="I12" s="17">
        <f>ROUND([6]Chelan!$L$182,0)</f>
        <v>80331410</v>
      </c>
      <c r="J12" s="1"/>
      <c r="K12" s="17"/>
      <c r="L12" s="21"/>
      <c r="M12" s="1">
        <f>ROUND(SUM([6]Chelan!$H$183:$H$188),0)</f>
        <v>3544033</v>
      </c>
      <c r="N12" s="1">
        <f>ROUND(SUM([6]Chelan!$H$189:$H$200),0)</f>
        <v>7088066</v>
      </c>
      <c r="O12" s="1">
        <f>ROUND(SUM([6]Chelan!$H$201:$H$212),0)</f>
        <v>7088066</v>
      </c>
      <c r="P12" s="1">
        <f>ROUND(SUM([6]Chelan!$H$213:$H$224),0)</f>
        <v>7088066</v>
      </c>
      <c r="Q12" s="1">
        <f>ROUND(SUM([6]Chelan!$H$225:$H$236),0)</f>
        <v>7088066</v>
      </c>
      <c r="R12" s="1">
        <f>ROUND(SUM([6]Chelan!$H$237:$H$248),0)</f>
        <v>7088066</v>
      </c>
      <c r="S12" s="1">
        <f>ROUND(SUM([6]Chelan!$H$249:$H$260),0)</f>
        <v>7088066</v>
      </c>
      <c r="T12" s="1">
        <f>ROUND(SUM([6]Chelan!$H$261:$H$272),0)</f>
        <v>7088066</v>
      </c>
      <c r="U12" s="1">
        <f>ROUND(SUM([6]Chelan!$H$273:$H$284),0)</f>
        <v>7088066</v>
      </c>
      <c r="V12" s="1">
        <f>ROUND(SUM([6]Chelan!$H$285:$H$296),0)</f>
        <v>7088066</v>
      </c>
      <c r="W12" s="1">
        <f>ROUND(SUM([6]Chelan!$H$297:$H$308),0)</f>
        <v>7088066</v>
      </c>
      <c r="X12" s="1">
        <f>ROUND(SUM([6]Chelan!$H$309:$H$320),0)</f>
        <v>5906721</v>
      </c>
      <c r="Y12" s="1">
        <f>IF(($E12+2020-Y$4)&gt;1,$F12,IF(($E12+2020-Y$4)&gt;0,($E12+2020-Y$4)*$F12,0))</f>
        <v>0</v>
      </c>
      <c r="Z12" s="1">
        <f>IF(($E12+2020-Z$4)&gt;1,$F12,IF(($E12+2020-Z$4)&gt;0,($E12+2020-Z$4)*$F12,0))</f>
        <v>0</v>
      </c>
      <c r="AA12" s="1">
        <f>IF(($E12+2020-AA$4)&gt;1,$F12,IF(($E12+2020-AA$4)&gt;0,($E12+2020-AA$4)*$F12,0))</f>
        <v>0</v>
      </c>
      <c r="AB12" s="1">
        <f>IF(($E12+2020-AB$4)&gt;1,$F12,IF(($E12+2020-AB$4)&gt;0,($E12+2020-AB$4)*$F12,0))</f>
        <v>0</v>
      </c>
      <c r="AC12" s="1">
        <f>IF(($E12+2020-AC$4)&gt;1,$F12,IF(($E12+2020-AC$4)&gt;0,($E12+2020-AC$4)*$F12,0))</f>
        <v>0</v>
      </c>
    </row>
    <row r="13" spans="1:30" x14ac:dyDescent="0.25">
      <c r="A13" s="28" t="s">
        <v>44</v>
      </c>
      <c r="B13" s="36" t="s">
        <v>4</v>
      </c>
      <c r="C13" s="19"/>
      <c r="D13" t="s">
        <v>16</v>
      </c>
      <c r="E13" s="37">
        <f>I13/F13</f>
        <v>13.604166666666666</v>
      </c>
      <c r="F13" s="17">
        <f>[6]LSR!$F$11</f>
        <v>4800000</v>
      </c>
      <c r="G13" s="17"/>
      <c r="H13" s="17"/>
      <c r="I13" s="17">
        <f>[6]LSR!$E$11</f>
        <v>65300000</v>
      </c>
      <c r="J13" s="1"/>
      <c r="K13" s="17"/>
      <c r="L13" s="21"/>
      <c r="M13" s="1">
        <f>ROUND('[6]LSR BPA LGIA'!$T$158,0)</f>
        <v>2438618</v>
      </c>
      <c r="N13" s="1">
        <f>ROUND('[6]LSR BPA LGIA'!$T$170,0)</f>
        <v>5101774</v>
      </c>
      <c r="O13" s="1">
        <f>ROUND('[6]LSR BPA LGIA'!$T$182,0)</f>
        <v>5551122</v>
      </c>
      <c r="P13" s="1">
        <f>ROUND('[6]LSR BPA LGIA'!$T$194,0)</f>
        <v>5827664</v>
      </c>
      <c r="Q13" s="1">
        <f>ROUND('[6]LSR BPA LGIA'!$T$206,0)</f>
        <v>6317428</v>
      </c>
      <c r="R13" s="1">
        <f>ROUND('[6]LSR BPA LGIA'!$T$218,0)</f>
        <v>6631622</v>
      </c>
      <c r="S13" s="1">
        <f>ROUND('[6]LSR BPA LGIA'!$T$230,0)</f>
        <v>7173188</v>
      </c>
      <c r="T13" s="1">
        <f>ROUND('[6]LSR BPA LGIA'!$T$242,0)</f>
        <v>7521194</v>
      </c>
      <c r="U13" s="1">
        <f>ROUND('[6]LSR BPA LGIA'!$T$254,0)</f>
        <v>8113886</v>
      </c>
      <c r="V13" s="1">
        <f>ROUND('[6]LSR BPA LGIA'!$T$266,0)</f>
        <v>5436761</v>
      </c>
      <c r="W13" s="1">
        <f>ROUND('[6]LSR BPA LGIA'!$T$278,0)</f>
        <v>687420</v>
      </c>
      <c r="X13" s="1">
        <f>ROUND('[6]LSR BPA LGIA'!$T$290,0)</f>
        <v>687420</v>
      </c>
      <c r="Y13" s="1">
        <f>ROUND('[6]LSR BPA LGIA'!$T$302,0)</f>
        <v>687420</v>
      </c>
      <c r="Z13" s="1">
        <f>ROUND('[6]LSR BPA LGIA'!$T$314,0)</f>
        <v>687420</v>
      </c>
      <c r="AA13" s="1">
        <f>ROUND('[6]LSR BPA LGIA'!$T$326,0)</f>
        <v>687420</v>
      </c>
      <c r="AB13" s="1">
        <f>ROUND('[6]LSR BPA LGIA'!$T$338,0)</f>
        <v>687420</v>
      </c>
      <c r="AC13" s="1">
        <f>ROUND('[6]LSR BPA LGIA'!$T$350,0)</f>
        <v>687420</v>
      </c>
      <c r="AD13" s="1">
        <f>ROUND('[6]LSR BPA LGIA'!$T$362,0)</f>
        <v>308424</v>
      </c>
    </row>
    <row r="14" spans="1:30" x14ac:dyDescent="0.25">
      <c r="A14" s="28" t="s">
        <v>44</v>
      </c>
      <c r="B14" s="36" t="s">
        <v>5</v>
      </c>
      <c r="C14" s="19"/>
      <c r="D14" t="s">
        <v>16</v>
      </c>
      <c r="E14" s="37">
        <f>I14/F14</f>
        <v>4.6923788548698599</v>
      </c>
      <c r="F14" s="17">
        <f>ROUND(SUM('[6]Mint Farm'!$G$150:$G$161),0)</f>
        <v>2885052</v>
      </c>
      <c r="G14" s="17">
        <f>SUM(F11:F14)</f>
        <v>22404421</v>
      </c>
      <c r="H14" s="17">
        <f>SUMIF($A$11:$A$14,"YES",F11:F14)</f>
        <v>22404421</v>
      </c>
      <c r="I14" s="17">
        <f>ROUND(SUM('[6]Mint Farm'!$E$151,'[6]Mint Farm'!$H$151),0)</f>
        <v>13537757</v>
      </c>
      <c r="J14" s="1">
        <f>SUM(I11:I14)</f>
        <v>185331506</v>
      </c>
      <c r="K14" s="17">
        <f>SUMIF($A$11:$A$14,"YES",I11:I14)</f>
        <v>185331506</v>
      </c>
      <c r="L14" s="21"/>
      <c r="M14" s="1">
        <f>ROUND('[6]Mint Farm'!$P$157,0)</f>
        <v>1442526</v>
      </c>
      <c r="N14" s="1">
        <f>ROUND('[6]Mint Farm'!$P$169,0)</f>
        <v>2885052</v>
      </c>
      <c r="O14" s="1">
        <f>ROUND('[6]Mint Farm'!$P$181,0)</f>
        <v>2885052</v>
      </c>
      <c r="P14" s="1">
        <f>ROUND('[6]Mint Farm'!$P$193,0)</f>
        <v>2885052</v>
      </c>
      <c r="Q14" s="1">
        <f>ROUND('[6]Mint Farm'!$P$205,0)</f>
        <v>2885052</v>
      </c>
      <c r="R14" s="1">
        <f>ROUND('[6]Mint Farm'!$P$217,0)</f>
        <v>555023</v>
      </c>
      <c r="S14" s="1">
        <f t="shared" ref="S14:AC14" si="5">IF(($E14+2020-S$4)&gt;1,$F14,IF(($E14+2020-S$4)&gt;0,($E14+2020-S$4)*$F14,0))</f>
        <v>0</v>
      </c>
      <c r="T14" s="1">
        <f t="shared" si="5"/>
        <v>0</v>
      </c>
      <c r="U14" s="1">
        <f t="shared" si="5"/>
        <v>0</v>
      </c>
      <c r="V14" s="1">
        <f t="shared" si="5"/>
        <v>0</v>
      </c>
      <c r="W14" s="1">
        <f t="shared" si="5"/>
        <v>0</v>
      </c>
      <c r="X14" s="1">
        <f t="shared" si="5"/>
        <v>0</v>
      </c>
      <c r="Y14" s="1">
        <f t="shared" si="5"/>
        <v>0</v>
      </c>
      <c r="Z14" s="1">
        <f t="shared" si="5"/>
        <v>0</v>
      </c>
      <c r="AA14" s="1">
        <f t="shared" si="5"/>
        <v>0</v>
      </c>
      <c r="AB14" s="1">
        <f t="shared" si="5"/>
        <v>0</v>
      </c>
      <c r="AC14" s="1">
        <f t="shared" si="5"/>
        <v>0</v>
      </c>
    </row>
    <row r="15" spans="1:30" x14ac:dyDescent="0.25">
      <c r="A15" s="31"/>
      <c r="B15" s="36"/>
      <c r="C15" s="19"/>
      <c r="E15" s="38"/>
      <c r="F15" s="17"/>
      <c r="G15" s="17"/>
      <c r="H15" s="17"/>
      <c r="I15" s="19"/>
      <c r="J15" s="1"/>
      <c r="K15" s="17"/>
      <c r="L15" s="21"/>
      <c r="M15" s="1"/>
    </row>
    <row r="16" spans="1:30" x14ac:dyDescent="0.25">
      <c r="A16" s="28" t="s">
        <v>45</v>
      </c>
      <c r="B16" s="36" t="s">
        <v>7</v>
      </c>
      <c r="C16" s="19"/>
      <c r="D16" t="s">
        <v>17</v>
      </c>
      <c r="E16" s="37">
        <f>I16/F16</f>
        <v>2.6795698256393865</v>
      </c>
      <c r="F16" s="17">
        <f>ROUND('[2]Env Summary'!$G$13,0)</f>
        <v>9460164</v>
      </c>
      <c r="G16" s="17"/>
      <c r="H16" s="17"/>
      <c r="I16" s="17">
        <f>ROUND('[2]Env Summary'!$F$13,0)</f>
        <v>25349170</v>
      </c>
      <c r="J16" s="1"/>
      <c r="K16" s="17"/>
      <c r="L16" s="21"/>
      <c r="M16" s="1">
        <f>ROUND([2]Gas!$L$73,0)</f>
        <v>4730082</v>
      </c>
      <c r="N16" s="1">
        <f>ROUND([2]Gas!$L$85,0)</f>
        <v>9460164</v>
      </c>
      <c r="O16" s="1">
        <f>ROUND([2]Gas!$L$97,0)</f>
        <v>9159512</v>
      </c>
      <c r="P16" s="1">
        <f>ROUND([2]Gas!$L$109,0)</f>
        <v>856891</v>
      </c>
      <c r="Q16" s="1">
        <f>ROUND([2]Gas!$L$121,0)</f>
        <v>856891</v>
      </c>
      <c r="R16" s="1">
        <f t="shared" ref="R16:AC19" si="6">IF(($E16+2020-R$4)&gt;1,$F16,IF(($E16+2020-R$4)&gt;0,($E16+2020-R$4)*$F16,0))</f>
        <v>0</v>
      </c>
      <c r="S16" s="1">
        <f t="shared" si="6"/>
        <v>0</v>
      </c>
      <c r="T16" s="1">
        <f t="shared" si="6"/>
        <v>0</v>
      </c>
      <c r="U16" s="1">
        <f t="shared" si="6"/>
        <v>0</v>
      </c>
      <c r="V16" s="1">
        <f t="shared" si="6"/>
        <v>0</v>
      </c>
      <c r="W16" s="1">
        <f t="shared" si="6"/>
        <v>0</v>
      </c>
      <c r="X16" s="1">
        <f t="shared" si="6"/>
        <v>0</v>
      </c>
      <c r="Y16" s="1">
        <f t="shared" si="6"/>
        <v>0</v>
      </c>
      <c r="Z16" s="1">
        <f t="shared" si="6"/>
        <v>0</v>
      </c>
      <c r="AA16" s="1">
        <f t="shared" si="6"/>
        <v>0</v>
      </c>
      <c r="AB16" s="1">
        <f t="shared" si="6"/>
        <v>0</v>
      </c>
      <c r="AC16" s="1">
        <f t="shared" si="6"/>
        <v>0</v>
      </c>
    </row>
    <row r="17" spans="1:29" x14ac:dyDescent="0.25">
      <c r="A17" s="28" t="s">
        <v>45</v>
      </c>
      <c r="B17" s="36" t="s">
        <v>9</v>
      </c>
      <c r="C17" s="19"/>
      <c r="D17" t="s">
        <v>17</v>
      </c>
      <c r="E17" s="37">
        <f>I17/F17</f>
        <v>2.8333333333333335</v>
      </c>
      <c r="F17" s="17">
        <f>'[3]Summarize AMI and GTZ'!$F$37</f>
        <v>3600000</v>
      </c>
      <c r="G17" s="17"/>
      <c r="H17" s="17"/>
      <c r="I17" s="17">
        <f>'[3]Summarize AMI and GTZ'!$E$37</f>
        <v>10200000</v>
      </c>
      <c r="J17" s="1"/>
      <c r="K17" s="17"/>
      <c r="L17" s="21"/>
      <c r="M17" s="1">
        <f>ROUND('[3]GTZ CC Common'!$P$33,0)</f>
        <v>1796663</v>
      </c>
      <c r="N17" s="1">
        <f>ROUND('[3]GTZ CC Common'!$P$45,0)</f>
        <v>3593326</v>
      </c>
      <c r="O17" s="1">
        <f>ROUND('[3]GTZ CC Common'!$P$57,0)</f>
        <v>3593326</v>
      </c>
      <c r="P17" s="1">
        <f>ROUND('[3]GTZ CC Common'!$P$69,0)</f>
        <v>1197775</v>
      </c>
      <c r="Q17" s="1">
        <f>IF(($E17+2020-Q$4)&gt;1,$F17,IF(($E17+2020-Q$4)&gt;0,($E17+2020-Q$4)*$F17,0))</f>
        <v>0</v>
      </c>
      <c r="R17" s="1">
        <f t="shared" si="6"/>
        <v>0</v>
      </c>
      <c r="S17" s="1">
        <f t="shared" si="6"/>
        <v>0</v>
      </c>
      <c r="T17" s="1">
        <f t="shared" si="6"/>
        <v>0</v>
      </c>
      <c r="U17" s="1">
        <f t="shared" si="6"/>
        <v>0</v>
      </c>
      <c r="V17" s="1">
        <f t="shared" si="6"/>
        <v>0</v>
      </c>
      <c r="W17" s="1">
        <f t="shared" si="6"/>
        <v>0</v>
      </c>
      <c r="X17" s="1">
        <f t="shared" si="6"/>
        <v>0</v>
      </c>
      <c r="Y17" s="1">
        <f t="shared" si="6"/>
        <v>0</v>
      </c>
      <c r="Z17" s="1">
        <f t="shared" si="6"/>
        <v>0</v>
      </c>
      <c r="AA17" s="1">
        <f t="shared" si="6"/>
        <v>0</v>
      </c>
      <c r="AB17" s="1">
        <f t="shared" si="6"/>
        <v>0</v>
      </c>
      <c r="AC17" s="1">
        <f t="shared" si="6"/>
        <v>0</v>
      </c>
    </row>
    <row r="18" spans="1:29" x14ac:dyDescent="0.25">
      <c r="A18" s="28" t="s">
        <v>45</v>
      </c>
      <c r="B18" s="36" t="s">
        <v>10</v>
      </c>
      <c r="C18" s="19"/>
      <c r="D18" t="s">
        <v>17</v>
      </c>
      <c r="E18" s="37">
        <f>I18/F18</f>
        <v>2.7619047619047619</v>
      </c>
      <c r="F18" s="17">
        <f>'[3]Summarize AMI and GTZ'!$F$49</f>
        <v>2100000</v>
      </c>
      <c r="G18" s="17">
        <f>SUM(F16:F18)</f>
        <v>15160164</v>
      </c>
      <c r="H18" s="17">
        <f>SUMIF($A$16:$A$18,"YES",F16:F18)</f>
        <v>0</v>
      </c>
      <c r="I18" s="17">
        <f>'[3]Summarize AMI and GTZ'!$E$49</f>
        <v>5800000</v>
      </c>
      <c r="J18" s="1">
        <f>SUM(I16:I18)</f>
        <v>41349170</v>
      </c>
      <c r="K18" s="17">
        <f>SUMIF($A$16:$A$18,"YES",I16:I18)</f>
        <v>0</v>
      </c>
      <c r="L18" s="21"/>
      <c r="M18" s="1">
        <f>ROUND('[3]AMI G'!$P$33,0)</f>
        <v>1032946</v>
      </c>
      <c r="N18" s="1">
        <f>ROUND('[3]AMI G'!$P$45,0)</f>
        <v>2065892</v>
      </c>
      <c r="O18" s="1">
        <f>ROUND('[3]AMI G'!$P$57,0)</f>
        <v>2065892</v>
      </c>
      <c r="P18" s="1">
        <f>ROUND('[3]AMI G'!$P$69,0)</f>
        <v>688631</v>
      </c>
      <c r="Q18" s="1">
        <f>IF(($E18+2020-Q$4)&gt;1,$F18,IF(($E18+2020-Q$4)&gt;0,($E18+2020-Q$4)*$F18,0))</f>
        <v>0</v>
      </c>
      <c r="R18" s="1">
        <f t="shared" si="6"/>
        <v>0</v>
      </c>
      <c r="S18" s="1">
        <f t="shared" si="6"/>
        <v>0</v>
      </c>
      <c r="T18" s="1">
        <f t="shared" si="6"/>
        <v>0</v>
      </c>
      <c r="U18" s="1">
        <f t="shared" si="6"/>
        <v>0</v>
      </c>
      <c r="V18" s="1">
        <f t="shared" si="6"/>
        <v>0</v>
      </c>
      <c r="W18" s="1">
        <f t="shared" si="6"/>
        <v>0</v>
      </c>
      <c r="X18" s="1">
        <f t="shared" si="6"/>
        <v>0</v>
      </c>
      <c r="Y18" s="1">
        <f t="shared" si="6"/>
        <v>0</v>
      </c>
      <c r="Z18" s="1">
        <f t="shared" si="6"/>
        <v>0</v>
      </c>
      <c r="AA18" s="1">
        <f t="shared" si="6"/>
        <v>0</v>
      </c>
      <c r="AB18" s="1">
        <f t="shared" si="6"/>
        <v>0</v>
      </c>
      <c r="AC18" s="1">
        <f t="shared" si="6"/>
        <v>0</v>
      </c>
    </row>
    <row r="19" spans="1:29" x14ac:dyDescent="0.25">
      <c r="A19" s="33" t="s">
        <v>44</v>
      </c>
      <c r="B19" s="36" t="s">
        <v>12</v>
      </c>
      <c r="C19" s="19"/>
      <c r="D19" t="s">
        <v>18</v>
      </c>
      <c r="E19" s="37">
        <f>I19/F19</f>
        <v>1.2997028031510767</v>
      </c>
      <c r="F19" s="1">
        <f>ROUND('[7]106 Rates'!$J$35*0.95/2,0)</f>
        <v>54320226</v>
      </c>
      <c r="G19" s="1">
        <f>F19</f>
        <v>54320226</v>
      </c>
      <c r="H19" s="1">
        <f>SUMIF($A$19,"YES",F19)</f>
        <v>54320226</v>
      </c>
      <c r="I19" s="1">
        <f>ROUND('[7]6-2020 PGA Balance'!$C$7,0)</f>
        <v>70600150</v>
      </c>
      <c r="J19" s="1">
        <f>I19</f>
        <v>70600150</v>
      </c>
      <c r="K19" s="1">
        <f>SUMIF($A$19,"YES",I19)</f>
        <v>70600150</v>
      </c>
      <c r="L19" s="21"/>
      <c r="M19" s="1">
        <f>-ROUND(SUM('[7]6-2020 PGA Balance'!$B$8:$B$13),0)</f>
        <v>25092338</v>
      </c>
      <c r="N19" s="1">
        <f>I19-M19</f>
        <v>45507812</v>
      </c>
      <c r="O19" s="1">
        <f>IF(($E19+2020-O$4)&gt;1,$F19,IF(($E19+2020-O$4)&gt;0,($E19+2020-O$4)*$F19,0))</f>
        <v>0</v>
      </c>
      <c r="P19" s="1">
        <f>IF(($E19+2020-P$4)&gt;1,$F19,IF(($E19+2020-P$4)&gt;0,($E19+2020-P$4)*$F19,0))</f>
        <v>0</v>
      </c>
      <c r="Q19" s="1">
        <f>IF(($E19+2020-Q$4)&gt;1,$F19,IF(($E19+2020-Q$4)&gt;0,($E19+2020-Q$4)*$F19,0))</f>
        <v>0</v>
      </c>
      <c r="R19" s="1">
        <f t="shared" si="6"/>
        <v>0</v>
      </c>
      <c r="S19" s="1">
        <f t="shared" si="6"/>
        <v>0</v>
      </c>
      <c r="T19" s="1">
        <f t="shared" si="6"/>
        <v>0</v>
      </c>
      <c r="U19" s="1">
        <f t="shared" si="6"/>
        <v>0</v>
      </c>
      <c r="V19" s="1">
        <f t="shared" si="6"/>
        <v>0</v>
      </c>
      <c r="W19" s="1">
        <f t="shared" si="6"/>
        <v>0</v>
      </c>
      <c r="X19" s="1">
        <f t="shared" si="6"/>
        <v>0</v>
      </c>
      <c r="Y19" s="1">
        <f t="shared" si="6"/>
        <v>0</v>
      </c>
      <c r="Z19" s="1">
        <f t="shared" si="6"/>
        <v>0</v>
      </c>
      <c r="AA19" s="1">
        <f t="shared" si="6"/>
        <v>0</v>
      </c>
      <c r="AB19" s="1">
        <f t="shared" si="6"/>
        <v>0</v>
      </c>
      <c r="AC19" s="1">
        <f t="shared" si="6"/>
        <v>0</v>
      </c>
    </row>
    <row r="21" spans="1:29" x14ac:dyDescent="0.25">
      <c r="E21" t="s">
        <v>19</v>
      </c>
      <c r="G21" s="2">
        <f>G9+G14</f>
        <v>95327140</v>
      </c>
      <c r="H21" s="2">
        <f>H9+H14</f>
        <v>74724442</v>
      </c>
      <c r="J21" s="2">
        <f>J9+J14</f>
        <v>349764329</v>
      </c>
      <c r="K21" s="2">
        <f>K9+K14</f>
        <v>332156889</v>
      </c>
      <c r="N21" s="2"/>
    </row>
    <row r="22" spans="1:29" x14ac:dyDescent="0.25">
      <c r="A22" s="139" t="s">
        <v>80</v>
      </c>
      <c r="B22" s="140"/>
      <c r="E22" t="s">
        <v>17</v>
      </c>
      <c r="G22" s="2">
        <f>G18+G19</f>
        <v>69480390</v>
      </c>
      <c r="H22" s="2">
        <f>H18+H19</f>
        <v>54320226</v>
      </c>
      <c r="J22" s="2">
        <f>J18+J19</f>
        <v>111949320</v>
      </c>
      <c r="K22" s="2">
        <f>K18+K19</f>
        <v>70600150</v>
      </c>
      <c r="M22" s="42"/>
    </row>
    <row r="23" spans="1:29" ht="15.75" thickBot="1" x14ac:dyDescent="0.3">
      <c r="A23" s="141" t="s">
        <v>59</v>
      </c>
      <c r="B23" s="142"/>
      <c r="E23" t="s">
        <v>23</v>
      </c>
      <c r="G23" s="6">
        <f>SUM(G21:G22)</f>
        <v>164807530</v>
      </c>
      <c r="H23" s="6">
        <f>SUM(H21:H22)</f>
        <v>129044668</v>
      </c>
      <c r="J23" s="6">
        <f>SUM(J21:J22)</f>
        <v>461713649</v>
      </c>
      <c r="K23" s="6">
        <f>SUM(K21:K22)</f>
        <v>402757039</v>
      </c>
      <c r="M23" s="42"/>
    </row>
    <row r="24" spans="1:29" ht="15.75" thickTop="1" x14ac:dyDescent="0.25">
      <c r="A24" s="173">
        <f>C42/H42</f>
        <v>44762240.99631393</v>
      </c>
      <c r="B24" s="144" t="s">
        <v>19</v>
      </c>
      <c r="F24" t="s">
        <v>66</v>
      </c>
      <c r="M24" s="42"/>
      <c r="S24" s="1"/>
      <c r="T24" s="1"/>
      <c r="U24" s="1"/>
      <c r="V24" s="1"/>
      <c r="W24" s="1"/>
    </row>
    <row r="25" spans="1:29" x14ac:dyDescent="0.25">
      <c r="A25" s="173">
        <f>C43/H43</f>
        <v>46491276.737863302</v>
      </c>
      <c r="B25" s="144" t="s">
        <v>17</v>
      </c>
      <c r="C25" s="59"/>
      <c r="L25" s="24" t="s">
        <v>44</v>
      </c>
      <c r="M25" s="23" t="s">
        <v>62</v>
      </c>
    </row>
    <row r="26" spans="1:29" ht="15.75" thickBot="1" x14ac:dyDescent="0.3">
      <c r="A26" s="145">
        <f>SUM(A24:A25)</f>
        <v>91253517.734177232</v>
      </c>
      <c r="B26" s="144" t="s">
        <v>23</v>
      </c>
      <c r="L26" s="24" t="s">
        <v>45</v>
      </c>
      <c r="M26" s="23" t="s">
        <v>63</v>
      </c>
    </row>
    <row r="27" spans="1:29" ht="15.75" thickTop="1" x14ac:dyDescent="0.25">
      <c r="A27" s="146"/>
      <c r="B27" s="147"/>
      <c r="M27" s="42"/>
    </row>
    <row r="28" spans="1:29" x14ac:dyDescent="0.25">
      <c r="Q28" s="42"/>
    </row>
    <row r="29" spans="1:29" x14ac:dyDescent="0.25">
      <c r="A29" s="148"/>
      <c r="B29" s="149"/>
      <c r="C29" s="150" t="s">
        <v>64</v>
      </c>
      <c r="D29" s="151"/>
      <c r="E29" s="151"/>
      <c r="F29" s="151"/>
      <c r="G29" s="152"/>
      <c r="Q29" s="42"/>
    </row>
    <row r="30" spans="1:29" x14ac:dyDescent="0.25">
      <c r="A30" s="153"/>
      <c r="B30" s="154"/>
      <c r="C30" s="155" t="s">
        <v>58</v>
      </c>
      <c r="D30" s="155">
        <v>2021</v>
      </c>
      <c r="E30" s="155">
        <v>2022</v>
      </c>
      <c r="F30" s="155">
        <v>2023</v>
      </c>
      <c r="G30" s="156">
        <v>2024</v>
      </c>
      <c r="Q30" s="42"/>
    </row>
    <row r="31" spans="1:29" x14ac:dyDescent="0.25">
      <c r="A31" s="157" t="s">
        <v>46</v>
      </c>
      <c r="B31" s="154"/>
      <c r="C31" s="154"/>
      <c r="D31" s="154"/>
      <c r="E31" s="154"/>
      <c r="F31" s="154"/>
      <c r="G31" s="158"/>
      <c r="Q31" s="42"/>
    </row>
    <row r="32" spans="1:29" x14ac:dyDescent="0.25">
      <c r="A32" s="153" t="s">
        <v>19</v>
      </c>
      <c r="B32" s="154"/>
      <c r="C32" s="159">
        <f>C69</f>
        <v>36974748</v>
      </c>
      <c r="D32" s="159">
        <f>D69</f>
        <v>72116275</v>
      </c>
      <c r="E32" s="159">
        <f>E69</f>
        <v>55541252</v>
      </c>
      <c r="F32" s="159">
        <f>F69</f>
        <v>46373358</v>
      </c>
      <c r="G32" s="160">
        <f>G69</f>
        <v>25927215</v>
      </c>
      <c r="Q32" s="42"/>
    </row>
    <row r="33" spans="1:53" x14ac:dyDescent="0.25">
      <c r="A33" s="153" t="s">
        <v>17</v>
      </c>
      <c r="B33" s="154"/>
      <c r="C33" s="159">
        <f>C85</f>
        <v>25092338</v>
      </c>
      <c r="D33" s="159">
        <f>D85</f>
        <v>45507812</v>
      </c>
      <c r="E33" s="159">
        <f>E85</f>
        <v>0</v>
      </c>
      <c r="F33" s="159">
        <f>F85</f>
        <v>0</v>
      </c>
      <c r="G33" s="160">
        <f>G85</f>
        <v>0</v>
      </c>
      <c r="Q33" s="42"/>
    </row>
    <row r="34" spans="1:53" ht="15.75" thickBot="1" x14ac:dyDescent="0.3">
      <c r="A34" s="153" t="s">
        <v>23</v>
      </c>
      <c r="B34" s="154"/>
      <c r="C34" s="161">
        <f>SUM(C32:C33)</f>
        <v>62067086</v>
      </c>
      <c r="D34" s="161">
        <f t="shared" ref="D34" si="7">SUM(D32:D33)</f>
        <v>117624087</v>
      </c>
      <c r="E34" s="161">
        <f>SUM(E32:E33)</f>
        <v>55541252</v>
      </c>
      <c r="F34" s="161">
        <f>SUM(F32:F33)</f>
        <v>46373358</v>
      </c>
      <c r="G34" s="162">
        <f>SUM(G32:G33)</f>
        <v>25927215</v>
      </c>
      <c r="Q34" s="42"/>
    </row>
    <row r="35" spans="1:53" ht="15.75" thickTop="1" x14ac:dyDescent="0.25">
      <c r="A35" s="153"/>
      <c r="B35" s="154"/>
      <c r="C35" s="154"/>
      <c r="D35" s="154"/>
      <c r="E35" s="154"/>
      <c r="F35" s="154"/>
      <c r="G35" s="158"/>
      <c r="Q35" s="42"/>
    </row>
    <row r="36" spans="1:53" x14ac:dyDescent="0.25">
      <c r="A36" s="157" t="s">
        <v>47</v>
      </c>
      <c r="B36" s="154"/>
      <c r="C36" s="154"/>
      <c r="D36" s="154"/>
      <c r="E36" s="154"/>
      <c r="F36" s="154"/>
      <c r="G36" s="158"/>
      <c r="Q36" s="7"/>
    </row>
    <row r="37" spans="1:53" x14ac:dyDescent="0.25">
      <c r="A37" s="153" t="s">
        <v>19</v>
      </c>
      <c r="B37" s="154"/>
      <c r="C37" s="163">
        <f>C66</f>
        <v>14981100.501843037</v>
      </c>
      <c r="D37" s="163">
        <f>D66</f>
        <v>29962201.003686074</v>
      </c>
      <c r="E37" s="163">
        <f>E66</f>
        <v>29962201.003686074</v>
      </c>
      <c r="F37" s="163">
        <f>F66</f>
        <v>29962201.003686074</v>
      </c>
      <c r="G37" s="164">
        <f>G66</f>
        <v>29962201.003686074</v>
      </c>
    </row>
    <row r="38" spans="1:53" x14ac:dyDescent="0.25">
      <c r="A38" s="153" t="s">
        <v>17</v>
      </c>
      <c r="B38" s="154"/>
      <c r="C38" s="163">
        <f>C82</f>
        <v>3914474.631068348</v>
      </c>
      <c r="D38" s="163">
        <f>D82</f>
        <v>7828949.2621366959</v>
      </c>
      <c r="E38" s="163">
        <f>E82</f>
        <v>7828949.2621366959</v>
      </c>
      <c r="F38" s="163">
        <f>F82</f>
        <v>7828949.2621366959</v>
      </c>
      <c r="G38" s="164">
        <f>G82</f>
        <v>7828949.2621366959</v>
      </c>
    </row>
    <row r="39" spans="1:53" ht="15.75" thickBot="1" x14ac:dyDescent="0.3">
      <c r="A39" s="153" t="s">
        <v>23</v>
      </c>
      <c r="B39" s="154"/>
      <c r="C39" s="161">
        <f>SUM(C37:C38)</f>
        <v>18895575.132911384</v>
      </c>
      <c r="D39" s="161">
        <f t="shared" ref="D39" si="8">SUM(D37:D38)</f>
        <v>37791150.265822768</v>
      </c>
      <c r="E39" s="161">
        <f>SUM(E37:E38)</f>
        <v>37791150.265822768</v>
      </c>
      <c r="F39" s="161">
        <f>SUM(F37:F38)</f>
        <v>37791150.265822768</v>
      </c>
      <c r="G39" s="162">
        <f>SUM(G37:G38)</f>
        <v>37791150.265822768</v>
      </c>
    </row>
    <row r="40" spans="1:53" ht="15.75" thickTop="1" x14ac:dyDescent="0.25">
      <c r="A40" s="153"/>
      <c r="B40" s="154"/>
      <c r="C40" s="154"/>
      <c r="D40" s="154"/>
      <c r="E40" s="154"/>
      <c r="F40" s="154"/>
      <c r="G40" s="158"/>
    </row>
    <row r="41" spans="1:53" x14ac:dyDescent="0.25">
      <c r="A41" s="157" t="s">
        <v>48</v>
      </c>
      <c r="B41" s="154"/>
      <c r="C41" s="154"/>
      <c r="D41" s="154"/>
      <c r="E41" s="154"/>
      <c r="F41" s="154"/>
      <c r="G41" s="158"/>
    </row>
    <row r="42" spans="1:53" s="19" customFormat="1" x14ac:dyDescent="0.25">
      <c r="A42" s="153" t="s">
        <v>19</v>
      </c>
      <c r="B42" s="154"/>
      <c r="C42" s="159">
        <f>C37-C32</f>
        <v>-21993647.498156965</v>
      </c>
      <c r="D42" s="159">
        <f t="shared" ref="D42:G42" si="9">D37-D32</f>
        <v>-42154073.99631393</v>
      </c>
      <c r="E42" s="159">
        <f t="shared" si="9"/>
        <v>-25579050.996313926</v>
      </c>
      <c r="F42" s="159">
        <f t="shared" si="9"/>
        <v>-16411156.996313926</v>
      </c>
      <c r="G42" s="160">
        <f t="shared" si="9"/>
        <v>4034986.0036860742</v>
      </c>
      <c r="H42" s="43">
        <f>C42/'BR 15'!H44</f>
        <v>-0.49134375332030611</v>
      </c>
      <c r="Q42"/>
      <c r="R42"/>
      <c r="S42"/>
      <c r="T42"/>
      <c r="U42"/>
      <c r="V42"/>
    </row>
    <row r="43" spans="1:53" s="19" customFormat="1" x14ac:dyDescent="0.25">
      <c r="A43" s="153" t="s">
        <v>17</v>
      </c>
      <c r="B43" s="154"/>
      <c r="C43" s="159">
        <f t="shared" ref="C43:G43" si="10">C38-C33</f>
        <v>-21177863.368931651</v>
      </c>
      <c r="D43" s="159">
        <f t="shared" si="10"/>
        <v>-37678862.737863302</v>
      </c>
      <c r="E43" s="159">
        <f t="shared" si="10"/>
        <v>7828949.2621366959</v>
      </c>
      <c r="F43" s="159">
        <f t="shared" si="10"/>
        <v>7828949.2621366959</v>
      </c>
      <c r="G43" s="160">
        <f t="shared" si="10"/>
        <v>7828949.2621366959</v>
      </c>
      <c r="H43" s="43">
        <f>C43/'BR 15'!H45</f>
        <v>-0.45552337674744975</v>
      </c>
      <c r="Q43"/>
      <c r="R43"/>
      <c r="S43"/>
      <c r="T43"/>
      <c r="U43"/>
      <c r="V43"/>
    </row>
    <row r="44" spans="1:53" s="19" customFormat="1" ht="15" customHeight="1" thickBot="1" x14ac:dyDescent="0.3">
      <c r="A44" s="153" t="s">
        <v>23</v>
      </c>
      <c r="B44" s="154"/>
      <c r="C44" s="161">
        <f>SUM(C42:C43)</f>
        <v>-43171510.867088616</v>
      </c>
      <c r="D44" s="161">
        <f t="shared" ref="D44" si="11">SUM(D42:D43)</f>
        <v>-79832936.734177232</v>
      </c>
      <c r="E44" s="161">
        <f>SUM(E42:E43)</f>
        <v>-17750101.734177232</v>
      </c>
      <c r="F44" s="161">
        <f>SUM(F42:F43)</f>
        <v>-8582207.7341772299</v>
      </c>
      <c r="G44" s="162">
        <f>SUM(G42:G43)</f>
        <v>11863935.26582277</v>
      </c>
      <c r="Q44"/>
      <c r="R44"/>
      <c r="S44"/>
      <c r="T44"/>
      <c r="U44"/>
      <c r="V44"/>
    </row>
    <row r="45" spans="1:53" s="19" customFormat="1" ht="15" customHeight="1" thickTop="1" x14ac:dyDescent="0.25">
      <c r="A45" s="165"/>
      <c r="B45" s="166"/>
      <c r="C45" s="167"/>
      <c r="D45" s="167"/>
      <c r="E45" s="167"/>
      <c r="F45" s="167"/>
      <c r="G45" s="168"/>
      <c r="Q45"/>
      <c r="R45"/>
      <c r="S45"/>
      <c r="T45"/>
      <c r="U45"/>
      <c r="V45"/>
    </row>
    <row r="46" spans="1:53" x14ac:dyDescent="0.25">
      <c r="C46" s="10"/>
      <c r="D46" s="10"/>
      <c r="E46" s="10"/>
      <c r="F46" s="10"/>
      <c r="G46" s="10"/>
      <c r="H46" s="10"/>
    </row>
    <row r="48" spans="1:53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</row>
    <row r="49" spans="1:53" x14ac:dyDescent="0.25">
      <c r="BA49" s="22"/>
    </row>
    <row r="50" spans="1:53" x14ac:dyDescent="0.25">
      <c r="B50" s="9"/>
      <c r="C50" s="9" t="s">
        <v>58</v>
      </c>
      <c r="D50" s="9">
        <v>2021</v>
      </c>
      <c r="E50" s="9">
        <v>2022</v>
      </c>
      <c r="F50" s="9">
        <v>2023</v>
      </c>
      <c r="G50" s="9">
        <v>2024</v>
      </c>
      <c r="H50" s="9">
        <v>2025</v>
      </c>
      <c r="I50" s="9">
        <v>2026</v>
      </c>
      <c r="J50" s="9">
        <v>2027</v>
      </c>
      <c r="K50" s="9">
        <v>2028</v>
      </c>
      <c r="L50" s="9">
        <v>2029</v>
      </c>
      <c r="M50" s="9">
        <v>2030</v>
      </c>
      <c r="N50" s="9">
        <v>2031</v>
      </c>
      <c r="O50" s="9">
        <v>2032</v>
      </c>
      <c r="P50" s="9">
        <v>2033</v>
      </c>
      <c r="Q50" s="9">
        <v>2034</v>
      </c>
      <c r="R50" s="9">
        <v>2035</v>
      </c>
      <c r="S50" s="9">
        <v>2036</v>
      </c>
      <c r="T50" s="9">
        <v>2037</v>
      </c>
      <c r="U50" s="9">
        <v>2038</v>
      </c>
      <c r="V50" s="9">
        <v>2039</v>
      </c>
      <c r="W50" s="9">
        <v>2040</v>
      </c>
      <c r="X50" s="9">
        <v>2041</v>
      </c>
      <c r="Y50" s="9">
        <v>2042</v>
      </c>
      <c r="Z50" s="9">
        <v>2044</v>
      </c>
      <c r="AA50" s="9">
        <v>2045</v>
      </c>
      <c r="AB50" s="9">
        <v>2046</v>
      </c>
      <c r="AC50" s="9">
        <v>2047</v>
      </c>
      <c r="AD50" s="9">
        <v>2048</v>
      </c>
      <c r="AE50" s="9">
        <v>2049</v>
      </c>
      <c r="AF50" s="9">
        <v>2050</v>
      </c>
      <c r="AG50" s="9">
        <v>2051</v>
      </c>
      <c r="AH50" s="9">
        <v>2052</v>
      </c>
      <c r="AI50" s="9">
        <v>2053</v>
      </c>
      <c r="AJ50" s="9">
        <v>2054</v>
      </c>
      <c r="AK50" s="9">
        <v>2055</v>
      </c>
      <c r="AL50" s="9">
        <v>2056</v>
      </c>
      <c r="AM50" s="9">
        <v>2057</v>
      </c>
      <c r="AN50" s="9">
        <v>2058</v>
      </c>
      <c r="AO50" s="9">
        <v>2059</v>
      </c>
      <c r="AP50" s="9">
        <v>2060</v>
      </c>
      <c r="AQ50" s="9">
        <v>2061</v>
      </c>
      <c r="AR50" s="9">
        <v>2062</v>
      </c>
      <c r="AS50" s="9">
        <v>2063</v>
      </c>
      <c r="AT50" s="9">
        <v>2064</v>
      </c>
      <c r="AU50" s="9">
        <v>2065</v>
      </c>
      <c r="AV50" s="9">
        <v>2066</v>
      </c>
      <c r="AW50" s="9">
        <v>2067</v>
      </c>
      <c r="AX50" s="9">
        <v>2068</v>
      </c>
    </row>
    <row r="51" spans="1:53" x14ac:dyDescent="0.25">
      <c r="A51" t="s">
        <v>24</v>
      </c>
      <c r="B51" s="10"/>
      <c r="C51" s="169">
        <f>25623860.8818532/2</f>
        <v>12811930.4409266</v>
      </c>
      <c r="D51" s="10">
        <v>24015464.813689981</v>
      </c>
      <c r="E51" s="10">
        <v>24399212.795614909</v>
      </c>
      <c r="F51" s="10">
        <v>23634456.756879337</v>
      </c>
      <c r="G51" s="10">
        <v>23865161.310801934</v>
      </c>
      <c r="H51" s="10">
        <v>24306294.826883312</v>
      </c>
      <c r="I51" s="10">
        <v>24965790.475091487</v>
      </c>
      <c r="J51" s="10">
        <v>23994154.745493572</v>
      </c>
      <c r="K51" s="10">
        <v>25275772.89397119</v>
      </c>
      <c r="L51" s="10">
        <v>26131056.095991936</v>
      </c>
      <c r="M51" s="10">
        <v>26028841.090108141</v>
      </c>
      <c r="N51" s="10">
        <v>24812903.904887941</v>
      </c>
      <c r="O51" s="10">
        <v>23616537.393727422</v>
      </c>
      <c r="P51" s="10">
        <v>24612433.532655373</v>
      </c>
      <c r="Q51" s="10">
        <v>24379856.166602965</v>
      </c>
      <c r="R51" s="10">
        <v>21803379.846335806</v>
      </c>
      <c r="S51" s="10">
        <v>21442106.062659975</v>
      </c>
      <c r="T51" s="10">
        <v>20081363.340709705</v>
      </c>
      <c r="U51" s="10">
        <v>19383929.508583747</v>
      </c>
      <c r="V51" s="10">
        <v>18667866.439330954</v>
      </c>
      <c r="W51" s="10">
        <v>17692594.477474216</v>
      </c>
      <c r="X51" s="10">
        <v>16999603.411349051</v>
      </c>
      <c r="Y51" s="10">
        <v>16285493.029040147</v>
      </c>
      <c r="Z51" s="10">
        <v>14870769.959598551</v>
      </c>
      <c r="AA51" s="10">
        <v>14451799.545705659</v>
      </c>
      <c r="AB51" s="10">
        <v>14026295.149741191</v>
      </c>
      <c r="AC51" s="10">
        <v>13562324.99235208</v>
      </c>
      <c r="AD51" s="10">
        <v>13071137.036764193</v>
      </c>
      <c r="AE51" s="10">
        <v>12596956.989343783</v>
      </c>
      <c r="AF51" s="10">
        <v>11804347.317637244</v>
      </c>
      <c r="AG51" s="10">
        <v>11123261.692925638</v>
      </c>
      <c r="AH51" s="10">
        <v>10481473.253878476</v>
      </c>
      <c r="AI51" s="10">
        <v>9876714.6368264724</v>
      </c>
      <c r="AJ51" s="10">
        <v>9306849.3001406919</v>
      </c>
      <c r="AK51" s="10">
        <v>8769863.9760802761</v>
      </c>
      <c r="AL51" s="10">
        <v>8263861.5581524372</v>
      </c>
      <c r="AM51" s="10">
        <v>7787054.3988565616</v>
      </c>
      <c r="AN51" s="10">
        <v>7337757.9941341998</v>
      </c>
      <c r="AO51" s="10">
        <v>6914385.0322127594</v>
      </c>
      <c r="AP51" s="10">
        <v>6515439.7858182443</v>
      </c>
      <c r="AQ51" s="10">
        <v>6139512.8279453134</v>
      </c>
      <c r="AR51" s="10">
        <v>5785276.0525161196</v>
      </c>
      <c r="AS51" s="10">
        <v>5451477.9823365202</v>
      </c>
      <c r="AT51" s="10">
        <v>5136939.3477731636</v>
      </c>
      <c r="AU51" s="10">
        <v>4840548.9205314796</v>
      </c>
      <c r="AV51" s="10">
        <v>4561259.5878157783</v>
      </c>
      <c r="AW51" s="10">
        <v>4298084.6530019213</v>
      </c>
      <c r="AX51" s="10">
        <v>3262386.3164512152</v>
      </c>
    </row>
    <row r="52" spans="1:53" x14ac:dyDescent="0.25">
      <c r="A52" s="11" t="s">
        <v>25</v>
      </c>
      <c r="B52" s="12"/>
      <c r="C52" s="12">
        <f>C51+B52</f>
        <v>12811930.4409266</v>
      </c>
      <c r="D52" s="12">
        <f t="shared" ref="D52" si="12">D51+C52</f>
        <v>36827395.254616581</v>
      </c>
      <c r="E52" s="12">
        <f>E51+D52</f>
        <v>61226608.050231487</v>
      </c>
      <c r="F52" s="12">
        <f t="shared" ref="F52" si="13">F51+E52</f>
        <v>84861064.807110816</v>
      </c>
      <c r="G52" s="12">
        <f>G51+F52</f>
        <v>108726226.11791275</v>
      </c>
      <c r="H52" s="12">
        <f t="shared" ref="H52" si="14">H51+G52</f>
        <v>133032520.94479607</v>
      </c>
      <c r="I52" s="12">
        <f>I51+H52</f>
        <v>157998311.41988754</v>
      </c>
      <c r="J52" s="12">
        <f t="shared" ref="J52" si="15">J51+I52</f>
        <v>181992466.1653811</v>
      </c>
      <c r="K52" s="12">
        <f>K51+J52</f>
        <v>207268239.05935228</v>
      </c>
      <c r="L52" s="12">
        <f t="shared" ref="L52:X52" si="16">L51+K52</f>
        <v>233399295.15534422</v>
      </c>
      <c r="M52" s="12">
        <f t="shared" si="16"/>
        <v>259428136.24545234</v>
      </c>
      <c r="N52" s="12">
        <f t="shared" si="16"/>
        <v>284241040.15034026</v>
      </c>
      <c r="O52" s="12">
        <f t="shared" si="16"/>
        <v>307857577.54406768</v>
      </c>
      <c r="P52" s="12">
        <f t="shared" si="16"/>
        <v>332470011.07672304</v>
      </c>
      <c r="Q52" s="12">
        <f t="shared" si="16"/>
        <v>356849867.24332601</v>
      </c>
      <c r="R52" s="12">
        <f t="shared" si="16"/>
        <v>378653247.08966184</v>
      </c>
      <c r="S52" s="12">
        <f t="shared" si="16"/>
        <v>400095353.15232182</v>
      </c>
      <c r="T52" s="12">
        <f t="shared" si="16"/>
        <v>420176716.4930315</v>
      </c>
      <c r="U52" s="12">
        <f t="shared" si="16"/>
        <v>439560646.00161523</v>
      </c>
      <c r="V52" s="12">
        <f t="shared" si="16"/>
        <v>458228512.44094616</v>
      </c>
      <c r="W52" s="12">
        <f t="shared" si="16"/>
        <v>475921106.91842037</v>
      </c>
      <c r="X52" s="12">
        <f t="shared" si="16"/>
        <v>492920710.32976943</v>
      </c>
      <c r="Y52" s="12">
        <f>Y51+X52</f>
        <v>509206203.35880959</v>
      </c>
      <c r="Z52" s="12">
        <f t="shared" ref="Z52:AX52" si="17">Z51+Y52</f>
        <v>524076973.31840813</v>
      </c>
      <c r="AA52" s="12">
        <f t="shared" si="17"/>
        <v>538528772.86411381</v>
      </c>
      <c r="AB52" s="12">
        <f t="shared" si="17"/>
        <v>552555068.01385498</v>
      </c>
      <c r="AC52" s="12">
        <f t="shared" si="17"/>
        <v>566117393.00620711</v>
      </c>
      <c r="AD52" s="12">
        <f t="shared" si="17"/>
        <v>579188530.04297125</v>
      </c>
      <c r="AE52" s="12">
        <f t="shared" si="17"/>
        <v>591785487.03231502</v>
      </c>
      <c r="AF52" s="12">
        <f t="shared" si="17"/>
        <v>603589834.34995222</v>
      </c>
      <c r="AG52" s="12">
        <f t="shared" si="17"/>
        <v>614713096.04287791</v>
      </c>
      <c r="AH52" s="12">
        <f t="shared" si="17"/>
        <v>625194569.29675639</v>
      </c>
      <c r="AI52" s="12">
        <f t="shared" si="17"/>
        <v>635071283.9335829</v>
      </c>
      <c r="AJ52" s="12">
        <f t="shared" si="17"/>
        <v>644378133.23372364</v>
      </c>
      <c r="AK52" s="12">
        <f t="shared" si="17"/>
        <v>653147997.20980394</v>
      </c>
      <c r="AL52" s="12">
        <f t="shared" si="17"/>
        <v>661411858.76795638</v>
      </c>
      <c r="AM52" s="12">
        <f t="shared" si="17"/>
        <v>669198913.1668129</v>
      </c>
      <c r="AN52" s="12">
        <f t="shared" si="17"/>
        <v>676536671.16094708</v>
      </c>
      <c r="AO52" s="12">
        <f t="shared" si="17"/>
        <v>683451056.19315982</v>
      </c>
      <c r="AP52" s="12">
        <f t="shared" si="17"/>
        <v>689966495.97897804</v>
      </c>
      <c r="AQ52" s="12">
        <f t="shared" si="17"/>
        <v>696106008.80692339</v>
      </c>
      <c r="AR52" s="12">
        <f t="shared" si="17"/>
        <v>701891284.85943949</v>
      </c>
      <c r="AS52" s="12">
        <f t="shared" si="17"/>
        <v>707342762.84177601</v>
      </c>
      <c r="AT52" s="12">
        <f t="shared" si="17"/>
        <v>712479702.18954921</v>
      </c>
      <c r="AU52" s="12">
        <f t="shared" si="17"/>
        <v>717320251.11008072</v>
      </c>
      <c r="AV52" s="12">
        <f t="shared" si="17"/>
        <v>721881510.69789648</v>
      </c>
      <c r="AW52" s="12">
        <f t="shared" si="17"/>
        <v>726179595.35089839</v>
      </c>
      <c r="AX52" s="12">
        <f t="shared" si="17"/>
        <v>729441981.66734958</v>
      </c>
    </row>
    <row r="54" spans="1:53" x14ac:dyDescent="0.25">
      <c r="A54" s="8" t="s">
        <v>29</v>
      </c>
    </row>
    <row r="55" spans="1:53" x14ac:dyDescent="0.25">
      <c r="A55" t="s">
        <v>26</v>
      </c>
      <c r="B55" s="12"/>
      <c r="C55" s="12">
        <f t="shared" ref="C55:AX55" si="18">C51/0.79</f>
        <v>16217633.469527341</v>
      </c>
      <c r="D55" s="12">
        <f t="shared" si="18"/>
        <v>30399322.548974659</v>
      </c>
      <c r="E55" s="12">
        <f t="shared" si="18"/>
        <v>30885079.488120139</v>
      </c>
      <c r="F55" s="12">
        <f t="shared" si="18"/>
        <v>29917033.869467515</v>
      </c>
      <c r="G55" s="12">
        <f t="shared" si="18"/>
        <v>30209064.950382195</v>
      </c>
      <c r="H55" s="12">
        <f t="shared" si="18"/>
        <v>30767461.806181408</v>
      </c>
      <c r="I55" s="12">
        <f t="shared" si="18"/>
        <v>31602266.424166437</v>
      </c>
      <c r="J55" s="12">
        <f t="shared" si="18"/>
        <v>30372347.779105786</v>
      </c>
      <c r="K55" s="12">
        <f t="shared" si="18"/>
        <v>31994649.232874922</v>
      </c>
      <c r="L55" s="12">
        <f t="shared" si="18"/>
        <v>33077286.197458144</v>
      </c>
      <c r="M55" s="12">
        <f t="shared" si="18"/>
        <v>32947900.114060938</v>
      </c>
      <c r="N55" s="12">
        <f t="shared" si="18"/>
        <v>31408739.120111316</v>
      </c>
      <c r="O55" s="12">
        <f t="shared" si="18"/>
        <v>29894351.131300531</v>
      </c>
      <c r="P55" s="12">
        <f t="shared" si="18"/>
        <v>31154979.155259963</v>
      </c>
      <c r="Q55" s="12">
        <f t="shared" si="18"/>
        <v>30860577.426079702</v>
      </c>
      <c r="R55" s="12">
        <f t="shared" si="18"/>
        <v>27599214.995361779</v>
      </c>
      <c r="S55" s="12">
        <f t="shared" si="18"/>
        <v>27141906.408430345</v>
      </c>
      <c r="T55" s="12">
        <f t="shared" si="18"/>
        <v>25419447.266721144</v>
      </c>
      <c r="U55" s="12">
        <f t="shared" si="18"/>
        <v>24536619.631118666</v>
      </c>
      <c r="V55" s="12">
        <f t="shared" si="18"/>
        <v>23630210.682697408</v>
      </c>
      <c r="W55" s="12">
        <f t="shared" si="18"/>
        <v>22395689.211992677</v>
      </c>
      <c r="X55" s="12">
        <f t="shared" si="18"/>
        <v>21518485.330821581</v>
      </c>
      <c r="Y55" s="12">
        <f t="shared" si="18"/>
        <v>20614548.1380255</v>
      </c>
      <c r="Z55" s="12">
        <f t="shared" si="18"/>
        <v>18823759.442529809</v>
      </c>
      <c r="AA55" s="12">
        <f t="shared" si="18"/>
        <v>18293417.146462858</v>
      </c>
      <c r="AB55" s="12">
        <f t="shared" si="18"/>
        <v>17754803.987014167</v>
      </c>
      <c r="AC55" s="12">
        <f t="shared" si="18"/>
        <v>17167499.990319088</v>
      </c>
      <c r="AD55" s="12">
        <f t="shared" si="18"/>
        <v>16545743.084511636</v>
      </c>
      <c r="AE55" s="12">
        <f t="shared" si="18"/>
        <v>15945515.176384535</v>
      </c>
      <c r="AF55" s="12">
        <f t="shared" si="18"/>
        <v>14942211.794477524</v>
      </c>
      <c r="AG55" s="12">
        <f t="shared" si="18"/>
        <v>14080078.092310933</v>
      </c>
      <c r="AH55" s="12">
        <f t="shared" si="18"/>
        <v>13267687.663137311</v>
      </c>
      <c r="AI55" s="12">
        <f t="shared" si="18"/>
        <v>12502170.426362623</v>
      </c>
      <c r="AJ55" s="12">
        <f t="shared" si="18"/>
        <v>11780821.898912268</v>
      </c>
      <c r="AK55" s="12">
        <f t="shared" si="18"/>
        <v>11101093.640607944</v>
      </c>
      <c r="AL55" s="12">
        <f t="shared" si="18"/>
        <v>10460584.250825869</v>
      </c>
      <c r="AM55" s="12">
        <f t="shared" si="18"/>
        <v>9857030.8846285585</v>
      </c>
      <c r="AN55" s="12">
        <f t="shared" si="18"/>
        <v>9288301.2583977208</v>
      </c>
      <c r="AO55" s="12">
        <f t="shared" si="18"/>
        <v>8752386.1167250108</v>
      </c>
      <c r="AP55" s="12">
        <f t="shared" si="18"/>
        <v>8247392.1339471443</v>
      </c>
      <c r="AQ55" s="12">
        <f t="shared" si="18"/>
        <v>7771535.2252472322</v>
      </c>
      <c r="AR55" s="12">
        <f t="shared" si="18"/>
        <v>7323134.2436912898</v>
      </c>
      <c r="AS55" s="12">
        <f t="shared" si="18"/>
        <v>6900605.0409323042</v>
      </c>
      <c r="AT55" s="12">
        <f t="shared" si="18"/>
        <v>6502454.8705989411</v>
      </c>
      <c r="AU55" s="12">
        <f t="shared" si="18"/>
        <v>6127277.1145968093</v>
      </c>
      <c r="AV55" s="12">
        <f t="shared" si="18"/>
        <v>5773746.313690858</v>
      </c>
      <c r="AW55" s="12">
        <f t="shared" si="18"/>
        <v>5440613.4848125586</v>
      </c>
      <c r="AX55" s="12">
        <f t="shared" si="18"/>
        <v>4129602.9322167281</v>
      </c>
    </row>
    <row r="56" spans="1:53" x14ac:dyDescent="0.25">
      <c r="A56" t="s">
        <v>27</v>
      </c>
      <c r="B56" s="12"/>
      <c r="C56" s="12">
        <f t="shared" ref="C56:AX56" si="19">C55+B56</f>
        <v>16217633.469527341</v>
      </c>
      <c r="D56" s="12">
        <f t="shared" si="19"/>
        <v>46616956.018501997</v>
      </c>
      <c r="E56" s="12">
        <f t="shared" si="19"/>
        <v>77502035.506622136</v>
      </c>
      <c r="F56" s="12">
        <f t="shared" si="19"/>
        <v>107419069.37608965</v>
      </c>
      <c r="G56" s="12">
        <f t="shared" si="19"/>
        <v>137628134.32647184</v>
      </c>
      <c r="H56" s="12">
        <f t="shared" si="19"/>
        <v>168395596.13265324</v>
      </c>
      <c r="I56" s="12">
        <f t="shared" si="19"/>
        <v>199997862.55681968</v>
      </c>
      <c r="J56" s="12">
        <f t="shared" si="19"/>
        <v>230370210.33592546</v>
      </c>
      <c r="K56" s="12">
        <f t="shared" si="19"/>
        <v>262364859.56880039</v>
      </c>
      <c r="L56" s="12">
        <f t="shared" si="19"/>
        <v>295442145.76625854</v>
      </c>
      <c r="M56" s="12">
        <f t="shared" si="19"/>
        <v>328390045.88031948</v>
      </c>
      <c r="N56" s="12">
        <f t="shared" si="19"/>
        <v>359798785.00043082</v>
      </c>
      <c r="O56" s="12">
        <f t="shared" si="19"/>
        <v>389693136.13173133</v>
      </c>
      <c r="P56" s="12">
        <f t="shared" si="19"/>
        <v>420848115.2869913</v>
      </c>
      <c r="Q56" s="12">
        <f t="shared" si="19"/>
        <v>451708692.71307099</v>
      </c>
      <c r="R56" s="12">
        <f t="shared" si="19"/>
        <v>479307907.70843279</v>
      </c>
      <c r="S56" s="12">
        <f t="shared" si="19"/>
        <v>506449814.11686313</v>
      </c>
      <c r="T56" s="12">
        <f t="shared" si="19"/>
        <v>531869261.38358426</v>
      </c>
      <c r="U56" s="12">
        <f t="shared" si="19"/>
        <v>556405881.01470292</v>
      </c>
      <c r="V56" s="12">
        <f t="shared" si="19"/>
        <v>580036091.69740033</v>
      </c>
      <c r="W56" s="12">
        <f t="shared" si="19"/>
        <v>602431780.90939295</v>
      </c>
      <c r="X56" s="12">
        <f t="shared" si="19"/>
        <v>623950266.24021459</v>
      </c>
      <c r="Y56" s="12">
        <f t="shared" si="19"/>
        <v>644564814.37824011</v>
      </c>
      <c r="Z56" s="12">
        <f t="shared" si="19"/>
        <v>663388573.82076991</v>
      </c>
      <c r="AA56" s="12">
        <f t="shared" si="19"/>
        <v>681681990.9672327</v>
      </c>
      <c r="AB56" s="12">
        <f t="shared" si="19"/>
        <v>699436794.95424688</v>
      </c>
      <c r="AC56" s="12">
        <f t="shared" si="19"/>
        <v>716604294.94456601</v>
      </c>
      <c r="AD56" s="12">
        <f t="shared" si="19"/>
        <v>733150038.02907765</v>
      </c>
      <c r="AE56" s="12">
        <f t="shared" si="19"/>
        <v>749095553.20546222</v>
      </c>
      <c r="AF56" s="12">
        <f t="shared" si="19"/>
        <v>764037764.9999398</v>
      </c>
      <c r="AG56" s="12">
        <f t="shared" si="19"/>
        <v>778117843.0922507</v>
      </c>
      <c r="AH56" s="12">
        <f t="shared" si="19"/>
        <v>791385530.75538802</v>
      </c>
      <c r="AI56" s="12">
        <f t="shared" si="19"/>
        <v>803887701.18175066</v>
      </c>
      <c r="AJ56" s="12">
        <f t="shared" si="19"/>
        <v>815668523.08066297</v>
      </c>
      <c r="AK56" s="12">
        <f t="shared" si="19"/>
        <v>826769616.72127092</v>
      </c>
      <c r="AL56" s="12">
        <f t="shared" si="19"/>
        <v>837230200.9720968</v>
      </c>
      <c r="AM56" s="12">
        <f t="shared" si="19"/>
        <v>847087231.85672534</v>
      </c>
      <c r="AN56" s="12">
        <f t="shared" si="19"/>
        <v>856375533.11512303</v>
      </c>
      <c r="AO56" s="12">
        <f t="shared" si="19"/>
        <v>865127919.231848</v>
      </c>
      <c r="AP56" s="12">
        <f t="shared" si="19"/>
        <v>873375311.36579514</v>
      </c>
      <c r="AQ56" s="12">
        <f t="shared" si="19"/>
        <v>881146846.5910424</v>
      </c>
      <c r="AR56" s="12">
        <f t="shared" si="19"/>
        <v>888469980.83473372</v>
      </c>
      <c r="AS56" s="12">
        <f t="shared" si="19"/>
        <v>895370585.87566602</v>
      </c>
      <c r="AT56" s="12">
        <f t="shared" si="19"/>
        <v>901873040.74626493</v>
      </c>
      <c r="AU56" s="12">
        <f t="shared" si="19"/>
        <v>908000317.86086178</v>
      </c>
      <c r="AV56" s="12">
        <f t="shared" si="19"/>
        <v>913774064.17455268</v>
      </c>
      <c r="AW56" s="12">
        <f t="shared" si="19"/>
        <v>919214677.6593653</v>
      </c>
      <c r="AX56" s="12">
        <f t="shared" si="19"/>
        <v>923344280.59158206</v>
      </c>
    </row>
    <row r="58" spans="1:53" x14ac:dyDescent="0.25">
      <c r="A58" s="3" t="s">
        <v>32</v>
      </c>
      <c r="B58" s="9"/>
      <c r="C58" s="9" t="s">
        <v>58</v>
      </c>
      <c r="D58" s="9">
        <v>2021</v>
      </c>
      <c r="E58" s="9">
        <v>2022</v>
      </c>
      <c r="F58" s="9">
        <v>2023</v>
      </c>
      <c r="G58" s="9">
        <v>2024</v>
      </c>
      <c r="H58" s="9">
        <v>2025</v>
      </c>
      <c r="I58" s="9">
        <v>2026</v>
      </c>
      <c r="J58" s="9">
        <v>2027</v>
      </c>
      <c r="K58" s="9">
        <v>2028</v>
      </c>
      <c r="L58" s="9">
        <v>2029</v>
      </c>
      <c r="M58" s="9">
        <v>2030</v>
      </c>
      <c r="N58" s="9">
        <v>2031</v>
      </c>
      <c r="O58" s="9">
        <v>2032</v>
      </c>
      <c r="P58" s="9">
        <v>2033</v>
      </c>
      <c r="Q58" s="9">
        <v>2034</v>
      </c>
      <c r="R58" s="9">
        <v>2035</v>
      </c>
      <c r="S58" s="9">
        <v>2036</v>
      </c>
      <c r="T58" s="9">
        <v>2037</v>
      </c>
      <c r="U58" s="9">
        <v>2038</v>
      </c>
      <c r="V58" s="9">
        <v>2039</v>
      </c>
      <c r="W58" s="9">
        <v>2040</v>
      </c>
      <c r="X58" s="9">
        <v>2041</v>
      </c>
      <c r="Y58" s="9">
        <v>2042</v>
      </c>
      <c r="Z58" s="9">
        <v>2044</v>
      </c>
      <c r="AA58" s="9">
        <v>2045</v>
      </c>
      <c r="AB58" s="9">
        <v>2046</v>
      </c>
      <c r="AC58" s="9">
        <v>2047</v>
      </c>
      <c r="AD58" s="9">
        <v>2048</v>
      </c>
      <c r="AE58" s="9">
        <v>2049</v>
      </c>
      <c r="AF58" s="9">
        <v>2050</v>
      </c>
      <c r="AG58" s="9">
        <v>2051</v>
      </c>
      <c r="AH58" s="9">
        <v>2052</v>
      </c>
      <c r="AI58" s="9">
        <v>2053</v>
      </c>
      <c r="AJ58" s="9">
        <v>2054</v>
      </c>
      <c r="AK58" s="9">
        <v>2055</v>
      </c>
      <c r="AL58" s="9">
        <v>2056</v>
      </c>
      <c r="AM58" s="9">
        <v>2057</v>
      </c>
      <c r="AN58" s="9">
        <v>2058</v>
      </c>
      <c r="AO58" s="9">
        <v>2059</v>
      </c>
      <c r="AP58" s="9">
        <v>2060</v>
      </c>
      <c r="AQ58" s="9">
        <v>2061</v>
      </c>
      <c r="AR58" s="9">
        <v>2062</v>
      </c>
      <c r="AS58" s="9">
        <v>2063</v>
      </c>
      <c r="AT58" s="9">
        <v>2064</v>
      </c>
      <c r="AU58" s="9">
        <v>2065</v>
      </c>
      <c r="AV58" s="9">
        <v>2066</v>
      </c>
      <c r="AW58" s="9">
        <v>2067</v>
      </c>
      <c r="AX58" s="9">
        <v>2068</v>
      </c>
    </row>
    <row r="60" spans="1:53" x14ac:dyDescent="0.25">
      <c r="A60" s="8" t="s">
        <v>30</v>
      </c>
    </row>
    <row r="61" spans="1:53" x14ac:dyDescent="0.25">
      <c r="A61" t="s">
        <v>26</v>
      </c>
      <c r="B61" s="12"/>
      <c r="C61" s="12">
        <f>C$55*ARAM!$D$7</f>
        <v>12811930.4409266</v>
      </c>
      <c r="D61" s="12">
        <f>D$55*ARAM!$D$7</f>
        <v>24015464.813689981</v>
      </c>
      <c r="E61" s="12">
        <f>E$55*ARAM!$D$7</f>
        <v>24399212.795614909</v>
      </c>
      <c r="F61" s="12">
        <f>F$55*ARAM!$D$7</f>
        <v>23634456.756879337</v>
      </c>
      <c r="G61" s="12">
        <f>G$55*ARAM!$D$7</f>
        <v>23865161.310801934</v>
      </c>
      <c r="H61" s="12">
        <f>H$55*ARAM!$D$7</f>
        <v>24306294.826883312</v>
      </c>
      <c r="I61" s="12">
        <f>I$55*ARAM!$D$7</f>
        <v>24965790.475091487</v>
      </c>
      <c r="J61" s="12">
        <f>J$55*ARAM!$D$7</f>
        <v>23994154.745493572</v>
      </c>
      <c r="K61" s="12">
        <f>K$55*ARAM!$D$7</f>
        <v>25275772.89397119</v>
      </c>
      <c r="L61" s="12">
        <f>L$55*ARAM!$D$7</f>
        <v>26131056.095991936</v>
      </c>
      <c r="M61" s="12">
        <f>M$55*ARAM!$D$7</f>
        <v>26028841.090108141</v>
      </c>
      <c r="N61" s="12">
        <f>N$55*ARAM!$D$7</f>
        <v>24812903.904887941</v>
      </c>
      <c r="O61" s="12">
        <f>O$55*ARAM!$D$7</f>
        <v>23616537.393727422</v>
      </c>
      <c r="P61" s="12">
        <f>P$55*ARAM!$D$7</f>
        <v>24612433.532655373</v>
      </c>
      <c r="Q61" s="12">
        <f>Q$55*ARAM!$D$7</f>
        <v>24379856.166602965</v>
      </c>
      <c r="R61" s="12">
        <f>R$55*ARAM!$D$7</f>
        <v>21803379.846335806</v>
      </c>
      <c r="S61" s="12">
        <f>S$55*ARAM!$D$7</f>
        <v>21442106.062659975</v>
      </c>
      <c r="T61" s="12">
        <f>T$55*ARAM!$D$7</f>
        <v>20081363.340709705</v>
      </c>
      <c r="U61" s="12">
        <f>U$55*ARAM!$D$7</f>
        <v>19383929.508583747</v>
      </c>
      <c r="V61" s="12">
        <f>V$55*ARAM!$D$7</f>
        <v>18667866.439330954</v>
      </c>
      <c r="W61" s="12">
        <f>W$55*ARAM!$D$7</f>
        <v>17692594.477474216</v>
      </c>
      <c r="X61" s="12">
        <f>X$55*ARAM!$D$7</f>
        <v>16999603.411349051</v>
      </c>
      <c r="Y61" s="12">
        <f>Y$55*ARAM!$D$7</f>
        <v>16285493.029040145</v>
      </c>
      <c r="Z61" s="12">
        <f>Z$55*ARAM!$D$7</f>
        <v>14870769.959598549</v>
      </c>
      <c r="AA61" s="12">
        <f>AA$55*ARAM!$D$7</f>
        <v>14451799.545705657</v>
      </c>
      <c r="AB61" s="12">
        <f>AB$55*ARAM!$D$7</f>
        <v>14026295.149741193</v>
      </c>
      <c r="AC61" s="12">
        <f>AC$55*ARAM!$D$7</f>
        <v>13562324.99235208</v>
      </c>
      <c r="AD61" s="12">
        <f>AD$55*ARAM!$D$7</f>
        <v>13071137.036764193</v>
      </c>
      <c r="AE61" s="12">
        <f>AE$55*ARAM!$D$7</f>
        <v>12596956.989343783</v>
      </c>
      <c r="AF61" s="12">
        <f>AF$55*ARAM!$D$7</f>
        <v>11804347.317637244</v>
      </c>
      <c r="AG61" s="12">
        <f>AG$55*ARAM!$D$7</f>
        <v>11123261.692925638</v>
      </c>
      <c r="AH61" s="12">
        <f>AH$55*ARAM!$D$7</f>
        <v>10481473.253878476</v>
      </c>
      <c r="AI61" s="12">
        <f>AI$55*ARAM!$D$7</f>
        <v>9876714.6368264724</v>
      </c>
      <c r="AJ61" s="12">
        <f>AJ$55*ARAM!$D$7</f>
        <v>9306849.3001406919</v>
      </c>
      <c r="AK61" s="12">
        <f>AK$55*ARAM!$D$7</f>
        <v>8769863.9760802761</v>
      </c>
      <c r="AL61" s="12">
        <f>AL$55*ARAM!$D$7</f>
        <v>8263861.5581524372</v>
      </c>
      <c r="AM61" s="12">
        <f>AM$55*ARAM!$D$7</f>
        <v>7787054.3988565616</v>
      </c>
      <c r="AN61" s="12">
        <f>AN$55*ARAM!$D$7</f>
        <v>7337757.9941341998</v>
      </c>
      <c r="AO61" s="12">
        <f>AO$55*ARAM!$D$7</f>
        <v>6914385.0322127584</v>
      </c>
      <c r="AP61" s="12">
        <f>AP$55*ARAM!$D$7</f>
        <v>6515439.7858182443</v>
      </c>
      <c r="AQ61" s="12">
        <f>AQ$55*ARAM!$D$7</f>
        <v>6139512.8279453134</v>
      </c>
      <c r="AR61" s="12">
        <f>AR$55*ARAM!$D$7</f>
        <v>5785276.0525161196</v>
      </c>
      <c r="AS61" s="12">
        <f>AS$55*ARAM!$D$7</f>
        <v>5451477.9823365202</v>
      </c>
      <c r="AT61" s="12">
        <f>AT$55*ARAM!$D$7</f>
        <v>5136939.3477731636</v>
      </c>
      <c r="AU61" s="12">
        <f>AU$55*ARAM!$D$7</f>
        <v>4840548.9205314796</v>
      </c>
      <c r="AV61" s="12">
        <f>AV$55*ARAM!$D$7</f>
        <v>4561259.5878157783</v>
      </c>
      <c r="AW61" s="12">
        <f>AW$55*ARAM!$D$7</f>
        <v>4298084.6530019213</v>
      </c>
      <c r="AX61" s="12">
        <f>AX$55*ARAM!$D$7</f>
        <v>3262386.3164512152</v>
      </c>
    </row>
    <row r="62" spans="1:53" x14ac:dyDescent="0.25">
      <c r="A62" t="s">
        <v>27</v>
      </c>
      <c r="B62" s="12"/>
      <c r="C62" s="12">
        <f>C61+B62</f>
        <v>12811930.4409266</v>
      </c>
      <c r="D62" s="12">
        <f t="shared" ref="D62" si="20">D61+C62</f>
        <v>36827395.254616581</v>
      </c>
      <c r="E62" s="12">
        <f>E61+D62</f>
        <v>61226608.050231487</v>
      </c>
      <c r="F62" s="12">
        <f t="shared" ref="F62" si="21">F61+E62</f>
        <v>84861064.807110816</v>
      </c>
      <c r="G62" s="12">
        <f>G61+F62</f>
        <v>108726226.11791275</v>
      </c>
      <c r="H62" s="12">
        <f t="shared" ref="H62" si="22">H61+G62</f>
        <v>133032520.94479607</v>
      </c>
      <c r="I62" s="12">
        <f>I61+H62</f>
        <v>157998311.41988754</v>
      </c>
      <c r="J62" s="12">
        <f t="shared" ref="J62" si="23">J61+I62</f>
        <v>181992466.1653811</v>
      </c>
      <c r="K62" s="12">
        <f>K61+J62</f>
        <v>207268239.05935228</v>
      </c>
      <c r="L62" s="12">
        <f t="shared" ref="L62:AX62" si="24">L61+K62</f>
        <v>233399295.15534422</v>
      </c>
      <c r="M62" s="12">
        <f t="shared" si="24"/>
        <v>259428136.24545234</v>
      </c>
      <c r="N62" s="12">
        <f t="shared" si="24"/>
        <v>284241040.15034026</v>
      </c>
      <c r="O62" s="12">
        <f t="shared" si="24"/>
        <v>307857577.54406768</v>
      </c>
      <c r="P62" s="12">
        <f t="shared" si="24"/>
        <v>332470011.07672304</v>
      </c>
      <c r="Q62" s="12">
        <f t="shared" si="24"/>
        <v>356849867.24332601</v>
      </c>
      <c r="R62" s="12">
        <f t="shared" si="24"/>
        <v>378653247.08966184</v>
      </c>
      <c r="S62" s="12">
        <f t="shared" si="24"/>
        <v>400095353.15232182</v>
      </c>
      <c r="T62" s="12">
        <f t="shared" si="24"/>
        <v>420176716.4930315</v>
      </c>
      <c r="U62" s="12">
        <f t="shared" si="24"/>
        <v>439560646.00161523</v>
      </c>
      <c r="V62" s="12">
        <f t="shared" si="24"/>
        <v>458228512.44094616</v>
      </c>
      <c r="W62" s="12">
        <f t="shared" si="24"/>
        <v>475921106.91842037</v>
      </c>
      <c r="X62" s="12">
        <f t="shared" si="24"/>
        <v>492920710.32976943</v>
      </c>
      <c r="Y62" s="12">
        <f t="shared" si="24"/>
        <v>509206203.35880959</v>
      </c>
      <c r="Z62" s="12">
        <f t="shared" si="24"/>
        <v>524076973.31840813</v>
      </c>
      <c r="AA62" s="12">
        <f t="shared" si="24"/>
        <v>538528772.86411381</v>
      </c>
      <c r="AB62" s="12">
        <f t="shared" si="24"/>
        <v>552555068.01385498</v>
      </c>
      <c r="AC62" s="12">
        <f t="shared" si="24"/>
        <v>566117393.00620711</v>
      </c>
      <c r="AD62" s="12">
        <f t="shared" si="24"/>
        <v>579188530.04297125</v>
      </c>
      <c r="AE62" s="12">
        <f t="shared" si="24"/>
        <v>591785487.03231502</v>
      </c>
      <c r="AF62" s="12">
        <f t="shared" si="24"/>
        <v>603589834.34995222</v>
      </c>
      <c r="AG62" s="12">
        <f t="shared" si="24"/>
        <v>614713096.04287791</v>
      </c>
      <c r="AH62" s="12">
        <f t="shared" si="24"/>
        <v>625194569.29675639</v>
      </c>
      <c r="AI62" s="12">
        <f t="shared" si="24"/>
        <v>635071283.9335829</v>
      </c>
      <c r="AJ62" s="12">
        <f t="shared" si="24"/>
        <v>644378133.23372364</v>
      </c>
      <c r="AK62" s="12">
        <f t="shared" si="24"/>
        <v>653147997.20980394</v>
      </c>
      <c r="AL62" s="12">
        <f t="shared" si="24"/>
        <v>661411858.76795638</v>
      </c>
      <c r="AM62" s="12">
        <f t="shared" si="24"/>
        <v>669198913.1668129</v>
      </c>
      <c r="AN62" s="12">
        <f t="shared" si="24"/>
        <v>676536671.16094708</v>
      </c>
      <c r="AO62" s="12">
        <f t="shared" si="24"/>
        <v>683451056.19315982</v>
      </c>
      <c r="AP62" s="12">
        <f t="shared" si="24"/>
        <v>689966495.97897804</v>
      </c>
      <c r="AQ62" s="12">
        <f t="shared" si="24"/>
        <v>696106008.80692339</v>
      </c>
      <c r="AR62" s="12">
        <f t="shared" si="24"/>
        <v>701891284.85943949</v>
      </c>
      <c r="AS62" s="12">
        <f t="shared" si="24"/>
        <v>707342762.84177601</v>
      </c>
      <c r="AT62" s="12">
        <f t="shared" si="24"/>
        <v>712479702.18954921</v>
      </c>
      <c r="AU62" s="12">
        <f t="shared" si="24"/>
        <v>717320251.11008072</v>
      </c>
      <c r="AV62" s="12">
        <f t="shared" si="24"/>
        <v>721881510.69789648</v>
      </c>
      <c r="AW62" s="12">
        <f t="shared" si="24"/>
        <v>726179595.35089839</v>
      </c>
      <c r="AX62" s="12">
        <f t="shared" si="24"/>
        <v>729441981.66734958</v>
      </c>
    </row>
    <row r="64" spans="1:53" x14ac:dyDescent="0.25">
      <c r="A64" s="8" t="s">
        <v>31</v>
      </c>
    </row>
    <row r="65" spans="1:50" x14ac:dyDescent="0.25">
      <c r="A65" t="s">
        <v>34</v>
      </c>
      <c r="C65" s="170">
        <f>SUMIF($A$5:A$14,"YES",I$5:I$14)</f>
        <v>332156889</v>
      </c>
      <c r="D65" s="2">
        <f>C67</f>
        <v>317175788.49815696</v>
      </c>
      <c r="E65" s="2">
        <f>D67</f>
        <v>287213587.49447089</v>
      </c>
      <c r="F65" s="2">
        <f t="shared" ref="F65:AK65" si="25">E67</f>
        <v>257251386.49078482</v>
      </c>
      <c r="G65" s="2">
        <f t="shared" si="25"/>
        <v>227289185.48709875</v>
      </c>
      <c r="H65" s="2">
        <f t="shared" si="25"/>
        <v>197326984.48341268</v>
      </c>
      <c r="I65" s="2">
        <f t="shared" si="25"/>
        <v>167364783.47972661</v>
      </c>
      <c r="J65" s="2">
        <f t="shared" si="25"/>
        <v>137402582.47604054</v>
      </c>
      <c r="K65" s="2">
        <f t="shared" si="25"/>
        <v>107440381.47235447</v>
      </c>
      <c r="L65" s="2">
        <f t="shared" si="25"/>
        <v>77478180.468668401</v>
      </c>
      <c r="M65" s="2">
        <f t="shared" si="25"/>
        <v>47515979.464982331</v>
      </c>
      <c r="N65" s="2">
        <f t="shared" si="25"/>
        <v>17553778.461296257</v>
      </c>
      <c r="O65" s="2">
        <f t="shared" si="25"/>
        <v>0</v>
      </c>
      <c r="P65" s="2">
        <f t="shared" si="25"/>
        <v>0</v>
      </c>
      <c r="Q65" s="2">
        <f t="shared" si="25"/>
        <v>0</v>
      </c>
      <c r="R65" s="2">
        <f t="shared" si="25"/>
        <v>0</v>
      </c>
      <c r="S65" s="2">
        <f t="shared" si="25"/>
        <v>0</v>
      </c>
      <c r="T65" s="2">
        <f t="shared" si="25"/>
        <v>0</v>
      </c>
      <c r="U65" s="2">
        <f t="shared" si="25"/>
        <v>0</v>
      </c>
      <c r="V65" s="2">
        <f t="shared" si="25"/>
        <v>0</v>
      </c>
      <c r="W65" s="2">
        <f t="shared" si="25"/>
        <v>0</v>
      </c>
      <c r="X65" s="2">
        <f t="shared" si="25"/>
        <v>0</v>
      </c>
      <c r="Y65" s="2">
        <f t="shared" si="25"/>
        <v>0</v>
      </c>
      <c r="Z65" s="2">
        <f t="shared" si="25"/>
        <v>0</v>
      </c>
      <c r="AA65" s="2">
        <f t="shared" si="25"/>
        <v>0</v>
      </c>
      <c r="AB65" s="2">
        <f t="shared" si="25"/>
        <v>0</v>
      </c>
      <c r="AC65" s="2">
        <f t="shared" si="25"/>
        <v>0</v>
      </c>
      <c r="AD65" s="2">
        <f t="shared" si="25"/>
        <v>0</v>
      </c>
      <c r="AE65" s="2">
        <f t="shared" si="25"/>
        <v>0</v>
      </c>
      <c r="AF65" s="2">
        <f t="shared" si="25"/>
        <v>0</v>
      </c>
      <c r="AG65" s="2">
        <f t="shared" si="25"/>
        <v>0</v>
      </c>
      <c r="AH65" s="2">
        <f t="shared" si="25"/>
        <v>0</v>
      </c>
      <c r="AI65" s="2">
        <f t="shared" si="25"/>
        <v>0</v>
      </c>
      <c r="AJ65" s="2">
        <f t="shared" si="25"/>
        <v>0</v>
      </c>
      <c r="AK65" s="2">
        <f t="shared" si="25"/>
        <v>0</v>
      </c>
    </row>
    <row r="66" spans="1:50" ht="17.25" x14ac:dyDescent="0.4">
      <c r="A66" t="s">
        <v>28</v>
      </c>
      <c r="B66" s="12">
        <f>COUNTIF(C66:AK66,"&gt;0")</f>
        <v>12</v>
      </c>
      <c r="C66" s="13">
        <f>MIN(ARAM!C7/2,C65)</f>
        <v>14981100.501843037</v>
      </c>
      <c r="D66" s="13">
        <f>MIN(ARAM!$C$7,D65)</f>
        <v>29962201.003686074</v>
      </c>
      <c r="E66" s="13">
        <f>MIN(ARAM!$C$7,E65)</f>
        <v>29962201.003686074</v>
      </c>
      <c r="F66" s="13">
        <f>MIN(ARAM!$C$7,F65)</f>
        <v>29962201.003686074</v>
      </c>
      <c r="G66" s="13">
        <f>MIN(ARAM!$C$7,G65)</f>
        <v>29962201.003686074</v>
      </c>
      <c r="H66" s="13">
        <f>MIN(ARAM!$C$7,H65)</f>
        <v>29962201.003686074</v>
      </c>
      <c r="I66" s="13">
        <f>MIN(ARAM!$C$7,I65)</f>
        <v>29962201.003686074</v>
      </c>
      <c r="J66" s="13">
        <f>MIN(ARAM!$C$7,J65)</f>
        <v>29962201.003686074</v>
      </c>
      <c r="K66" s="13">
        <f>MIN(ARAM!$C$7,K65)</f>
        <v>29962201.003686074</v>
      </c>
      <c r="L66" s="13">
        <f>MIN(ARAM!$C$7,L65)</f>
        <v>29962201.003686074</v>
      </c>
      <c r="M66" s="13">
        <f>MIN(ARAM!$C$7,M65)</f>
        <v>29962201.003686074</v>
      </c>
      <c r="N66" s="13">
        <f>MIN(ARAM!$C$7,N65)</f>
        <v>17553778.461296257</v>
      </c>
      <c r="O66" s="13">
        <f>MIN(ARAM!$C$7,O65)</f>
        <v>0</v>
      </c>
      <c r="P66" s="13">
        <f>MIN(ARAM!$C$7,P65)</f>
        <v>0</v>
      </c>
      <c r="Q66" s="13">
        <f>MIN(ARAM!$C$7,Q65)</f>
        <v>0</v>
      </c>
      <c r="R66" s="13">
        <f>MIN(ARAM!$C$7,R65)</f>
        <v>0</v>
      </c>
      <c r="S66" s="13">
        <f>MIN(ARAM!$C$7,S65)</f>
        <v>0</v>
      </c>
      <c r="T66" s="13">
        <f>MIN(ARAM!$C$7,T65)</f>
        <v>0</v>
      </c>
      <c r="U66" s="13">
        <f>MIN(ARAM!$C$7,U65)</f>
        <v>0</v>
      </c>
      <c r="V66" s="13">
        <f>MIN(ARAM!$C$7,V65)</f>
        <v>0</v>
      </c>
      <c r="W66" s="13">
        <f>MIN(ARAM!$C$7,W65)</f>
        <v>0</v>
      </c>
      <c r="X66" s="13">
        <f>MIN(ARAM!$C$7,X65)</f>
        <v>0</v>
      </c>
      <c r="Y66" s="13">
        <f>MIN(ARAM!$C$7,Y65)</f>
        <v>0</v>
      </c>
      <c r="Z66" s="13">
        <f>MIN(ARAM!$C$7,Z65)</f>
        <v>0</v>
      </c>
      <c r="AA66" s="13">
        <f>MIN(ARAM!$C$7,AA65)</f>
        <v>0</v>
      </c>
      <c r="AB66" s="13">
        <f>MIN(ARAM!$C$7,AB65)</f>
        <v>0</v>
      </c>
      <c r="AC66" s="13">
        <f>MIN(ARAM!$C$7,AC65)</f>
        <v>0</v>
      </c>
      <c r="AD66" s="13">
        <f>MIN(ARAM!$C$7,AD65)</f>
        <v>0</v>
      </c>
      <c r="AE66" s="13">
        <f>MIN(ARAM!$C$7,AE65)</f>
        <v>0</v>
      </c>
      <c r="AF66" s="13">
        <f>MIN(ARAM!$C$7,AF65)</f>
        <v>0</v>
      </c>
      <c r="AG66" s="13">
        <f>MIN(ARAM!$C$7,AG65)</f>
        <v>0</v>
      </c>
      <c r="AH66" s="13">
        <f>MIN(ARAM!$C$7,AH65)</f>
        <v>0</v>
      </c>
      <c r="AI66" s="13">
        <f>MIN(ARAM!$C$7,AI65)</f>
        <v>0</v>
      </c>
      <c r="AJ66" s="13">
        <f>MIN(ARAM!$C$7,AJ65)</f>
        <v>0</v>
      </c>
      <c r="AK66" s="13">
        <f>MIN(ARAM!$C$7,AK65)</f>
        <v>0</v>
      </c>
    </row>
    <row r="67" spans="1:50" x14ac:dyDescent="0.25">
      <c r="A67" t="s">
        <v>35</v>
      </c>
      <c r="C67" s="2">
        <f t="shared" ref="C67:AK67" si="26">MAX(C65-C66,0)</f>
        <v>317175788.49815696</v>
      </c>
      <c r="D67" s="2">
        <f t="shared" si="26"/>
        <v>287213587.49447089</v>
      </c>
      <c r="E67" s="2">
        <f t="shared" si="26"/>
        <v>257251386.49078482</v>
      </c>
      <c r="F67" s="2">
        <f t="shared" si="26"/>
        <v>227289185.48709875</v>
      </c>
      <c r="G67" s="2">
        <f t="shared" si="26"/>
        <v>197326984.48341268</v>
      </c>
      <c r="H67" s="2">
        <f t="shared" si="26"/>
        <v>167364783.47972661</v>
      </c>
      <c r="I67" s="2">
        <f t="shared" si="26"/>
        <v>137402582.47604054</v>
      </c>
      <c r="J67" s="2">
        <f t="shared" si="26"/>
        <v>107440381.47235447</v>
      </c>
      <c r="K67" s="2">
        <f t="shared" si="26"/>
        <v>77478180.468668401</v>
      </c>
      <c r="L67" s="2">
        <f t="shared" si="26"/>
        <v>47515979.464982331</v>
      </c>
      <c r="M67" s="2">
        <f t="shared" si="26"/>
        <v>17553778.461296257</v>
      </c>
      <c r="N67" s="2">
        <f t="shared" si="26"/>
        <v>0</v>
      </c>
      <c r="O67" s="2">
        <f t="shared" si="26"/>
        <v>0</v>
      </c>
      <c r="P67" s="2">
        <f t="shared" si="26"/>
        <v>0</v>
      </c>
      <c r="Q67" s="2">
        <f t="shared" si="26"/>
        <v>0</v>
      </c>
      <c r="R67" s="2">
        <f t="shared" si="26"/>
        <v>0</v>
      </c>
      <c r="S67" s="2">
        <f t="shared" si="26"/>
        <v>0</v>
      </c>
      <c r="T67" s="2">
        <f t="shared" si="26"/>
        <v>0</v>
      </c>
      <c r="U67" s="2">
        <f t="shared" si="26"/>
        <v>0</v>
      </c>
      <c r="V67" s="2">
        <f t="shared" si="26"/>
        <v>0</v>
      </c>
      <c r="W67" s="2">
        <f t="shared" si="26"/>
        <v>0</v>
      </c>
      <c r="X67" s="2">
        <f t="shared" si="26"/>
        <v>0</v>
      </c>
      <c r="Y67" s="2">
        <f t="shared" si="26"/>
        <v>0</v>
      </c>
      <c r="Z67" s="2">
        <f t="shared" si="26"/>
        <v>0</v>
      </c>
      <c r="AA67" s="2">
        <f t="shared" si="26"/>
        <v>0</v>
      </c>
      <c r="AB67" s="2">
        <f t="shared" si="26"/>
        <v>0</v>
      </c>
      <c r="AC67" s="2">
        <f t="shared" si="26"/>
        <v>0</v>
      </c>
      <c r="AD67" s="2">
        <f t="shared" si="26"/>
        <v>0</v>
      </c>
      <c r="AE67" s="2">
        <f t="shared" si="26"/>
        <v>0</v>
      </c>
      <c r="AF67" s="2">
        <f t="shared" si="26"/>
        <v>0</v>
      </c>
      <c r="AG67" s="2">
        <f t="shared" si="26"/>
        <v>0</v>
      </c>
      <c r="AH67" s="2">
        <f t="shared" si="26"/>
        <v>0</v>
      </c>
      <c r="AI67" s="2">
        <f t="shared" si="26"/>
        <v>0</v>
      </c>
      <c r="AJ67" s="2">
        <f t="shared" si="26"/>
        <v>0</v>
      </c>
      <c r="AK67" s="2">
        <f t="shared" si="26"/>
        <v>0</v>
      </c>
    </row>
    <row r="69" spans="1:50" x14ac:dyDescent="0.25">
      <c r="A69" t="s">
        <v>33</v>
      </c>
      <c r="C69" s="170">
        <f t="shared" ref="C69:W69" si="27">SUMIF($A$5:$A$14,"YES",M$5:M$14)</f>
        <v>36974748</v>
      </c>
      <c r="D69" s="2">
        <f t="shared" si="27"/>
        <v>72116275</v>
      </c>
      <c r="E69" s="2">
        <f t="shared" si="27"/>
        <v>55541252</v>
      </c>
      <c r="F69" s="2">
        <f t="shared" si="27"/>
        <v>46373358</v>
      </c>
      <c r="G69" s="2">
        <f t="shared" si="27"/>
        <v>25927215</v>
      </c>
      <c r="H69" s="2">
        <f t="shared" si="27"/>
        <v>16288850</v>
      </c>
      <c r="I69" s="2">
        <f t="shared" si="27"/>
        <v>15849757</v>
      </c>
      <c r="J69" s="2">
        <f t="shared" si="27"/>
        <v>15653122</v>
      </c>
      <c r="K69" s="2">
        <f t="shared" si="27"/>
        <v>15871708</v>
      </c>
      <c r="L69" s="2">
        <f t="shared" si="27"/>
        <v>13037125</v>
      </c>
      <c r="M69" s="2">
        <f t="shared" si="27"/>
        <v>8211714</v>
      </c>
      <c r="N69" s="2">
        <f t="shared" si="27"/>
        <v>6594141</v>
      </c>
      <c r="O69" s="2">
        <f t="shared" si="27"/>
        <v>687420</v>
      </c>
      <c r="P69" s="2">
        <f t="shared" si="27"/>
        <v>687420</v>
      </c>
      <c r="Q69" s="2">
        <f t="shared" si="27"/>
        <v>687420</v>
      </c>
      <c r="R69" s="2">
        <f t="shared" si="27"/>
        <v>687420</v>
      </c>
      <c r="S69" s="2">
        <f t="shared" si="27"/>
        <v>687420</v>
      </c>
      <c r="T69" s="2">
        <f t="shared" si="27"/>
        <v>308424</v>
      </c>
      <c r="U69" s="2">
        <f t="shared" si="27"/>
        <v>0</v>
      </c>
      <c r="V69" s="2">
        <f t="shared" si="27"/>
        <v>0</v>
      </c>
      <c r="W69" s="2">
        <f t="shared" si="27"/>
        <v>0</v>
      </c>
      <c r="X69" s="2">
        <f t="shared" ref="X69:AK69" si="28">SUMIF($A$5:$A$14,"YES",AJ$5:AJ$14)</f>
        <v>0</v>
      </c>
      <c r="Y69" s="2">
        <f t="shared" si="28"/>
        <v>0</v>
      </c>
      <c r="Z69" s="2">
        <f t="shared" si="28"/>
        <v>0</v>
      </c>
      <c r="AA69" s="2">
        <f t="shared" si="28"/>
        <v>0</v>
      </c>
      <c r="AB69" s="2">
        <f t="shared" si="28"/>
        <v>0</v>
      </c>
      <c r="AC69" s="2">
        <f t="shared" si="28"/>
        <v>0</v>
      </c>
      <c r="AD69" s="2">
        <f t="shared" si="28"/>
        <v>0</v>
      </c>
      <c r="AE69" s="2">
        <f t="shared" si="28"/>
        <v>0</v>
      </c>
      <c r="AF69" s="2">
        <f t="shared" si="28"/>
        <v>0</v>
      </c>
      <c r="AG69" s="2">
        <f t="shared" si="28"/>
        <v>0</v>
      </c>
      <c r="AH69" s="2">
        <f t="shared" si="28"/>
        <v>0</v>
      </c>
      <c r="AI69" s="2">
        <f t="shared" si="28"/>
        <v>0</v>
      </c>
      <c r="AJ69" s="2">
        <f t="shared" si="28"/>
        <v>0</v>
      </c>
      <c r="AK69" s="2">
        <f t="shared" si="28"/>
        <v>0</v>
      </c>
    </row>
    <row r="71" spans="1:50" ht="15.75" thickBot="1" x14ac:dyDescent="0.3">
      <c r="A71" s="3" t="s">
        <v>37</v>
      </c>
      <c r="B71" s="3"/>
      <c r="C71" s="6">
        <f t="shared" ref="C71:AX71" si="29">C66-C69</f>
        <v>-21993647.498156965</v>
      </c>
      <c r="D71" s="6">
        <f t="shared" si="29"/>
        <v>-42154073.99631393</v>
      </c>
      <c r="E71" s="6">
        <f t="shared" si="29"/>
        <v>-25579050.996313926</v>
      </c>
      <c r="F71" s="6">
        <f t="shared" si="29"/>
        <v>-16411156.996313926</v>
      </c>
      <c r="G71" s="6">
        <f t="shared" si="29"/>
        <v>4034986.0036860742</v>
      </c>
      <c r="H71" s="6">
        <f t="shared" si="29"/>
        <v>13673351.003686074</v>
      </c>
      <c r="I71" s="6">
        <f t="shared" si="29"/>
        <v>14112444.003686074</v>
      </c>
      <c r="J71" s="6">
        <f t="shared" si="29"/>
        <v>14309079.003686074</v>
      </c>
      <c r="K71" s="6">
        <f t="shared" si="29"/>
        <v>14090493.003686074</v>
      </c>
      <c r="L71" s="6">
        <f t="shared" si="29"/>
        <v>16925076.003686074</v>
      </c>
      <c r="M71" s="6">
        <f t="shared" si="29"/>
        <v>21750487.003686074</v>
      </c>
      <c r="N71" s="6">
        <f t="shared" si="29"/>
        <v>10959637.461296257</v>
      </c>
      <c r="O71" s="6">
        <f t="shared" si="29"/>
        <v>-687420</v>
      </c>
      <c r="P71" s="6">
        <f t="shared" si="29"/>
        <v>-687420</v>
      </c>
      <c r="Q71" s="6">
        <f t="shared" si="29"/>
        <v>-687420</v>
      </c>
      <c r="R71" s="6">
        <f t="shared" si="29"/>
        <v>-687420</v>
      </c>
      <c r="S71" s="6">
        <f t="shared" si="29"/>
        <v>-687420</v>
      </c>
      <c r="T71" s="6">
        <f t="shared" si="29"/>
        <v>-308424</v>
      </c>
      <c r="U71" s="6">
        <f t="shared" si="29"/>
        <v>0</v>
      </c>
      <c r="V71" s="6">
        <f t="shared" si="29"/>
        <v>0</v>
      </c>
      <c r="W71" s="6">
        <f t="shared" si="29"/>
        <v>0</v>
      </c>
      <c r="X71" s="6">
        <f t="shared" si="29"/>
        <v>0</v>
      </c>
      <c r="Y71" s="6">
        <f t="shared" si="29"/>
        <v>0</v>
      </c>
      <c r="Z71" s="6">
        <f t="shared" si="29"/>
        <v>0</v>
      </c>
      <c r="AA71" s="6">
        <f t="shared" si="29"/>
        <v>0</v>
      </c>
      <c r="AB71" s="6">
        <f t="shared" si="29"/>
        <v>0</v>
      </c>
      <c r="AC71" s="6">
        <f t="shared" si="29"/>
        <v>0</v>
      </c>
      <c r="AD71" s="6">
        <f t="shared" si="29"/>
        <v>0</v>
      </c>
      <c r="AE71" s="6">
        <f t="shared" si="29"/>
        <v>0</v>
      </c>
      <c r="AF71" s="6">
        <f t="shared" si="29"/>
        <v>0</v>
      </c>
      <c r="AG71" s="6">
        <f t="shared" si="29"/>
        <v>0</v>
      </c>
      <c r="AH71" s="6">
        <f t="shared" si="29"/>
        <v>0</v>
      </c>
      <c r="AI71" s="6">
        <f t="shared" si="29"/>
        <v>0</v>
      </c>
      <c r="AJ71" s="6">
        <f t="shared" si="29"/>
        <v>0</v>
      </c>
      <c r="AK71" s="6">
        <f t="shared" si="29"/>
        <v>0</v>
      </c>
      <c r="AL71" s="6">
        <f t="shared" si="29"/>
        <v>0</v>
      </c>
      <c r="AM71" s="6">
        <f t="shared" si="29"/>
        <v>0</v>
      </c>
      <c r="AN71" s="6">
        <f t="shared" si="29"/>
        <v>0</v>
      </c>
      <c r="AO71" s="6">
        <f t="shared" si="29"/>
        <v>0</v>
      </c>
      <c r="AP71" s="6">
        <f t="shared" si="29"/>
        <v>0</v>
      </c>
      <c r="AQ71" s="6">
        <f t="shared" si="29"/>
        <v>0</v>
      </c>
      <c r="AR71" s="6">
        <f t="shared" si="29"/>
        <v>0</v>
      </c>
      <c r="AS71" s="6">
        <f t="shared" si="29"/>
        <v>0</v>
      </c>
      <c r="AT71" s="6">
        <f t="shared" si="29"/>
        <v>0</v>
      </c>
      <c r="AU71" s="6">
        <f t="shared" si="29"/>
        <v>0</v>
      </c>
      <c r="AV71" s="6">
        <f t="shared" si="29"/>
        <v>0</v>
      </c>
      <c r="AW71" s="6">
        <f t="shared" si="29"/>
        <v>0</v>
      </c>
      <c r="AX71" s="6">
        <f t="shared" si="29"/>
        <v>0</v>
      </c>
    </row>
    <row r="72" spans="1:50" ht="15.75" thickTop="1" x14ac:dyDescent="0.25"/>
    <row r="74" spans="1:50" x14ac:dyDescent="0.25">
      <c r="A74" s="3" t="s">
        <v>38</v>
      </c>
      <c r="B74" s="9"/>
      <c r="C74" s="9">
        <v>2020</v>
      </c>
      <c r="D74" s="9">
        <v>2021</v>
      </c>
      <c r="E74" s="9">
        <v>2022</v>
      </c>
      <c r="F74" s="9">
        <v>2023</v>
      </c>
      <c r="G74" s="9">
        <v>2024</v>
      </c>
      <c r="H74" s="9">
        <v>2025</v>
      </c>
      <c r="I74" s="9">
        <v>2026</v>
      </c>
      <c r="J74" s="9">
        <v>2027</v>
      </c>
      <c r="K74" s="9">
        <v>2028</v>
      </c>
      <c r="L74" s="9">
        <v>2029</v>
      </c>
      <c r="M74" s="9">
        <v>2030</v>
      </c>
      <c r="N74" s="9">
        <v>2031</v>
      </c>
      <c r="O74" s="9">
        <v>2032</v>
      </c>
      <c r="P74" s="9">
        <v>2033</v>
      </c>
      <c r="Q74" s="9">
        <v>2034</v>
      </c>
      <c r="R74" s="9">
        <v>2035</v>
      </c>
      <c r="S74" s="9">
        <v>2036</v>
      </c>
      <c r="T74" s="9">
        <v>2037</v>
      </c>
      <c r="U74" s="9">
        <v>2038</v>
      </c>
      <c r="V74" s="9">
        <v>2039</v>
      </c>
      <c r="W74" s="9">
        <v>2040</v>
      </c>
      <c r="X74" s="9">
        <v>2041</v>
      </c>
      <c r="Y74" s="9">
        <v>2042</v>
      </c>
      <c r="Z74" s="9">
        <v>2044</v>
      </c>
      <c r="AA74" s="9">
        <v>2045</v>
      </c>
      <c r="AB74" s="9">
        <v>2046</v>
      </c>
      <c r="AC74" s="9">
        <v>2047</v>
      </c>
      <c r="AD74" s="9">
        <v>2048</v>
      </c>
      <c r="AE74" s="9">
        <v>2049</v>
      </c>
      <c r="AF74" s="9">
        <v>2050</v>
      </c>
      <c r="AG74" s="9">
        <v>2051</v>
      </c>
      <c r="AH74" s="9">
        <v>2052</v>
      </c>
      <c r="AI74" s="9">
        <v>2053</v>
      </c>
      <c r="AJ74" s="9">
        <v>2054</v>
      </c>
      <c r="AK74" s="9">
        <v>2055</v>
      </c>
      <c r="AL74" s="9">
        <v>2056</v>
      </c>
      <c r="AM74" s="9">
        <v>2057</v>
      </c>
      <c r="AN74" s="9">
        <v>2058</v>
      </c>
      <c r="AO74" s="9">
        <v>2059</v>
      </c>
      <c r="AP74" s="9">
        <v>2060</v>
      </c>
      <c r="AQ74" s="9">
        <v>2061</v>
      </c>
      <c r="AR74" s="9">
        <v>2062</v>
      </c>
      <c r="AS74" s="9">
        <v>2063</v>
      </c>
      <c r="AT74" s="9">
        <v>2064</v>
      </c>
      <c r="AU74" s="9">
        <v>2065</v>
      </c>
      <c r="AV74" s="9">
        <v>2066</v>
      </c>
      <c r="AW74" s="9">
        <v>2067</v>
      </c>
      <c r="AX74" s="9">
        <v>2068</v>
      </c>
    </row>
    <row r="76" spans="1:50" x14ac:dyDescent="0.25">
      <c r="A76" s="8" t="s">
        <v>39</v>
      </c>
    </row>
    <row r="77" spans="1:50" x14ac:dyDescent="0.25">
      <c r="A77" t="s">
        <v>26</v>
      </c>
      <c r="B77" s="12"/>
      <c r="C77" s="12">
        <f>C$55*ARAM!$D$8</f>
        <v>3405703.0286007412</v>
      </c>
      <c r="D77" s="12">
        <f>D$55*ARAM!$D$8</f>
        <v>6383857.7352846777</v>
      </c>
      <c r="E77" s="12">
        <f>E$55*ARAM!$D$8</f>
        <v>6485866.6925052283</v>
      </c>
      <c r="F77" s="12">
        <f>F$55*ARAM!$D$8</f>
        <v>6282577.1125881774</v>
      </c>
      <c r="G77" s="12">
        <f>G$55*ARAM!$D$8</f>
        <v>6343903.63958026</v>
      </c>
      <c r="H77" s="12">
        <f>H$55*ARAM!$D$8</f>
        <v>6461166.9792980943</v>
      </c>
      <c r="I77" s="12">
        <f>I$55*ARAM!$D$8</f>
        <v>6636475.949074951</v>
      </c>
      <c r="J77" s="12">
        <f>J$55*ARAM!$D$8</f>
        <v>6378193.033612214</v>
      </c>
      <c r="K77" s="12">
        <f>K$55*ARAM!$D$8</f>
        <v>6718876.3389037326</v>
      </c>
      <c r="L77" s="12">
        <f>L$55*ARAM!$D$8</f>
        <v>6946230.1014662087</v>
      </c>
      <c r="M77" s="12">
        <f>M$55*ARAM!$D$8</f>
        <v>6919059.0239527961</v>
      </c>
      <c r="N77" s="12">
        <f>N$55*ARAM!$D$8</f>
        <v>6595835.2152233757</v>
      </c>
      <c r="O77" s="12">
        <f>O$55*ARAM!$D$8</f>
        <v>6277813.7375731105</v>
      </c>
      <c r="P77" s="12">
        <f>P$55*ARAM!$D$8</f>
        <v>6542545.6226045908</v>
      </c>
      <c r="Q77" s="12">
        <f>Q$55*ARAM!$D$8</f>
        <v>6480721.2594767362</v>
      </c>
      <c r="R77" s="12">
        <f>R$55*ARAM!$D$8</f>
        <v>5795835.1490259729</v>
      </c>
      <c r="S77" s="12">
        <f>S$55*ARAM!$D$8</f>
        <v>5699800.3457703711</v>
      </c>
      <c r="T77" s="12">
        <f>T$55*ARAM!$D$8</f>
        <v>5338083.9260114394</v>
      </c>
      <c r="U77" s="12">
        <f>U$55*ARAM!$D$8</f>
        <v>5152690.1225349195</v>
      </c>
      <c r="V77" s="12">
        <f>V$55*ARAM!$D$8</f>
        <v>4962344.2433664547</v>
      </c>
      <c r="W77" s="12">
        <f>W$55*ARAM!$D$8</f>
        <v>4703094.7345184619</v>
      </c>
      <c r="X77" s="12">
        <f>X$55*ARAM!$D$8</f>
        <v>4518881.9194725314</v>
      </c>
      <c r="Y77" s="12">
        <f>Y$55*ARAM!$D$8</f>
        <v>4329055.1089853542</v>
      </c>
      <c r="Z77" s="12">
        <f>Z$55*ARAM!$D$8</f>
        <v>3952989.4829312591</v>
      </c>
      <c r="AA77" s="12">
        <f>AA$55*ARAM!$D$8</f>
        <v>3841617.6007571993</v>
      </c>
      <c r="AB77" s="12">
        <f>AB$55*ARAM!$D$8</f>
        <v>3728508.8372729747</v>
      </c>
      <c r="AC77" s="12">
        <f>AC$55*ARAM!$D$8</f>
        <v>3605174.997967008</v>
      </c>
      <c r="AD77" s="12">
        <f>AD$55*ARAM!$D$8</f>
        <v>3474606.047747443</v>
      </c>
      <c r="AE77" s="12">
        <f>AE$55*ARAM!$D$8</f>
        <v>3348558.1870407518</v>
      </c>
      <c r="AF77" s="12">
        <f>AF$55*ARAM!$D$8</f>
        <v>3137864.4768402795</v>
      </c>
      <c r="AG77" s="12">
        <f>AG$55*ARAM!$D$8</f>
        <v>2956816.3993852953</v>
      </c>
      <c r="AH77" s="12">
        <f>AH$55*ARAM!$D$8</f>
        <v>2786214.409258835</v>
      </c>
      <c r="AI77" s="12">
        <f>AI$55*ARAM!$D$8</f>
        <v>2625455.7895361502</v>
      </c>
      <c r="AJ77" s="12">
        <f>AJ$55*ARAM!$D$8</f>
        <v>2473972.5987715758</v>
      </c>
      <c r="AK77" s="12">
        <f>AK$55*ARAM!$D$8</f>
        <v>2331229.6645276677</v>
      </c>
      <c r="AL77" s="12">
        <f>AL$55*ARAM!$D$8</f>
        <v>2196722.6926734322</v>
      </c>
      <c r="AM77" s="12">
        <f>AM$55*ARAM!$D$8</f>
        <v>2069976.4857719969</v>
      </c>
      <c r="AN77" s="12">
        <f>AN$55*ARAM!$D$8</f>
        <v>1950543.2642635209</v>
      </c>
      <c r="AO77" s="12">
        <f>AO$55*ARAM!$D$8</f>
        <v>1838001.0845122519</v>
      </c>
      <c r="AP77" s="12">
        <f>AP$55*ARAM!$D$8</f>
        <v>1731952.3481288999</v>
      </c>
      <c r="AQ77" s="12">
        <f>AQ$55*ARAM!$D$8</f>
        <v>1632022.3973019186</v>
      </c>
      <c r="AR77" s="12">
        <f>AR$55*ARAM!$D$8</f>
        <v>1537858.1911751707</v>
      </c>
      <c r="AS77" s="12">
        <f>AS$55*ARAM!$D$8</f>
        <v>1449127.0585957835</v>
      </c>
      <c r="AT77" s="12">
        <f>AT$55*ARAM!$D$8</f>
        <v>1365515.5228257773</v>
      </c>
      <c r="AU77" s="12">
        <f>AU$55*ARAM!$D$8</f>
        <v>1286728.1940653296</v>
      </c>
      <c r="AV77" s="12">
        <f>AV$55*ARAM!$D$8</f>
        <v>1212486.7258750799</v>
      </c>
      <c r="AW77" s="12">
        <f>AW$55*ARAM!$D$8</f>
        <v>1142528.8318106371</v>
      </c>
      <c r="AX77" s="12">
        <f>AX$55*ARAM!$D$8</f>
        <v>867216.6157655128</v>
      </c>
    </row>
    <row r="78" spans="1:50" x14ac:dyDescent="0.25">
      <c r="A78" t="s">
        <v>27</v>
      </c>
      <c r="B78" s="12"/>
      <c r="C78" s="12">
        <f>C77+B78</f>
        <v>3405703.0286007412</v>
      </c>
      <c r="D78" s="12">
        <f t="shared" ref="D78" si="30">D77+C78</f>
        <v>9789560.7638854198</v>
      </c>
      <c r="E78" s="12">
        <f>E77+D78</f>
        <v>16275427.456390649</v>
      </c>
      <c r="F78" s="12">
        <f t="shared" ref="F78" si="31">F77+E78</f>
        <v>22558004.568978827</v>
      </c>
      <c r="G78" s="12">
        <f>G77+F78</f>
        <v>28901908.208559088</v>
      </c>
      <c r="H78" s="12">
        <f t="shared" ref="H78" si="32">H77+G78</f>
        <v>35363075.187857181</v>
      </c>
      <c r="I78" s="12">
        <f>I77+H78</f>
        <v>41999551.136932135</v>
      </c>
      <c r="J78" s="12">
        <f t="shared" ref="J78" si="33">J77+I78</f>
        <v>48377744.170544349</v>
      </c>
      <c r="K78" s="12">
        <f>K77+J78</f>
        <v>55096620.509448081</v>
      </c>
      <c r="L78" s="12">
        <f t="shared" ref="L78:AX78" si="34">L77+K78</f>
        <v>62042850.61091429</v>
      </c>
      <c r="M78" s="12">
        <f t="shared" si="34"/>
        <v>68961909.634867087</v>
      </c>
      <c r="N78" s="12">
        <f t="shared" si="34"/>
        <v>75557744.850090459</v>
      </c>
      <c r="O78" s="12">
        <f t="shared" si="34"/>
        <v>81835558.587663576</v>
      </c>
      <c r="P78" s="12">
        <f t="shared" si="34"/>
        <v>88378104.21026817</v>
      </c>
      <c r="Q78" s="12">
        <f t="shared" si="34"/>
        <v>94858825.469744906</v>
      </c>
      <c r="R78" s="12">
        <f t="shared" si="34"/>
        <v>100654660.61877088</v>
      </c>
      <c r="S78" s="12">
        <f t="shared" si="34"/>
        <v>106354460.96454126</v>
      </c>
      <c r="T78" s="12">
        <f t="shared" si="34"/>
        <v>111692544.8905527</v>
      </c>
      <c r="U78" s="12">
        <f t="shared" si="34"/>
        <v>116845235.01308762</v>
      </c>
      <c r="V78" s="12">
        <f t="shared" si="34"/>
        <v>121807579.25645407</v>
      </c>
      <c r="W78" s="12">
        <f t="shared" si="34"/>
        <v>126510673.99097253</v>
      </c>
      <c r="X78" s="12">
        <f t="shared" si="34"/>
        <v>131029555.91044506</v>
      </c>
      <c r="Y78" s="12">
        <f t="shared" si="34"/>
        <v>135358611.01943043</v>
      </c>
      <c r="Z78" s="12">
        <f t="shared" si="34"/>
        <v>139311600.50236169</v>
      </c>
      <c r="AA78" s="12">
        <f t="shared" si="34"/>
        <v>143153218.1031189</v>
      </c>
      <c r="AB78" s="12">
        <f t="shared" si="34"/>
        <v>146881726.94039187</v>
      </c>
      <c r="AC78" s="12">
        <f t="shared" si="34"/>
        <v>150486901.93835887</v>
      </c>
      <c r="AD78" s="12">
        <f t="shared" si="34"/>
        <v>153961507.98610631</v>
      </c>
      <c r="AE78" s="12">
        <f t="shared" si="34"/>
        <v>157310066.17314705</v>
      </c>
      <c r="AF78" s="12">
        <f t="shared" si="34"/>
        <v>160447930.64998734</v>
      </c>
      <c r="AG78" s="12">
        <f t="shared" si="34"/>
        <v>163404747.04937264</v>
      </c>
      <c r="AH78" s="12">
        <f t="shared" si="34"/>
        <v>166190961.45863149</v>
      </c>
      <c r="AI78" s="12">
        <f t="shared" si="34"/>
        <v>168816417.24816763</v>
      </c>
      <c r="AJ78" s="12">
        <f t="shared" si="34"/>
        <v>171290389.84693921</v>
      </c>
      <c r="AK78" s="12">
        <f t="shared" si="34"/>
        <v>173621619.51146686</v>
      </c>
      <c r="AL78" s="12">
        <f t="shared" si="34"/>
        <v>175818342.20414031</v>
      </c>
      <c r="AM78" s="12">
        <f t="shared" si="34"/>
        <v>177888318.68991229</v>
      </c>
      <c r="AN78" s="12">
        <f t="shared" si="34"/>
        <v>179838861.9541758</v>
      </c>
      <c r="AO78" s="12">
        <f t="shared" si="34"/>
        <v>181676863.03868806</v>
      </c>
      <c r="AP78" s="12">
        <f t="shared" si="34"/>
        <v>183408815.38681698</v>
      </c>
      <c r="AQ78" s="12">
        <f t="shared" si="34"/>
        <v>185040837.78411889</v>
      </c>
      <c r="AR78" s="12">
        <f t="shared" si="34"/>
        <v>186578695.97529405</v>
      </c>
      <c r="AS78" s="12">
        <f t="shared" si="34"/>
        <v>188027823.03388983</v>
      </c>
      <c r="AT78" s="12">
        <f t="shared" si="34"/>
        <v>189393338.55671561</v>
      </c>
      <c r="AU78" s="12">
        <f t="shared" si="34"/>
        <v>190680066.75078094</v>
      </c>
      <c r="AV78" s="12">
        <f t="shared" si="34"/>
        <v>191892553.47665602</v>
      </c>
      <c r="AW78" s="12">
        <f t="shared" si="34"/>
        <v>193035082.30846664</v>
      </c>
      <c r="AX78" s="12">
        <f t="shared" si="34"/>
        <v>193902298.92423216</v>
      </c>
    </row>
    <row r="80" spans="1:50" x14ac:dyDescent="0.25">
      <c r="A80" s="8" t="s">
        <v>40</v>
      </c>
    </row>
    <row r="81" spans="1:50" x14ac:dyDescent="0.25">
      <c r="A81" t="s">
        <v>34</v>
      </c>
      <c r="C81" s="170">
        <f>SUMIF(A$16:A$19,"YES",I$16:I$19)</f>
        <v>70600150</v>
      </c>
      <c r="D81" s="2">
        <f>C83</f>
        <v>66685675.368931651</v>
      </c>
      <c r="E81" s="2">
        <f>D83</f>
        <v>58856726.106794953</v>
      </c>
      <c r="F81" s="2">
        <f t="shared" ref="F81:AK81" si="35">E83</f>
        <v>51027776.844658256</v>
      </c>
      <c r="G81" s="2">
        <f t="shared" si="35"/>
        <v>43198827.582521558</v>
      </c>
      <c r="H81" s="2">
        <f t="shared" si="35"/>
        <v>35369878.32038486</v>
      </c>
      <c r="I81" s="2">
        <f t="shared" si="35"/>
        <v>27540929.058248162</v>
      </c>
      <c r="J81" s="2">
        <f t="shared" si="35"/>
        <v>19711979.796111465</v>
      </c>
      <c r="K81" s="2">
        <f t="shared" si="35"/>
        <v>11883030.533974769</v>
      </c>
      <c r="L81" s="2">
        <f t="shared" si="35"/>
        <v>4054081.2718380727</v>
      </c>
      <c r="M81" s="2">
        <f t="shared" si="35"/>
        <v>0</v>
      </c>
      <c r="N81" s="2">
        <f t="shared" si="35"/>
        <v>0</v>
      </c>
      <c r="O81" s="2">
        <f t="shared" si="35"/>
        <v>0</v>
      </c>
      <c r="P81" s="2">
        <f t="shared" si="35"/>
        <v>0</v>
      </c>
      <c r="Q81" s="2">
        <f t="shared" si="35"/>
        <v>0</v>
      </c>
      <c r="R81" s="2">
        <f t="shared" si="35"/>
        <v>0</v>
      </c>
      <c r="S81" s="2">
        <f t="shared" si="35"/>
        <v>0</v>
      </c>
      <c r="T81" s="2">
        <f t="shared" si="35"/>
        <v>0</v>
      </c>
      <c r="U81" s="2">
        <f t="shared" si="35"/>
        <v>0</v>
      </c>
      <c r="V81" s="2">
        <f t="shared" si="35"/>
        <v>0</v>
      </c>
      <c r="W81" s="2">
        <f t="shared" si="35"/>
        <v>0</v>
      </c>
      <c r="X81" s="2">
        <f t="shared" si="35"/>
        <v>0</v>
      </c>
      <c r="Y81" s="2">
        <f t="shared" si="35"/>
        <v>0</v>
      </c>
      <c r="Z81" s="2">
        <f t="shared" si="35"/>
        <v>0</v>
      </c>
      <c r="AA81" s="2">
        <f t="shared" si="35"/>
        <v>0</v>
      </c>
      <c r="AB81" s="2">
        <f t="shared" si="35"/>
        <v>0</v>
      </c>
      <c r="AC81" s="2">
        <f t="shared" si="35"/>
        <v>0</v>
      </c>
      <c r="AD81" s="2">
        <f t="shared" si="35"/>
        <v>0</v>
      </c>
      <c r="AE81" s="2">
        <f t="shared" si="35"/>
        <v>0</v>
      </c>
      <c r="AF81" s="2">
        <f t="shared" si="35"/>
        <v>0</v>
      </c>
      <c r="AG81" s="2">
        <f t="shared" si="35"/>
        <v>0</v>
      </c>
      <c r="AH81" s="2">
        <f t="shared" si="35"/>
        <v>0</v>
      </c>
      <c r="AI81" s="2">
        <f t="shared" si="35"/>
        <v>0</v>
      </c>
      <c r="AJ81" s="2">
        <f t="shared" si="35"/>
        <v>0</v>
      </c>
      <c r="AK81" s="2">
        <f t="shared" si="35"/>
        <v>0</v>
      </c>
    </row>
    <row r="82" spans="1:50" ht="17.25" x14ac:dyDescent="0.4">
      <c r="A82" t="s">
        <v>28</v>
      </c>
      <c r="B82" s="12">
        <f>COUNTIF(C82:AK82,"&gt;0")</f>
        <v>10</v>
      </c>
      <c r="C82" s="13">
        <f>MIN(C81,ARAM!C8/2)</f>
        <v>3914474.631068348</v>
      </c>
      <c r="D82" s="13">
        <f>MIN(ARAM!$C$8,D81)</f>
        <v>7828949.2621366959</v>
      </c>
      <c r="E82" s="13">
        <f>MIN(ARAM!$C$8,E81)</f>
        <v>7828949.2621366959</v>
      </c>
      <c r="F82" s="13">
        <f>MIN(ARAM!$C$8,F81)</f>
        <v>7828949.2621366959</v>
      </c>
      <c r="G82" s="13">
        <f>MIN(ARAM!$C$8,G81)</f>
        <v>7828949.2621366959</v>
      </c>
      <c r="H82" s="13">
        <f>MIN(ARAM!$C$8,H81)</f>
        <v>7828949.2621366959</v>
      </c>
      <c r="I82" s="13">
        <f>MIN(ARAM!$C$8,I81)</f>
        <v>7828949.2621366959</v>
      </c>
      <c r="J82" s="13">
        <f>MIN(ARAM!$C$8,J81)</f>
        <v>7828949.2621366959</v>
      </c>
      <c r="K82" s="13">
        <f>MIN(ARAM!$C$8,K81)</f>
        <v>7828949.2621366959</v>
      </c>
      <c r="L82" s="13">
        <f>MIN(ARAM!$C$8,L81)</f>
        <v>4054081.2718380727</v>
      </c>
      <c r="M82" s="13">
        <f>MIN(ARAM!$C$8,M81)</f>
        <v>0</v>
      </c>
      <c r="N82" s="13">
        <f>MIN(ARAM!$C$8,N81)</f>
        <v>0</v>
      </c>
      <c r="O82" s="13">
        <f>MIN(ARAM!$C$8,O81)</f>
        <v>0</v>
      </c>
      <c r="P82" s="13">
        <f>MIN(ARAM!$C$8,P81)</f>
        <v>0</v>
      </c>
      <c r="Q82" s="13">
        <f>MIN(ARAM!$C$8,Q81)</f>
        <v>0</v>
      </c>
      <c r="R82" s="13">
        <f>MIN(ARAM!$C$8,R81)</f>
        <v>0</v>
      </c>
      <c r="S82" s="13">
        <f>MIN(ARAM!$C$8,S81)</f>
        <v>0</v>
      </c>
      <c r="T82" s="13">
        <f>MIN(ARAM!$C$8,T81)</f>
        <v>0</v>
      </c>
      <c r="U82" s="13">
        <f>MIN(ARAM!$C$8,U81)</f>
        <v>0</v>
      </c>
      <c r="V82" s="13">
        <f>MIN(ARAM!$C$8,V81)</f>
        <v>0</v>
      </c>
      <c r="W82" s="13">
        <f>MIN(ARAM!$C$8,W81)</f>
        <v>0</v>
      </c>
      <c r="X82" s="13">
        <f>MIN(ARAM!$C$8,X81)</f>
        <v>0</v>
      </c>
      <c r="Y82" s="13">
        <f>MIN(ARAM!$C$8,Y81)</f>
        <v>0</v>
      </c>
      <c r="Z82" s="13">
        <f>MIN(ARAM!$C$8,Z81)</f>
        <v>0</v>
      </c>
      <c r="AA82" s="13">
        <f>MIN(ARAM!$C$8,AA81)</f>
        <v>0</v>
      </c>
      <c r="AB82" s="13">
        <f>MIN(ARAM!$C$8,AB81)</f>
        <v>0</v>
      </c>
      <c r="AC82" s="13">
        <f>MIN(ARAM!$C$8,AC81)</f>
        <v>0</v>
      </c>
      <c r="AD82" s="13">
        <f>MIN(ARAM!$C$8,AD81)</f>
        <v>0</v>
      </c>
      <c r="AE82" s="13">
        <f>MIN(ARAM!$C$8,AE81)</f>
        <v>0</v>
      </c>
      <c r="AF82" s="13">
        <f>MIN(ARAM!$C$8,AF81)</f>
        <v>0</v>
      </c>
      <c r="AG82" s="13">
        <f>MIN(ARAM!$C$8,AG81)</f>
        <v>0</v>
      </c>
      <c r="AH82" s="13">
        <f>MIN(ARAM!$C$8,AH81)</f>
        <v>0</v>
      </c>
      <c r="AI82" s="13">
        <f>MIN(ARAM!$C$8,AI81)</f>
        <v>0</v>
      </c>
      <c r="AJ82" s="13">
        <f>MIN(ARAM!$C$8,AJ81)</f>
        <v>0</v>
      </c>
      <c r="AK82" s="13">
        <f>MIN(ARAM!$C$8,AK81)</f>
        <v>0</v>
      </c>
    </row>
    <row r="83" spans="1:50" x14ac:dyDescent="0.25">
      <c r="A83" t="s">
        <v>35</v>
      </c>
      <c r="C83" s="2">
        <f>MAX(C81-C82,0)</f>
        <v>66685675.368931651</v>
      </c>
      <c r="D83" s="2">
        <f t="shared" ref="D83:AK83" si="36">MAX(D81-D82,0)</f>
        <v>58856726.106794953</v>
      </c>
      <c r="E83" s="2">
        <f t="shared" si="36"/>
        <v>51027776.844658256</v>
      </c>
      <c r="F83" s="2">
        <f t="shared" si="36"/>
        <v>43198827.582521558</v>
      </c>
      <c r="G83" s="2">
        <f t="shared" si="36"/>
        <v>35369878.32038486</v>
      </c>
      <c r="H83" s="2">
        <f t="shared" si="36"/>
        <v>27540929.058248162</v>
      </c>
      <c r="I83" s="2">
        <f t="shared" si="36"/>
        <v>19711979.796111465</v>
      </c>
      <c r="J83" s="2">
        <f t="shared" si="36"/>
        <v>11883030.533974769</v>
      </c>
      <c r="K83" s="2">
        <f t="shared" si="36"/>
        <v>4054081.2718380727</v>
      </c>
      <c r="L83" s="2">
        <f t="shared" si="36"/>
        <v>0</v>
      </c>
      <c r="M83" s="2">
        <f t="shared" si="36"/>
        <v>0</v>
      </c>
      <c r="N83" s="2">
        <f t="shared" si="36"/>
        <v>0</v>
      </c>
      <c r="O83" s="2">
        <f t="shared" si="36"/>
        <v>0</v>
      </c>
      <c r="P83" s="2">
        <f t="shared" si="36"/>
        <v>0</v>
      </c>
      <c r="Q83" s="2">
        <f t="shared" si="36"/>
        <v>0</v>
      </c>
      <c r="R83" s="2">
        <f t="shared" si="36"/>
        <v>0</v>
      </c>
      <c r="S83" s="2">
        <f t="shared" si="36"/>
        <v>0</v>
      </c>
      <c r="T83" s="2">
        <f t="shared" si="36"/>
        <v>0</v>
      </c>
      <c r="U83" s="2">
        <f t="shared" si="36"/>
        <v>0</v>
      </c>
      <c r="V83" s="2">
        <f t="shared" si="36"/>
        <v>0</v>
      </c>
      <c r="W83" s="2">
        <f t="shared" si="36"/>
        <v>0</v>
      </c>
      <c r="X83" s="2">
        <f t="shared" si="36"/>
        <v>0</v>
      </c>
      <c r="Y83" s="2">
        <f t="shared" si="36"/>
        <v>0</v>
      </c>
      <c r="Z83" s="2">
        <f t="shared" si="36"/>
        <v>0</v>
      </c>
      <c r="AA83" s="2">
        <f t="shared" si="36"/>
        <v>0</v>
      </c>
      <c r="AB83" s="2">
        <f t="shared" si="36"/>
        <v>0</v>
      </c>
      <c r="AC83" s="2">
        <f t="shared" si="36"/>
        <v>0</v>
      </c>
      <c r="AD83" s="2">
        <f t="shared" si="36"/>
        <v>0</v>
      </c>
      <c r="AE83" s="2">
        <f t="shared" si="36"/>
        <v>0</v>
      </c>
      <c r="AF83" s="2">
        <f t="shared" si="36"/>
        <v>0</v>
      </c>
      <c r="AG83" s="2">
        <f t="shared" si="36"/>
        <v>0</v>
      </c>
      <c r="AH83" s="2">
        <f t="shared" si="36"/>
        <v>0</v>
      </c>
      <c r="AI83" s="2">
        <f t="shared" si="36"/>
        <v>0</v>
      </c>
      <c r="AJ83" s="2">
        <f t="shared" si="36"/>
        <v>0</v>
      </c>
      <c r="AK83" s="2">
        <f t="shared" si="36"/>
        <v>0</v>
      </c>
    </row>
    <row r="85" spans="1:50" x14ac:dyDescent="0.25">
      <c r="A85" t="s">
        <v>41</v>
      </c>
      <c r="C85" s="170">
        <f t="shared" ref="C85:W85" si="37">SUMIF($A$16:$A$19,"YES",M$16:M$19)</f>
        <v>25092338</v>
      </c>
      <c r="D85" s="17">
        <f t="shared" si="37"/>
        <v>45507812</v>
      </c>
      <c r="E85" s="17">
        <f t="shared" si="37"/>
        <v>0</v>
      </c>
      <c r="F85" s="17">
        <f t="shared" si="37"/>
        <v>0</v>
      </c>
      <c r="G85" s="17">
        <f t="shared" si="37"/>
        <v>0</v>
      </c>
      <c r="H85" s="17">
        <f t="shared" si="37"/>
        <v>0</v>
      </c>
      <c r="I85" s="17">
        <f t="shared" si="37"/>
        <v>0</v>
      </c>
      <c r="J85" s="17">
        <f t="shared" si="37"/>
        <v>0</v>
      </c>
      <c r="K85" s="17">
        <f t="shared" si="37"/>
        <v>0</v>
      </c>
      <c r="L85" s="17">
        <f t="shared" si="37"/>
        <v>0</v>
      </c>
      <c r="M85" s="17">
        <f t="shared" si="37"/>
        <v>0</v>
      </c>
      <c r="N85" s="17">
        <f t="shared" si="37"/>
        <v>0</v>
      </c>
      <c r="O85" s="17">
        <f t="shared" si="37"/>
        <v>0</v>
      </c>
      <c r="P85" s="17">
        <f t="shared" si="37"/>
        <v>0</v>
      </c>
      <c r="Q85" s="17">
        <f t="shared" si="37"/>
        <v>0</v>
      </c>
      <c r="R85" s="17">
        <f t="shared" si="37"/>
        <v>0</v>
      </c>
      <c r="S85" s="17">
        <f t="shared" si="37"/>
        <v>0</v>
      </c>
      <c r="T85" s="17">
        <f t="shared" si="37"/>
        <v>0</v>
      </c>
      <c r="U85" s="17">
        <f t="shared" si="37"/>
        <v>0</v>
      </c>
      <c r="V85" s="17">
        <f t="shared" si="37"/>
        <v>0</v>
      </c>
      <c r="W85" s="17">
        <f t="shared" si="37"/>
        <v>0</v>
      </c>
      <c r="X85" s="17">
        <f t="shared" ref="X85:AK85" si="38">SUMIF($A$16:$A$19,"YES",AJ$16:AJ$19)</f>
        <v>0</v>
      </c>
      <c r="Y85" s="17">
        <f t="shared" si="38"/>
        <v>0</v>
      </c>
      <c r="Z85" s="17">
        <f t="shared" si="38"/>
        <v>0</v>
      </c>
      <c r="AA85" s="17">
        <f t="shared" si="38"/>
        <v>0</v>
      </c>
      <c r="AB85" s="17">
        <f t="shared" si="38"/>
        <v>0</v>
      </c>
      <c r="AC85" s="17">
        <f t="shared" si="38"/>
        <v>0</v>
      </c>
      <c r="AD85" s="17">
        <f t="shared" si="38"/>
        <v>0</v>
      </c>
      <c r="AE85" s="17">
        <f t="shared" si="38"/>
        <v>0</v>
      </c>
      <c r="AF85" s="17">
        <f t="shared" si="38"/>
        <v>0</v>
      </c>
      <c r="AG85" s="17">
        <f t="shared" si="38"/>
        <v>0</v>
      </c>
      <c r="AH85" s="17">
        <f t="shared" si="38"/>
        <v>0</v>
      </c>
      <c r="AI85" s="17">
        <f t="shared" si="38"/>
        <v>0</v>
      </c>
      <c r="AJ85" s="17">
        <f t="shared" si="38"/>
        <v>0</v>
      </c>
      <c r="AK85" s="17">
        <f t="shared" si="38"/>
        <v>0</v>
      </c>
    </row>
    <row r="87" spans="1:50" ht="15.75" thickBot="1" x14ac:dyDescent="0.3">
      <c r="A87" s="3" t="s">
        <v>42</v>
      </c>
      <c r="B87" s="3"/>
      <c r="C87" s="6">
        <f t="shared" ref="C87:AX87" si="39">C82-C85</f>
        <v>-21177863.368931651</v>
      </c>
      <c r="D87" s="6">
        <f t="shared" si="39"/>
        <v>-37678862.737863302</v>
      </c>
      <c r="E87" s="6">
        <f t="shared" si="39"/>
        <v>7828949.2621366959</v>
      </c>
      <c r="F87" s="6">
        <f t="shared" si="39"/>
        <v>7828949.2621366959</v>
      </c>
      <c r="G87" s="6">
        <f t="shared" si="39"/>
        <v>7828949.2621366959</v>
      </c>
      <c r="H87" s="6">
        <f t="shared" si="39"/>
        <v>7828949.2621366959</v>
      </c>
      <c r="I87" s="6">
        <f t="shared" si="39"/>
        <v>7828949.2621366959</v>
      </c>
      <c r="J87" s="6">
        <f t="shared" si="39"/>
        <v>7828949.2621366959</v>
      </c>
      <c r="K87" s="6">
        <f t="shared" si="39"/>
        <v>7828949.2621366959</v>
      </c>
      <c r="L87" s="6">
        <f t="shared" si="39"/>
        <v>4054081.2718380727</v>
      </c>
      <c r="M87" s="6">
        <f t="shared" si="39"/>
        <v>0</v>
      </c>
      <c r="N87" s="6">
        <f t="shared" si="39"/>
        <v>0</v>
      </c>
      <c r="O87" s="6">
        <f t="shared" si="39"/>
        <v>0</v>
      </c>
      <c r="P87" s="6">
        <f t="shared" si="39"/>
        <v>0</v>
      </c>
      <c r="Q87" s="6">
        <f t="shared" si="39"/>
        <v>0</v>
      </c>
      <c r="R87" s="6">
        <f t="shared" si="39"/>
        <v>0</v>
      </c>
      <c r="S87" s="6">
        <f t="shared" si="39"/>
        <v>0</v>
      </c>
      <c r="T87" s="6">
        <f t="shared" si="39"/>
        <v>0</v>
      </c>
      <c r="U87" s="6">
        <f t="shared" si="39"/>
        <v>0</v>
      </c>
      <c r="V87" s="6">
        <f t="shared" si="39"/>
        <v>0</v>
      </c>
      <c r="W87" s="6">
        <f t="shared" si="39"/>
        <v>0</v>
      </c>
      <c r="X87" s="6">
        <f t="shared" si="39"/>
        <v>0</v>
      </c>
      <c r="Y87" s="6">
        <f t="shared" si="39"/>
        <v>0</v>
      </c>
      <c r="Z87" s="6">
        <f t="shared" si="39"/>
        <v>0</v>
      </c>
      <c r="AA87" s="6">
        <f t="shared" si="39"/>
        <v>0</v>
      </c>
      <c r="AB87" s="6">
        <f t="shared" si="39"/>
        <v>0</v>
      </c>
      <c r="AC87" s="6">
        <f t="shared" si="39"/>
        <v>0</v>
      </c>
      <c r="AD87" s="6">
        <f t="shared" si="39"/>
        <v>0</v>
      </c>
      <c r="AE87" s="6">
        <f t="shared" si="39"/>
        <v>0</v>
      </c>
      <c r="AF87" s="6">
        <f t="shared" si="39"/>
        <v>0</v>
      </c>
      <c r="AG87" s="6">
        <f t="shared" si="39"/>
        <v>0</v>
      </c>
      <c r="AH87" s="6">
        <f t="shared" si="39"/>
        <v>0</v>
      </c>
      <c r="AI87" s="6">
        <f t="shared" si="39"/>
        <v>0</v>
      </c>
      <c r="AJ87" s="6">
        <f t="shared" si="39"/>
        <v>0</v>
      </c>
      <c r="AK87" s="6">
        <f t="shared" si="39"/>
        <v>0</v>
      </c>
      <c r="AL87" s="6">
        <f t="shared" si="39"/>
        <v>0</v>
      </c>
      <c r="AM87" s="6">
        <f t="shared" si="39"/>
        <v>0</v>
      </c>
      <c r="AN87" s="6">
        <f t="shared" si="39"/>
        <v>0</v>
      </c>
      <c r="AO87" s="6">
        <f t="shared" si="39"/>
        <v>0</v>
      </c>
      <c r="AP87" s="6">
        <f t="shared" si="39"/>
        <v>0</v>
      </c>
      <c r="AQ87" s="6">
        <f t="shared" si="39"/>
        <v>0</v>
      </c>
      <c r="AR87" s="6">
        <f t="shared" si="39"/>
        <v>0</v>
      </c>
      <c r="AS87" s="6">
        <f t="shared" si="39"/>
        <v>0</v>
      </c>
      <c r="AT87" s="6">
        <f t="shared" si="39"/>
        <v>0</v>
      </c>
      <c r="AU87" s="6">
        <f t="shared" si="39"/>
        <v>0</v>
      </c>
      <c r="AV87" s="6">
        <f t="shared" si="39"/>
        <v>0</v>
      </c>
      <c r="AW87" s="6">
        <f t="shared" si="39"/>
        <v>0</v>
      </c>
      <c r="AX87" s="6">
        <f t="shared" si="39"/>
        <v>0</v>
      </c>
    </row>
    <row r="88" spans="1:50" ht="15.75" thickTop="1" x14ac:dyDescent="0.25"/>
    <row r="89" spans="1:50" x14ac:dyDescent="0.25">
      <c r="A89" s="3" t="s">
        <v>54</v>
      </c>
      <c r="C89" s="18">
        <f>C71+C87</f>
        <v>-43171510.867088616</v>
      </c>
      <c r="D89" s="18">
        <f t="shared" ref="D89:AX89" si="40">D71+D87</f>
        <v>-79832936.734177232</v>
      </c>
      <c r="E89" s="18">
        <f t="shared" si="40"/>
        <v>-17750101.734177232</v>
      </c>
      <c r="F89" s="18">
        <f t="shared" si="40"/>
        <v>-8582207.7341772299</v>
      </c>
      <c r="G89" s="18">
        <f t="shared" si="40"/>
        <v>11863935.26582277</v>
      </c>
      <c r="H89" s="18">
        <f t="shared" si="40"/>
        <v>21502300.265822768</v>
      </c>
      <c r="I89" s="18">
        <f t="shared" si="40"/>
        <v>21941393.265822768</v>
      </c>
      <c r="J89" s="18">
        <f t="shared" si="40"/>
        <v>22138028.265822768</v>
      </c>
      <c r="K89" s="18">
        <f t="shared" si="40"/>
        <v>21919442.265822768</v>
      </c>
      <c r="L89" s="18">
        <f t="shared" si="40"/>
        <v>20979157.275524147</v>
      </c>
      <c r="M89" s="18">
        <f t="shared" si="40"/>
        <v>21750487.003686074</v>
      </c>
      <c r="N89" s="18">
        <f t="shared" si="40"/>
        <v>10959637.461296257</v>
      </c>
      <c r="O89" s="18">
        <f t="shared" si="40"/>
        <v>-687420</v>
      </c>
      <c r="P89" s="18">
        <f t="shared" si="40"/>
        <v>-687420</v>
      </c>
      <c r="Q89" s="18">
        <f t="shared" si="40"/>
        <v>-687420</v>
      </c>
      <c r="R89" s="18">
        <f t="shared" si="40"/>
        <v>-687420</v>
      </c>
      <c r="S89" s="18">
        <f t="shared" si="40"/>
        <v>-687420</v>
      </c>
      <c r="T89" s="18">
        <f t="shared" si="40"/>
        <v>-308424</v>
      </c>
      <c r="U89" s="18">
        <f t="shared" si="40"/>
        <v>0</v>
      </c>
      <c r="V89" s="18">
        <f t="shared" si="40"/>
        <v>0</v>
      </c>
      <c r="W89" s="18">
        <f t="shared" si="40"/>
        <v>0</v>
      </c>
      <c r="X89" s="18">
        <f t="shared" si="40"/>
        <v>0</v>
      </c>
      <c r="Y89" s="18">
        <f t="shared" si="40"/>
        <v>0</v>
      </c>
      <c r="Z89" s="18">
        <f t="shared" si="40"/>
        <v>0</v>
      </c>
      <c r="AA89" s="18">
        <f t="shared" si="40"/>
        <v>0</v>
      </c>
      <c r="AB89" s="18">
        <f t="shared" si="40"/>
        <v>0</v>
      </c>
      <c r="AC89" s="18">
        <f t="shared" si="40"/>
        <v>0</v>
      </c>
      <c r="AD89" s="18">
        <f t="shared" si="40"/>
        <v>0</v>
      </c>
      <c r="AE89" s="18">
        <f t="shared" si="40"/>
        <v>0</v>
      </c>
      <c r="AF89" s="18">
        <f t="shared" si="40"/>
        <v>0</v>
      </c>
      <c r="AG89" s="18">
        <f t="shared" si="40"/>
        <v>0</v>
      </c>
      <c r="AH89" s="18">
        <f t="shared" si="40"/>
        <v>0</v>
      </c>
      <c r="AI89" s="18">
        <f t="shared" si="40"/>
        <v>0</v>
      </c>
      <c r="AJ89" s="18">
        <f t="shared" si="40"/>
        <v>0</v>
      </c>
      <c r="AK89" s="18">
        <f t="shared" si="40"/>
        <v>0</v>
      </c>
      <c r="AL89" s="18">
        <f t="shared" si="40"/>
        <v>0</v>
      </c>
      <c r="AM89" s="18">
        <f t="shared" si="40"/>
        <v>0</v>
      </c>
      <c r="AN89" s="18">
        <f t="shared" si="40"/>
        <v>0</v>
      </c>
      <c r="AO89" s="18">
        <f t="shared" si="40"/>
        <v>0</v>
      </c>
      <c r="AP89" s="18">
        <f t="shared" si="40"/>
        <v>0</v>
      </c>
      <c r="AQ89" s="18">
        <f t="shared" si="40"/>
        <v>0</v>
      </c>
      <c r="AR89" s="18">
        <f t="shared" si="40"/>
        <v>0</v>
      </c>
      <c r="AS89" s="18">
        <f t="shared" si="40"/>
        <v>0</v>
      </c>
      <c r="AT89" s="18">
        <f t="shared" si="40"/>
        <v>0</v>
      </c>
      <c r="AU89" s="18">
        <f t="shared" si="40"/>
        <v>0</v>
      </c>
      <c r="AV89" s="18">
        <f t="shared" si="40"/>
        <v>0</v>
      </c>
      <c r="AW89" s="18">
        <f t="shared" si="40"/>
        <v>0</v>
      </c>
      <c r="AX89" s="18">
        <f t="shared" si="40"/>
        <v>0</v>
      </c>
    </row>
  </sheetData>
  <conditionalFormatting sqref="C89">
    <cfRule type="cellIs" dxfId="7" priority="8" operator="greaterThan">
      <formula>0</formula>
    </cfRule>
  </conditionalFormatting>
  <conditionalFormatting sqref="D89:AX89">
    <cfRule type="cellIs" dxfId="6" priority="7" operator="greaterThan">
      <formula>0</formula>
    </cfRule>
  </conditionalFormatting>
  <conditionalFormatting sqref="A5:A19">
    <cfRule type="cellIs" dxfId="5" priority="1" operator="equal">
      <formula>"Yes"</formula>
    </cfRule>
    <cfRule type="cellIs" dxfId="4" priority="2" operator="equal">
      <formula>"No"</formula>
    </cfRule>
  </conditionalFormatting>
  <dataValidations count="1">
    <dataValidation type="list" allowBlank="1" showInputMessage="1" showErrorMessage="1" sqref="A5:A9 A11:A14 A16:A19">
      <formula1>$L$25:$L$26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A90"/>
  <sheetViews>
    <sheetView workbookViewId="0"/>
  </sheetViews>
  <sheetFormatPr defaultRowHeight="15" x14ac:dyDescent="0.25"/>
  <cols>
    <col min="1" max="1" width="15.85546875" customWidth="1"/>
    <col min="2" max="2" width="15.5703125" customWidth="1"/>
    <col min="3" max="3" width="15.140625" customWidth="1"/>
    <col min="4" max="4" width="15.7109375" bestFit="1" customWidth="1"/>
    <col min="5" max="5" width="15.140625" bestFit="1" customWidth="1"/>
    <col min="6" max="6" width="16.140625" bestFit="1" customWidth="1"/>
    <col min="7" max="7" width="16.140625" customWidth="1"/>
    <col min="8" max="9" width="15.140625" bestFit="1" customWidth="1"/>
    <col min="10" max="10" width="16.140625" bestFit="1" customWidth="1"/>
    <col min="11" max="11" width="15.140625" bestFit="1" customWidth="1"/>
    <col min="12" max="15" width="15.140625" customWidth="1"/>
    <col min="16" max="16" width="15.140625" bestFit="1" customWidth="1"/>
    <col min="17" max="17" width="14.5703125" customWidth="1"/>
    <col min="18" max="18" width="15.140625" customWidth="1"/>
    <col min="19" max="19" width="15.140625" bestFit="1" customWidth="1"/>
    <col min="20" max="51" width="13.85546875" bestFit="1" customWidth="1"/>
    <col min="52" max="54" width="14.5703125" bestFit="1" customWidth="1"/>
  </cols>
  <sheetData>
    <row r="2" spans="1:30" x14ac:dyDescent="0.25">
      <c r="H2" s="4" t="s">
        <v>51</v>
      </c>
      <c r="K2" s="4" t="s">
        <v>51</v>
      </c>
      <c r="M2" s="35" t="s">
        <v>43</v>
      </c>
    </row>
    <row r="3" spans="1:30" x14ac:dyDescent="0.25">
      <c r="A3" s="137" t="s">
        <v>79</v>
      </c>
      <c r="B3" s="4"/>
      <c r="C3" s="4"/>
      <c r="D3" s="4"/>
      <c r="E3" s="4" t="s">
        <v>73</v>
      </c>
      <c r="F3" s="4" t="s">
        <v>21</v>
      </c>
      <c r="G3" s="4" t="s">
        <v>49</v>
      </c>
      <c r="H3" s="4" t="s">
        <v>52</v>
      </c>
      <c r="I3" s="14">
        <v>44012</v>
      </c>
      <c r="J3" s="4" t="s">
        <v>49</v>
      </c>
      <c r="K3" s="4" t="s">
        <v>52</v>
      </c>
      <c r="M3" s="15" t="s">
        <v>36</v>
      </c>
    </row>
    <row r="4" spans="1:30" x14ac:dyDescent="0.25">
      <c r="A4" s="172" t="s">
        <v>61</v>
      </c>
      <c r="B4" s="26" t="s">
        <v>0</v>
      </c>
      <c r="C4" s="25"/>
      <c r="D4" s="5" t="s">
        <v>14</v>
      </c>
      <c r="E4" s="5" t="s">
        <v>74</v>
      </c>
      <c r="F4" s="5" t="s">
        <v>22</v>
      </c>
      <c r="G4" s="5" t="s">
        <v>50</v>
      </c>
      <c r="H4" s="5" t="s">
        <v>53</v>
      </c>
      <c r="I4" s="5" t="s">
        <v>20</v>
      </c>
      <c r="J4" s="5" t="s">
        <v>50</v>
      </c>
      <c r="K4" s="5" t="s">
        <v>53</v>
      </c>
      <c r="M4" s="16">
        <v>2020</v>
      </c>
      <c r="N4" s="16">
        <f t="shared" ref="N4:AD4" si="0">M4+1</f>
        <v>2021</v>
      </c>
      <c r="O4" s="16">
        <f t="shared" si="0"/>
        <v>2022</v>
      </c>
      <c r="P4" s="16">
        <f t="shared" si="0"/>
        <v>2023</v>
      </c>
      <c r="Q4" s="16">
        <f t="shared" si="0"/>
        <v>2024</v>
      </c>
      <c r="R4" s="16">
        <f t="shared" si="0"/>
        <v>2025</v>
      </c>
      <c r="S4" s="16">
        <f t="shared" si="0"/>
        <v>2026</v>
      </c>
      <c r="T4" s="16">
        <f t="shared" si="0"/>
        <v>2027</v>
      </c>
      <c r="U4" s="16">
        <f t="shared" si="0"/>
        <v>2028</v>
      </c>
      <c r="V4" s="16">
        <f t="shared" si="0"/>
        <v>2029</v>
      </c>
      <c r="W4" s="16">
        <f t="shared" si="0"/>
        <v>2030</v>
      </c>
      <c r="X4" s="16">
        <f t="shared" si="0"/>
        <v>2031</v>
      </c>
      <c r="Y4" s="16">
        <f t="shared" si="0"/>
        <v>2032</v>
      </c>
      <c r="Z4" s="16">
        <f t="shared" si="0"/>
        <v>2033</v>
      </c>
      <c r="AA4" s="16">
        <f t="shared" si="0"/>
        <v>2034</v>
      </c>
      <c r="AB4" s="16">
        <f t="shared" si="0"/>
        <v>2035</v>
      </c>
      <c r="AC4" s="16">
        <f t="shared" si="0"/>
        <v>2036</v>
      </c>
      <c r="AD4" s="16">
        <f t="shared" si="0"/>
        <v>2037</v>
      </c>
    </row>
    <row r="5" spans="1:30" x14ac:dyDescent="0.25">
      <c r="A5" s="28" t="s">
        <v>44</v>
      </c>
      <c r="B5" s="36" t="s">
        <v>1</v>
      </c>
      <c r="C5" s="19"/>
      <c r="D5" t="s">
        <v>15</v>
      </c>
      <c r="E5" s="37">
        <f>I5/F5</f>
        <v>2.8120468112243717</v>
      </c>
      <c r="F5" s="1">
        <f>ROUND('[1]Storm Summary'!G11,0)</f>
        <v>38844188</v>
      </c>
      <c r="G5" s="1"/>
      <c r="H5" s="1"/>
      <c r="I5" s="1">
        <f>ROUND('[1]Storm Summary'!F11,0)</f>
        <v>109231675</v>
      </c>
      <c r="J5" s="1"/>
      <c r="K5" s="1"/>
      <c r="L5" s="21"/>
      <c r="M5" s="1">
        <f>ROUND([1]Storm!$V$48,0)</f>
        <v>19345035</v>
      </c>
      <c r="N5" s="1">
        <f>ROUND([1]Storm!$V$60,0)</f>
        <v>38121791</v>
      </c>
      <c r="O5" s="1">
        <f>ROUND([1]Storm!$V$72,0)</f>
        <v>22428529</v>
      </c>
      <c r="P5" s="1">
        <f>ROUND([1]Storm!$V$84,0)</f>
        <v>22652745</v>
      </c>
      <c r="Q5" s="1">
        <f>ROUND([1]Storm!$V$96,0)</f>
        <v>6683575</v>
      </c>
      <c r="R5" s="1">
        <f t="shared" ref="R5:AC5" si="1">IF(($E5+2020-R$4)&gt;1,$F5,IF(($E5+2020-R$4)&gt;0,($E5+2020-R$4)*$F5,0))</f>
        <v>0</v>
      </c>
      <c r="S5" s="1">
        <f t="shared" si="1"/>
        <v>0</v>
      </c>
      <c r="T5" s="1">
        <f t="shared" si="1"/>
        <v>0</v>
      </c>
      <c r="U5" s="1">
        <f t="shared" si="1"/>
        <v>0</v>
      </c>
      <c r="V5" s="1">
        <f t="shared" si="1"/>
        <v>0</v>
      </c>
      <c r="W5" s="1">
        <f t="shared" si="1"/>
        <v>0</v>
      </c>
      <c r="X5" s="1">
        <f t="shared" si="1"/>
        <v>0</v>
      </c>
      <c r="Y5" s="1">
        <f t="shared" si="1"/>
        <v>0</v>
      </c>
      <c r="Z5" s="1">
        <f t="shared" si="1"/>
        <v>0</v>
      </c>
      <c r="AA5" s="1">
        <f t="shared" si="1"/>
        <v>0</v>
      </c>
      <c r="AB5" s="1">
        <f t="shared" si="1"/>
        <v>0</v>
      </c>
      <c r="AC5" s="1">
        <f t="shared" si="1"/>
        <v>0</v>
      </c>
    </row>
    <row r="6" spans="1:30" x14ac:dyDescent="0.25">
      <c r="A6" s="28" t="s">
        <v>44</v>
      </c>
      <c r="B6" s="36" t="s">
        <v>6</v>
      </c>
      <c r="C6" s="19"/>
      <c r="D6" t="s">
        <v>15</v>
      </c>
      <c r="E6" s="37">
        <f>I6/F6</f>
        <v>2.53434723095658</v>
      </c>
      <c r="F6" s="1">
        <f>ROUND('[2]Env Summary'!$G$9,0)</f>
        <v>1575833</v>
      </c>
      <c r="G6" s="1"/>
      <c r="H6" s="1"/>
      <c r="I6" s="1">
        <f>ROUND('[2]Env Summary'!$F$9,0)</f>
        <v>3993708</v>
      </c>
      <c r="J6" s="1"/>
      <c r="K6" s="1"/>
      <c r="L6" s="21"/>
      <c r="M6" s="1">
        <f>ROUND([2]Electric!$L$62,0)</f>
        <v>787916</v>
      </c>
      <c r="N6" s="1">
        <f>ROUND([2]Electric!$L$74,0)</f>
        <v>1575833</v>
      </c>
      <c r="O6" s="1">
        <f>ROUND([2]Electric!$L$86,0)</f>
        <v>1275181</v>
      </c>
      <c r="P6" s="1">
        <f>ROUND([2]Electric!$L$98,0)</f>
        <v>152048</v>
      </c>
      <c r="Q6" s="1">
        <f>ROUND([2]Electric!$L$110,0)</f>
        <v>152048</v>
      </c>
      <c r="R6" s="1">
        <f>ROUND([2]Electric!$L$122,0)</f>
        <v>50683</v>
      </c>
      <c r="S6" s="1">
        <f t="shared" ref="S6:AC9" si="2">IF(($E6+2020-S$4)&gt;1,$F6,IF(($E6+2020-S$4)&gt;0,($E6+2020-S$4)*$F6,0))</f>
        <v>0</v>
      </c>
      <c r="T6" s="1">
        <f t="shared" si="2"/>
        <v>0</v>
      </c>
      <c r="U6" s="1">
        <f t="shared" si="2"/>
        <v>0</v>
      </c>
      <c r="V6" s="1">
        <f t="shared" si="2"/>
        <v>0</v>
      </c>
      <c r="W6" s="1">
        <f t="shared" si="2"/>
        <v>0</v>
      </c>
      <c r="X6" s="1">
        <f t="shared" si="2"/>
        <v>0</v>
      </c>
      <c r="Y6" s="1">
        <f t="shared" si="2"/>
        <v>0</v>
      </c>
      <c r="Z6" s="1">
        <f t="shared" si="2"/>
        <v>0</v>
      </c>
      <c r="AA6" s="1">
        <f t="shared" si="2"/>
        <v>0</v>
      </c>
      <c r="AB6" s="1">
        <f t="shared" si="2"/>
        <v>0</v>
      </c>
      <c r="AC6" s="1">
        <f t="shared" si="2"/>
        <v>0</v>
      </c>
    </row>
    <row r="7" spans="1:30" x14ac:dyDescent="0.25">
      <c r="A7" s="28" t="s">
        <v>44</v>
      </c>
      <c r="B7" s="36" t="s">
        <v>8</v>
      </c>
      <c r="C7" s="19"/>
      <c r="D7" t="s">
        <v>15</v>
      </c>
      <c r="E7" s="37">
        <f>I7/F7</f>
        <v>2.842857142857143</v>
      </c>
      <c r="F7" s="17">
        <f>'[3]Summarize AMI and GTZ'!$F$13</f>
        <v>7000000</v>
      </c>
      <c r="G7" s="17"/>
      <c r="H7" s="17"/>
      <c r="I7" s="17">
        <f>'[3]Summarize AMI and GTZ'!$E$13</f>
        <v>19900000</v>
      </c>
      <c r="J7" s="1"/>
      <c r="K7" s="1"/>
      <c r="L7" s="21"/>
      <c r="M7" s="1">
        <f>ROUND('[3]GTZ CC Common'!$O$33,0)</f>
        <v>3517336</v>
      </c>
      <c r="N7" s="1">
        <f>ROUND('[3]GTZ CC Common'!$O$45,0)</f>
        <v>7034672</v>
      </c>
      <c r="O7" s="1">
        <f>ROUND('[3]GTZ CC Common'!$O$57,0)</f>
        <v>7034672</v>
      </c>
      <c r="P7" s="1">
        <f>ROUND('[3]GTZ CC Common'!$O$69,0)</f>
        <v>2344891</v>
      </c>
      <c r="Q7" s="1">
        <f t="shared" ref="Q7:R9" si="3">IF(($E7+2020-Q$4)&gt;1,$F7,IF(($E7+2020-Q$4)&gt;0,($E7+2020-Q$4)*$F7,0))</f>
        <v>0</v>
      </c>
      <c r="R7" s="1">
        <f t="shared" si="3"/>
        <v>0</v>
      </c>
      <c r="S7" s="1">
        <f t="shared" si="2"/>
        <v>0</v>
      </c>
      <c r="T7" s="1">
        <f t="shared" si="2"/>
        <v>0</v>
      </c>
      <c r="U7" s="1">
        <f t="shared" si="2"/>
        <v>0</v>
      </c>
      <c r="V7" s="1">
        <f t="shared" si="2"/>
        <v>0</v>
      </c>
      <c r="W7" s="1">
        <f t="shared" si="2"/>
        <v>0</v>
      </c>
      <c r="X7" s="1">
        <f t="shared" si="2"/>
        <v>0</v>
      </c>
      <c r="Y7" s="1">
        <f t="shared" si="2"/>
        <v>0</v>
      </c>
      <c r="Z7" s="1">
        <f t="shared" si="2"/>
        <v>0</v>
      </c>
      <c r="AA7" s="1">
        <f t="shared" si="2"/>
        <v>0</v>
      </c>
      <c r="AB7" s="1">
        <f t="shared" si="2"/>
        <v>0</v>
      </c>
      <c r="AC7" s="1">
        <f t="shared" si="2"/>
        <v>0</v>
      </c>
    </row>
    <row r="8" spans="1:30" x14ac:dyDescent="0.25">
      <c r="A8" s="28" t="s">
        <v>44</v>
      </c>
      <c r="B8" s="36" t="s">
        <v>11</v>
      </c>
      <c r="C8" s="19"/>
      <c r="D8" t="s">
        <v>15</v>
      </c>
      <c r="E8" s="37">
        <f>I8/F8</f>
        <v>2.795918367346939</v>
      </c>
      <c r="F8" s="17">
        <f>'[3]Summarize AMI and GTZ'!$F$25</f>
        <v>4900000</v>
      </c>
      <c r="G8" s="17"/>
      <c r="H8" s="17"/>
      <c r="I8" s="17">
        <f>'[3]Summarize AMI and GTZ'!$E$25</f>
        <v>13700000</v>
      </c>
      <c r="J8" s="1"/>
      <c r="K8" s="1"/>
      <c r="L8" s="21"/>
      <c r="M8" s="1">
        <f>ROUND('[3]AMI E'!$P$33,0)</f>
        <v>2434223</v>
      </c>
      <c r="N8" s="1">
        <f>ROUND('[3]AMI E'!$P$45,0)</f>
        <v>4868445</v>
      </c>
      <c r="O8" s="1">
        <f>ROUND('[3]AMI E'!$P$57,0)</f>
        <v>4868445</v>
      </c>
      <c r="P8" s="1">
        <f>ROUND('[3]AMI E'!$P$69,0)</f>
        <v>1622815</v>
      </c>
      <c r="Q8" s="1">
        <f t="shared" si="3"/>
        <v>0</v>
      </c>
      <c r="R8" s="1">
        <f t="shared" si="3"/>
        <v>0</v>
      </c>
      <c r="S8" s="1">
        <f t="shared" si="2"/>
        <v>0</v>
      </c>
      <c r="T8" s="1">
        <f t="shared" si="2"/>
        <v>0</v>
      </c>
      <c r="U8" s="1">
        <f t="shared" si="2"/>
        <v>0</v>
      </c>
      <c r="V8" s="1">
        <f t="shared" si="2"/>
        <v>0</v>
      </c>
      <c r="W8" s="1">
        <f t="shared" si="2"/>
        <v>0</v>
      </c>
      <c r="X8" s="1">
        <f t="shared" si="2"/>
        <v>0</v>
      </c>
      <c r="Y8" s="1">
        <f t="shared" si="2"/>
        <v>0</v>
      </c>
      <c r="Z8" s="1">
        <f t="shared" si="2"/>
        <v>0</v>
      </c>
      <c r="AA8" s="1">
        <f t="shared" si="2"/>
        <v>0</v>
      </c>
      <c r="AB8" s="1">
        <f t="shared" si="2"/>
        <v>0</v>
      </c>
      <c r="AC8" s="1">
        <f t="shared" si="2"/>
        <v>0</v>
      </c>
    </row>
    <row r="9" spans="1:30" x14ac:dyDescent="0.25">
      <c r="A9" s="28" t="s">
        <v>45</v>
      </c>
      <c r="B9" s="36" t="s">
        <v>13</v>
      </c>
      <c r="C9" s="19"/>
      <c r="D9" t="s">
        <v>15</v>
      </c>
      <c r="E9" s="37">
        <f>I9/F9</f>
        <v>0.85461816699929305</v>
      </c>
      <c r="F9" s="17">
        <f>ROUND([4]Sheet1!$N$18,0)</f>
        <v>20602698</v>
      </c>
      <c r="G9" s="17">
        <f>SUM(F5:F9)</f>
        <v>72922719</v>
      </c>
      <c r="H9" s="17">
        <f>SUMIF($A$5:$A$9,"YES",F5:F9)</f>
        <v>52320021</v>
      </c>
      <c r="I9" s="17">
        <f>ROUND([4]Sheet1!$N$21,0)</f>
        <v>17607440</v>
      </c>
      <c r="J9" s="1">
        <f>SUM(I5:I9)</f>
        <v>164432823</v>
      </c>
      <c r="K9" s="17">
        <f>SUMIF($A$5:$A$9,"YES",I5:I9)</f>
        <v>146825383</v>
      </c>
      <c r="L9" s="21"/>
      <c r="M9" s="1">
        <f>ROUND([4]Sheet2!$J$26*0.95,0)</f>
        <v>9984320</v>
      </c>
      <c r="N9" s="1">
        <f>I9-M9</f>
        <v>7623120</v>
      </c>
      <c r="O9" s="1">
        <f>IF(($E9+2020-O$4)&gt;1,$F9,IF(($E9+2020-O$4)&gt;0,($E9+2020-O$4)*$F9,0))</f>
        <v>0</v>
      </c>
      <c r="P9" s="1">
        <f>IF(($E9+2020-P$4)&gt;1,$F9,IF(($E9+2020-P$4)&gt;0,($E9+2020-P$4)*$F9,0))</f>
        <v>0</v>
      </c>
      <c r="Q9" s="1">
        <f t="shared" si="3"/>
        <v>0</v>
      </c>
      <c r="R9" s="1">
        <f t="shared" si="3"/>
        <v>0</v>
      </c>
      <c r="S9" s="1">
        <f t="shared" si="2"/>
        <v>0</v>
      </c>
      <c r="T9" s="1">
        <f t="shared" si="2"/>
        <v>0</v>
      </c>
      <c r="U9" s="1">
        <f t="shared" si="2"/>
        <v>0</v>
      </c>
      <c r="V9" s="1">
        <f t="shared" si="2"/>
        <v>0</v>
      </c>
      <c r="W9" s="1">
        <f t="shared" si="2"/>
        <v>0</v>
      </c>
      <c r="X9" s="1">
        <f t="shared" si="2"/>
        <v>0</v>
      </c>
      <c r="Y9" s="1">
        <f t="shared" si="2"/>
        <v>0</v>
      </c>
      <c r="Z9" s="1">
        <f t="shared" si="2"/>
        <v>0</v>
      </c>
      <c r="AA9" s="1">
        <f t="shared" si="2"/>
        <v>0</v>
      </c>
      <c r="AB9" s="1">
        <f t="shared" si="2"/>
        <v>0</v>
      </c>
      <c r="AC9" s="1">
        <f t="shared" si="2"/>
        <v>0</v>
      </c>
    </row>
    <row r="10" spans="1:30" x14ac:dyDescent="0.25">
      <c r="A10" s="31"/>
      <c r="B10" s="36"/>
      <c r="C10" s="19"/>
      <c r="E10" s="38"/>
      <c r="F10" s="17"/>
      <c r="G10" s="17"/>
      <c r="H10" s="17"/>
      <c r="I10" s="19"/>
      <c r="J10" s="1"/>
      <c r="K10" s="17"/>
      <c r="L10" s="21"/>
      <c r="M10" s="1"/>
    </row>
    <row r="11" spans="1:30" x14ac:dyDescent="0.25">
      <c r="A11" s="28" t="s">
        <v>45</v>
      </c>
      <c r="B11" s="36" t="s">
        <v>2</v>
      </c>
      <c r="C11" s="19"/>
      <c r="D11" t="s">
        <v>16</v>
      </c>
      <c r="E11" s="37">
        <f>I11/F11</f>
        <v>3.4282925209495678</v>
      </c>
      <c r="F11" s="17">
        <f>ROUND('[5]Major Maintenance (R) '!$J$51,0)</f>
        <v>7631303</v>
      </c>
      <c r="G11" s="17"/>
      <c r="H11" s="17"/>
      <c r="I11" s="17">
        <f>ROUND('[5]MM Balances (R)'!$AJ$29,0)</f>
        <v>26162339</v>
      </c>
      <c r="J11" s="1"/>
      <c r="K11" s="17"/>
      <c r="L11" s="21"/>
      <c r="M11" s="1">
        <f>ROUND('[5]MM Balances (R)'!$AP$31,0)</f>
        <v>3465061</v>
      </c>
      <c r="N11" s="1">
        <f>ROUND('[5]MM Balances (R)'!$BB$31,0)</f>
        <v>5440642</v>
      </c>
      <c r="O11" s="1">
        <f>ROUND('[5]MM Balances (R)'!$BN$31,0)</f>
        <v>4410185</v>
      </c>
      <c r="P11" s="1">
        <f>ROUND('[5]MM Balances (R)'!$BZ$31,0)</f>
        <v>3800077</v>
      </c>
      <c r="Q11" s="1">
        <f>ROUND('[5]MM Balances (R)'!$CL$31,0)</f>
        <v>2801046</v>
      </c>
      <c r="R11" s="1">
        <f>ROUND('[5]MM Balances (R)'!$CX$31,0)</f>
        <v>1963456</v>
      </c>
      <c r="S11" s="1">
        <f>ROUND('[5]MM Balances (R)'!$DJ$31,0)</f>
        <v>1588503</v>
      </c>
      <c r="T11" s="1">
        <f>ROUND('[5]MM Balances (R)'!$DV$31,0)</f>
        <v>1043862</v>
      </c>
      <c r="U11" s="1">
        <f>ROUND('[5]MM Balances (R)'!$EH$31,0)</f>
        <v>669756</v>
      </c>
      <c r="V11" s="1">
        <f>ROUND('[5]MM Balances (R)'!$ET$31,0)</f>
        <v>512298</v>
      </c>
      <c r="W11" s="1">
        <f>ROUND('[5]MM Balances (R)'!$FF$31,0)</f>
        <v>436228</v>
      </c>
      <c r="X11" s="1">
        <f t="shared" ref="X11:AC11" si="4">IF(($E11+2020-X$4)&gt;1,$F11,IF(($E11+2020-X$4)&gt;0,($E11+2020-X$4)*$F11,0))</f>
        <v>0</v>
      </c>
      <c r="Y11" s="1">
        <f t="shared" si="4"/>
        <v>0</v>
      </c>
      <c r="Z11" s="1">
        <f t="shared" si="4"/>
        <v>0</v>
      </c>
      <c r="AA11" s="1">
        <f t="shared" si="4"/>
        <v>0</v>
      </c>
      <c r="AB11" s="1">
        <f t="shared" si="4"/>
        <v>0</v>
      </c>
      <c r="AC11" s="1">
        <f t="shared" si="4"/>
        <v>0</v>
      </c>
    </row>
    <row r="12" spans="1:30" x14ac:dyDescent="0.25">
      <c r="A12" s="28" t="s">
        <v>45</v>
      </c>
      <c r="B12" s="36" t="s">
        <v>3</v>
      </c>
      <c r="C12" s="19"/>
      <c r="D12" t="s">
        <v>16</v>
      </c>
      <c r="E12" s="37">
        <f>I12/F12</f>
        <v>11.333332674949697</v>
      </c>
      <c r="F12" s="17">
        <f>ROUND(SUM([6]Chelan!$H$181:$H$192),0)</f>
        <v>7088066</v>
      </c>
      <c r="G12" s="17"/>
      <c r="H12" s="17"/>
      <c r="I12" s="17">
        <f>ROUND([6]Chelan!$L$182,0)</f>
        <v>80331410</v>
      </c>
      <c r="J12" s="1"/>
      <c r="K12" s="17"/>
      <c r="L12" s="21"/>
      <c r="M12" s="1">
        <f>ROUND(SUM([6]Chelan!$H$183:$H$188),0)</f>
        <v>3544033</v>
      </c>
      <c r="N12" s="1">
        <f>ROUND(SUM([6]Chelan!$H$189:$H$200),0)</f>
        <v>7088066</v>
      </c>
      <c r="O12" s="1">
        <f>ROUND(SUM([6]Chelan!$H$201:$H$212),0)</f>
        <v>7088066</v>
      </c>
      <c r="P12" s="1">
        <f>ROUND(SUM([6]Chelan!$H$213:$H$224),0)</f>
        <v>7088066</v>
      </c>
      <c r="Q12" s="1">
        <f>ROUND(SUM([6]Chelan!$H$225:$H$236),0)</f>
        <v>7088066</v>
      </c>
      <c r="R12" s="1">
        <f>ROUND(SUM([6]Chelan!$H$237:$H$248),0)</f>
        <v>7088066</v>
      </c>
      <c r="S12" s="1">
        <f>ROUND(SUM([6]Chelan!$H$249:$H$260),0)</f>
        <v>7088066</v>
      </c>
      <c r="T12" s="1">
        <f>ROUND(SUM([6]Chelan!$H$261:$H$272),0)</f>
        <v>7088066</v>
      </c>
      <c r="U12" s="1">
        <f>ROUND(SUM([6]Chelan!$H$273:$H$284),0)</f>
        <v>7088066</v>
      </c>
      <c r="V12" s="1">
        <f>ROUND(SUM([6]Chelan!$H$285:$H$296),0)</f>
        <v>7088066</v>
      </c>
      <c r="W12" s="1">
        <f>ROUND(SUM([6]Chelan!$H$297:$H$308),0)</f>
        <v>7088066</v>
      </c>
      <c r="X12" s="1">
        <f>ROUND(SUM([6]Chelan!$H$309:$H$320),0)</f>
        <v>5906721</v>
      </c>
      <c r="Y12" s="1">
        <f>IF(($E12+2020-Y$4)&gt;1,$F12,IF(($E12+2020-Y$4)&gt;0,($E12+2020-Y$4)*$F12,0))</f>
        <v>0</v>
      </c>
      <c r="Z12" s="1">
        <f>IF(($E12+2020-Z$4)&gt;1,$F12,IF(($E12+2020-Z$4)&gt;0,($E12+2020-Z$4)*$F12,0))</f>
        <v>0</v>
      </c>
      <c r="AA12" s="1">
        <f>IF(($E12+2020-AA$4)&gt;1,$F12,IF(($E12+2020-AA$4)&gt;0,($E12+2020-AA$4)*$F12,0))</f>
        <v>0</v>
      </c>
      <c r="AB12" s="1">
        <f>IF(($E12+2020-AB$4)&gt;1,$F12,IF(($E12+2020-AB$4)&gt;0,($E12+2020-AB$4)*$F12,0))</f>
        <v>0</v>
      </c>
      <c r="AC12" s="1">
        <f>IF(($E12+2020-AC$4)&gt;1,$F12,IF(($E12+2020-AC$4)&gt;0,($E12+2020-AC$4)*$F12,0))</f>
        <v>0</v>
      </c>
    </row>
    <row r="13" spans="1:30" x14ac:dyDescent="0.25">
      <c r="A13" s="28" t="s">
        <v>45</v>
      </c>
      <c r="B13" s="36" t="s">
        <v>4</v>
      </c>
      <c r="C13" s="19"/>
      <c r="D13" t="s">
        <v>16</v>
      </c>
      <c r="E13" s="37">
        <f>I13/F13</f>
        <v>13.604166666666666</v>
      </c>
      <c r="F13" s="17">
        <f>[6]LSR!$F$11</f>
        <v>4800000</v>
      </c>
      <c r="G13" s="17"/>
      <c r="H13" s="17"/>
      <c r="I13" s="17">
        <f>[6]LSR!$E$11</f>
        <v>65300000</v>
      </c>
      <c r="J13" s="1"/>
      <c r="K13" s="17"/>
      <c r="L13" s="21"/>
      <c r="M13" s="1">
        <f>ROUND('[6]LSR BPA LGIA'!$T$158,0)</f>
        <v>2438618</v>
      </c>
      <c r="N13" s="1">
        <f>ROUND('[6]LSR BPA LGIA'!$T$170,0)</f>
        <v>5101774</v>
      </c>
      <c r="O13" s="1">
        <f>ROUND('[6]LSR BPA LGIA'!$T$182,0)</f>
        <v>5551122</v>
      </c>
      <c r="P13" s="1">
        <f>ROUND('[6]LSR BPA LGIA'!$T$194,0)</f>
        <v>5827664</v>
      </c>
      <c r="Q13" s="1">
        <f>ROUND('[6]LSR BPA LGIA'!$T$206,0)</f>
        <v>6317428</v>
      </c>
      <c r="R13" s="1">
        <f>ROUND('[6]LSR BPA LGIA'!$T$218,0)</f>
        <v>6631622</v>
      </c>
      <c r="S13" s="1">
        <f>ROUND('[6]LSR BPA LGIA'!$T$230,0)</f>
        <v>7173188</v>
      </c>
      <c r="T13" s="1">
        <f>ROUND('[6]LSR BPA LGIA'!$T$242,0)</f>
        <v>7521194</v>
      </c>
      <c r="U13" s="1">
        <f>ROUND('[6]LSR BPA LGIA'!$T$254,0)</f>
        <v>8113886</v>
      </c>
      <c r="V13" s="1">
        <f>ROUND('[6]LSR BPA LGIA'!$T$266,0)</f>
        <v>5436761</v>
      </c>
      <c r="W13" s="1">
        <f>ROUND('[6]LSR BPA LGIA'!$T$278,0)</f>
        <v>687420</v>
      </c>
      <c r="X13" s="1">
        <f>ROUND('[6]LSR BPA LGIA'!$T$290,0)</f>
        <v>687420</v>
      </c>
      <c r="Y13" s="1">
        <f>ROUND('[6]LSR BPA LGIA'!$T$302,0)</f>
        <v>687420</v>
      </c>
      <c r="Z13" s="1">
        <f>ROUND('[6]LSR BPA LGIA'!$T$314,0)</f>
        <v>687420</v>
      </c>
      <c r="AA13" s="1">
        <f>ROUND('[6]LSR BPA LGIA'!$T$326,0)</f>
        <v>687420</v>
      </c>
      <c r="AB13" s="1">
        <f>ROUND('[6]LSR BPA LGIA'!$T$338,0)</f>
        <v>687420</v>
      </c>
      <c r="AC13" s="1">
        <f>ROUND('[6]LSR BPA LGIA'!$T$350,0)</f>
        <v>687420</v>
      </c>
      <c r="AD13" s="1">
        <f>ROUND('[6]LSR BPA LGIA'!$T$362,0)</f>
        <v>308424</v>
      </c>
    </row>
    <row r="14" spans="1:30" x14ac:dyDescent="0.25">
      <c r="A14" s="28" t="s">
        <v>44</v>
      </c>
      <c r="B14" s="36" t="s">
        <v>5</v>
      </c>
      <c r="C14" s="19"/>
      <c r="D14" t="s">
        <v>16</v>
      </c>
      <c r="E14" s="37">
        <f>I14/F14</f>
        <v>4.6923788548698599</v>
      </c>
      <c r="F14" s="17">
        <f>ROUND(SUM('[6]Mint Farm'!$G$150:$G$161),0)</f>
        <v>2885052</v>
      </c>
      <c r="G14" s="17">
        <f>SUM(F11:F14)</f>
        <v>22404421</v>
      </c>
      <c r="H14" s="17">
        <f>SUMIF($A$11:$A$14,"YES",F11:F14)</f>
        <v>2885052</v>
      </c>
      <c r="I14" s="17">
        <f>ROUND(SUM('[6]Mint Farm'!$E$151,'[6]Mint Farm'!$H$151),0)</f>
        <v>13537757</v>
      </c>
      <c r="J14" s="1">
        <f>SUM(I11:I14)</f>
        <v>185331506</v>
      </c>
      <c r="K14" s="17">
        <f>SUMIF($A$11:$A$14,"YES",I11:I14)</f>
        <v>13537757</v>
      </c>
      <c r="L14" s="21"/>
      <c r="M14" s="1">
        <f>ROUND('[6]Mint Farm'!$P$157,0)</f>
        <v>1442526</v>
      </c>
      <c r="N14" s="1">
        <f>ROUND('[6]Mint Farm'!$P$169,0)</f>
        <v>2885052</v>
      </c>
      <c r="O14" s="1">
        <f>ROUND('[6]Mint Farm'!$P$181,0)</f>
        <v>2885052</v>
      </c>
      <c r="P14" s="1">
        <f>ROUND('[6]Mint Farm'!$P$193,0)</f>
        <v>2885052</v>
      </c>
      <c r="Q14" s="1">
        <f>ROUND('[6]Mint Farm'!$P$205,0)</f>
        <v>2885052</v>
      </c>
      <c r="R14" s="1">
        <f>ROUND('[6]Mint Farm'!$P$217,0)</f>
        <v>555023</v>
      </c>
      <c r="S14" s="1">
        <f t="shared" ref="S14:AC14" si="5">IF(($E14+2020-S$4)&gt;1,$F14,IF(($E14+2020-S$4)&gt;0,($E14+2020-S$4)*$F14,0))</f>
        <v>0</v>
      </c>
      <c r="T14" s="1">
        <f t="shared" si="5"/>
        <v>0</v>
      </c>
      <c r="U14" s="1">
        <f t="shared" si="5"/>
        <v>0</v>
      </c>
      <c r="V14" s="1">
        <f t="shared" si="5"/>
        <v>0</v>
      </c>
      <c r="W14" s="1">
        <f t="shared" si="5"/>
        <v>0</v>
      </c>
      <c r="X14" s="1">
        <f t="shared" si="5"/>
        <v>0</v>
      </c>
      <c r="Y14" s="1">
        <f t="shared" si="5"/>
        <v>0</v>
      </c>
      <c r="Z14" s="1">
        <f t="shared" si="5"/>
        <v>0</v>
      </c>
      <c r="AA14" s="1">
        <f t="shared" si="5"/>
        <v>0</v>
      </c>
      <c r="AB14" s="1">
        <f t="shared" si="5"/>
        <v>0</v>
      </c>
      <c r="AC14" s="1">
        <f t="shared" si="5"/>
        <v>0</v>
      </c>
    </row>
    <row r="15" spans="1:30" x14ac:dyDescent="0.25">
      <c r="A15" s="31"/>
      <c r="B15" s="36"/>
      <c r="C15" s="19"/>
      <c r="E15" s="38"/>
      <c r="F15" s="17"/>
      <c r="G15" s="17"/>
      <c r="H15" s="17"/>
      <c r="I15" s="19"/>
      <c r="J15" s="1"/>
      <c r="K15" s="17"/>
      <c r="L15" s="21"/>
      <c r="M15" s="1"/>
    </row>
    <row r="16" spans="1:30" x14ac:dyDescent="0.25">
      <c r="A16" s="28" t="s">
        <v>45</v>
      </c>
      <c r="B16" s="36" t="s">
        <v>7</v>
      </c>
      <c r="C16" s="19"/>
      <c r="D16" t="s">
        <v>17</v>
      </c>
      <c r="E16" s="37">
        <f>I16/F16</f>
        <v>2.6795698256393865</v>
      </c>
      <c r="F16" s="17">
        <f>ROUND('[2]Env Summary'!$G$13,0)</f>
        <v>9460164</v>
      </c>
      <c r="G16" s="17"/>
      <c r="H16" s="17"/>
      <c r="I16" s="17">
        <f>ROUND('[2]Env Summary'!$F$13,0)</f>
        <v>25349170</v>
      </c>
      <c r="J16" s="1"/>
      <c r="K16" s="17"/>
      <c r="L16" s="21"/>
      <c r="M16" s="1">
        <f>ROUND([2]Gas!$L$73,0)</f>
        <v>4730082</v>
      </c>
      <c r="N16" s="1">
        <f>ROUND([2]Gas!$L$85,0)</f>
        <v>9460164</v>
      </c>
      <c r="O16" s="1">
        <f>ROUND([2]Gas!$L$97,0)</f>
        <v>9159512</v>
      </c>
      <c r="P16" s="1">
        <f>ROUND([2]Gas!$L$109,0)</f>
        <v>856891</v>
      </c>
      <c r="Q16" s="1">
        <f>ROUND([2]Gas!$L$121,0)</f>
        <v>856891</v>
      </c>
      <c r="R16" s="1">
        <f t="shared" ref="R16:AC19" si="6">IF(($E16+2020-R$4)&gt;1,$F16,IF(($E16+2020-R$4)&gt;0,($E16+2020-R$4)*$F16,0))</f>
        <v>0</v>
      </c>
      <c r="S16" s="1">
        <f t="shared" si="6"/>
        <v>0</v>
      </c>
      <c r="T16" s="1">
        <f t="shared" si="6"/>
        <v>0</v>
      </c>
      <c r="U16" s="1">
        <f t="shared" si="6"/>
        <v>0</v>
      </c>
      <c r="V16" s="1">
        <f t="shared" si="6"/>
        <v>0</v>
      </c>
      <c r="W16" s="1">
        <f t="shared" si="6"/>
        <v>0</v>
      </c>
      <c r="X16" s="1">
        <f t="shared" si="6"/>
        <v>0</v>
      </c>
      <c r="Y16" s="1">
        <f t="shared" si="6"/>
        <v>0</v>
      </c>
      <c r="Z16" s="1">
        <f t="shared" si="6"/>
        <v>0</v>
      </c>
      <c r="AA16" s="1">
        <f t="shared" si="6"/>
        <v>0</v>
      </c>
      <c r="AB16" s="1">
        <f t="shared" si="6"/>
        <v>0</v>
      </c>
      <c r="AC16" s="1">
        <f t="shared" si="6"/>
        <v>0</v>
      </c>
    </row>
    <row r="17" spans="1:29" x14ac:dyDescent="0.25">
      <c r="A17" s="28" t="s">
        <v>45</v>
      </c>
      <c r="B17" s="36" t="s">
        <v>9</v>
      </c>
      <c r="C17" s="19"/>
      <c r="D17" t="s">
        <v>17</v>
      </c>
      <c r="E17" s="37">
        <f>I17/F17</f>
        <v>2.8333333333333335</v>
      </c>
      <c r="F17" s="17">
        <f>'[3]Summarize AMI and GTZ'!$F$37</f>
        <v>3600000</v>
      </c>
      <c r="G17" s="17"/>
      <c r="H17" s="17"/>
      <c r="I17" s="17">
        <f>'[3]Summarize AMI and GTZ'!$E$37</f>
        <v>10200000</v>
      </c>
      <c r="J17" s="1"/>
      <c r="K17" s="17"/>
      <c r="L17" s="21"/>
      <c r="M17" s="1">
        <f>ROUND('[3]GTZ CC Common'!$P$33,0)</f>
        <v>1796663</v>
      </c>
      <c r="N17" s="1">
        <f>ROUND('[3]GTZ CC Common'!$P$45,0)</f>
        <v>3593326</v>
      </c>
      <c r="O17" s="1">
        <f>ROUND('[3]GTZ CC Common'!$P$57,0)</f>
        <v>3593326</v>
      </c>
      <c r="P17" s="1">
        <f>ROUND('[3]GTZ CC Common'!$P$69,0)</f>
        <v>1197775</v>
      </c>
      <c r="Q17" s="1">
        <f>IF(($E17+2020-Q$4)&gt;1,$F17,IF(($E17+2020-Q$4)&gt;0,($E17+2020-Q$4)*$F17,0))</f>
        <v>0</v>
      </c>
      <c r="R17" s="1">
        <f t="shared" si="6"/>
        <v>0</v>
      </c>
      <c r="S17" s="1">
        <f t="shared" si="6"/>
        <v>0</v>
      </c>
      <c r="T17" s="1">
        <f t="shared" si="6"/>
        <v>0</v>
      </c>
      <c r="U17" s="1">
        <f t="shared" si="6"/>
        <v>0</v>
      </c>
      <c r="V17" s="1">
        <f t="shared" si="6"/>
        <v>0</v>
      </c>
      <c r="W17" s="1">
        <f t="shared" si="6"/>
        <v>0</v>
      </c>
      <c r="X17" s="1">
        <f t="shared" si="6"/>
        <v>0</v>
      </c>
      <c r="Y17" s="1">
        <f t="shared" si="6"/>
        <v>0</v>
      </c>
      <c r="Z17" s="1">
        <f t="shared" si="6"/>
        <v>0</v>
      </c>
      <c r="AA17" s="1">
        <f t="shared" si="6"/>
        <v>0</v>
      </c>
      <c r="AB17" s="1">
        <f t="shared" si="6"/>
        <v>0</v>
      </c>
      <c r="AC17" s="1">
        <f t="shared" si="6"/>
        <v>0</v>
      </c>
    </row>
    <row r="18" spans="1:29" x14ac:dyDescent="0.25">
      <c r="A18" s="28" t="s">
        <v>45</v>
      </c>
      <c r="B18" s="36" t="s">
        <v>10</v>
      </c>
      <c r="C18" s="19"/>
      <c r="D18" t="s">
        <v>17</v>
      </c>
      <c r="E18" s="37">
        <f>I18/F18</f>
        <v>2.7619047619047619</v>
      </c>
      <c r="F18" s="17">
        <f>'[3]Summarize AMI and GTZ'!$F$49</f>
        <v>2100000</v>
      </c>
      <c r="G18" s="17">
        <f>SUM(F16:F18)</f>
        <v>15160164</v>
      </c>
      <c r="H18" s="17">
        <f>SUMIF($A$16:$A$18,"YES",F16:F18)</f>
        <v>0</v>
      </c>
      <c r="I18" s="17">
        <f>'[3]Summarize AMI and GTZ'!$E$49</f>
        <v>5800000</v>
      </c>
      <c r="J18" s="1">
        <f>SUM(I16:I18)</f>
        <v>41349170</v>
      </c>
      <c r="K18" s="17">
        <f>SUMIF($A$16:$A$18,"YES",I16:I18)</f>
        <v>0</v>
      </c>
      <c r="L18" s="21"/>
      <c r="M18" s="1">
        <f>ROUND('[3]AMI G'!$P$33,0)</f>
        <v>1032946</v>
      </c>
      <c r="N18" s="1">
        <f>ROUND('[3]AMI G'!$P$45,0)</f>
        <v>2065892</v>
      </c>
      <c r="O18" s="1">
        <f>ROUND('[3]AMI G'!$P$57,0)</f>
        <v>2065892</v>
      </c>
      <c r="P18" s="1">
        <f>ROUND('[3]AMI G'!$P$69,0)</f>
        <v>688631</v>
      </c>
      <c r="Q18" s="1">
        <f>IF(($E18+2020-Q$4)&gt;1,$F18,IF(($E18+2020-Q$4)&gt;0,($E18+2020-Q$4)*$F18,0))</f>
        <v>0</v>
      </c>
      <c r="R18" s="1">
        <f t="shared" si="6"/>
        <v>0</v>
      </c>
      <c r="S18" s="1">
        <f t="shared" si="6"/>
        <v>0</v>
      </c>
      <c r="T18" s="1">
        <f t="shared" si="6"/>
        <v>0</v>
      </c>
      <c r="U18" s="1">
        <f t="shared" si="6"/>
        <v>0</v>
      </c>
      <c r="V18" s="1">
        <f t="shared" si="6"/>
        <v>0</v>
      </c>
      <c r="W18" s="1">
        <f t="shared" si="6"/>
        <v>0</v>
      </c>
      <c r="X18" s="1">
        <f t="shared" si="6"/>
        <v>0</v>
      </c>
      <c r="Y18" s="1">
        <f t="shared" si="6"/>
        <v>0</v>
      </c>
      <c r="Z18" s="1">
        <f t="shared" si="6"/>
        <v>0</v>
      </c>
      <c r="AA18" s="1">
        <f t="shared" si="6"/>
        <v>0</v>
      </c>
      <c r="AB18" s="1">
        <f t="shared" si="6"/>
        <v>0</v>
      </c>
      <c r="AC18" s="1">
        <f t="shared" si="6"/>
        <v>0</v>
      </c>
    </row>
    <row r="19" spans="1:29" x14ac:dyDescent="0.25">
      <c r="A19" s="33" t="s">
        <v>44</v>
      </c>
      <c r="B19" s="36" t="s">
        <v>12</v>
      </c>
      <c r="C19" s="19"/>
      <c r="D19" t="s">
        <v>18</v>
      </c>
      <c r="E19" s="37">
        <f>I19/F19</f>
        <v>1.2997028031510767</v>
      </c>
      <c r="F19" s="1">
        <f>ROUND('[7]106 Rates'!$J$35*0.95/2,0)</f>
        <v>54320226</v>
      </c>
      <c r="G19" s="1">
        <f>F19</f>
        <v>54320226</v>
      </c>
      <c r="H19" s="1">
        <f>SUMIF($A$19,"YES",F19)</f>
        <v>54320226</v>
      </c>
      <c r="I19" s="1">
        <f>ROUND('[7]6-2020 PGA Balance'!$C$7,0)</f>
        <v>70600150</v>
      </c>
      <c r="J19" s="1">
        <f>I19</f>
        <v>70600150</v>
      </c>
      <c r="K19" s="1">
        <f>SUMIF($A$19,"YES",I19)</f>
        <v>70600150</v>
      </c>
      <c r="L19" s="21"/>
      <c r="M19" s="1">
        <f>-ROUND(SUM('[7]6-2020 PGA Balance'!$B$8:$B$13),0)</f>
        <v>25092338</v>
      </c>
      <c r="N19" s="1">
        <f>I19-M19</f>
        <v>45507812</v>
      </c>
      <c r="O19" s="1">
        <f>IF(($E19+2020-O$4)&gt;1,$F19,IF(($E19+2020-O$4)&gt;0,($E19+2020-O$4)*$F19,0))</f>
        <v>0</v>
      </c>
      <c r="P19" s="1">
        <f>IF(($E19+2020-P$4)&gt;1,$F19,IF(($E19+2020-P$4)&gt;0,($E19+2020-P$4)*$F19,0))</f>
        <v>0</v>
      </c>
      <c r="Q19" s="1">
        <f>IF(($E19+2020-Q$4)&gt;1,$F19,IF(($E19+2020-Q$4)&gt;0,($E19+2020-Q$4)*$F19,0))</f>
        <v>0</v>
      </c>
      <c r="R19" s="1">
        <f t="shared" si="6"/>
        <v>0</v>
      </c>
      <c r="S19" s="1">
        <f t="shared" si="6"/>
        <v>0</v>
      </c>
      <c r="T19" s="1">
        <f t="shared" si="6"/>
        <v>0</v>
      </c>
      <c r="U19" s="1">
        <f t="shared" si="6"/>
        <v>0</v>
      </c>
      <c r="V19" s="1">
        <f t="shared" si="6"/>
        <v>0</v>
      </c>
      <c r="W19" s="1">
        <f t="shared" si="6"/>
        <v>0</v>
      </c>
      <c r="X19" s="1">
        <f t="shared" si="6"/>
        <v>0</v>
      </c>
      <c r="Y19" s="1">
        <f t="shared" si="6"/>
        <v>0</v>
      </c>
      <c r="Z19" s="1">
        <f t="shared" si="6"/>
        <v>0</v>
      </c>
      <c r="AA19" s="1">
        <f t="shared" si="6"/>
        <v>0</v>
      </c>
      <c r="AB19" s="1">
        <f t="shared" si="6"/>
        <v>0</v>
      </c>
      <c r="AC19" s="1">
        <f t="shared" si="6"/>
        <v>0</v>
      </c>
    </row>
    <row r="21" spans="1:29" x14ac:dyDescent="0.25">
      <c r="E21" t="s">
        <v>19</v>
      </c>
      <c r="G21" s="2">
        <f>G9+G14</f>
        <v>95327140</v>
      </c>
      <c r="H21" s="2">
        <f>H9+H14</f>
        <v>55205073</v>
      </c>
      <c r="J21" s="2">
        <f>J9+J14</f>
        <v>349764329</v>
      </c>
      <c r="K21" s="2">
        <f>K9+K14</f>
        <v>160363140</v>
      </c>
      <c r="N21" s="2"/>
    </row>
    <row r="22" spans="1:29" x14ac:dyDescent="0.25">
      <c r="A22" s="139" t="s">
        <v>80</v>
      </c>
      <c r="B22" s="140"/>
      <c r="E22" t="s">
        <v>17</v>
      </c>
      <c r="G22" s="2">
        <f>G18+G19</f>
        <v>69480390</v>
      </c>
      <c r="H22" s="2">
        <f>H18+H19</f>
        <v>54320226</v>
      </c>
      <c r="J22" s="2">
        <f>J18+J19</f>
        <v>111949320</v>
      </c>
      <c r="K22" s="2">
        <f>K18+K19</f>
        <v>70600150</v>
      </c>
      <c r="M22" s="42"/>
    </row>
    <row r="23" spans="1:29" ht="15.75" thickBot="1" x14ac:dyDescent="0.3">
      <c r="A23" s="141" t="s">
        <v>61</v>
      </c>
      <c r="B23" s="142"/>
      <c r="E23" t="s">
        <v>23</v>
      </c>
      <c r="G23" s="6">
        <f>SUM(G21:G22)</f>
        <v>164807530</v>
      </c>
      <c r="H23" s="6">
        <f>SUM(H21:H22)</f>
        <v>109525299</v>
      </c>
      <c r="J23" s="6">
        <f>SUM(J21:J22)</f>
        <v>461713649</v>
      </c>
      <c r="K23" s="6">
        <f>SUM(K21:K22)</f>
        <v>230963290</v>
      </c>
      <c r="M23" s="42"/>
    </row>
    <row r="24" spans="1:29" ht="15.75" thickTop="1" x14ac:dyDescent="0.25">
      <c r="A24" s="173">
        <f>C43/H43</f>
        <v>25242871.996313926</v>
      </c>
      <c r="B24" s="144" t="s">
        <v>19</v>
      </c>
      <c r="F24" t="s">
        <v>66</v>
      </c>
      <c r="M24" s="42"/>
      <c r="S24" s="1"/>
      <c r="T24" s="1"/>
      <c r="U24" s="1"/>
      <c r="V24" s="1"/>
      <c r="W24" s="1"/>
    </row>
    <row r="25" spans="1:29" x14ac:dyDescent="0.25">
      <c r="A25" s="173">
        <f>C44/H44</f>
        <v>46491276.737863302</v>
      </c>
      <c r="B25" s="144" t="s">
        <v>17</v>
      </c>
      <c r="C25" s="59"/>
      <c r="M25" s="42"/>
    </row>
    <row r="26" spans="1:29" ht="15.75" thickBot="1" x14ac:dyDescent="0.3">
      <c r="A26" s="145">
        <f>SUM(A24:A25)</f>
        <v>71734148.734177232</v>
      </c>
      <c r="B26" s="144" t="s">
        <v>23</v>
      </c>
      <c r="M26" s="42"/>
    </row>
    <row r="27" spans="1:29" ht="15.75" thickTop="1" x14ac:dyDescent="0.25">
      <c r="A27" s="146"/>
      <c r="B27" s="147"/>
      <c r="M27" s="42"/>
    </row>
    <row r="28" spans="1:29" x14ac:dyDescent="0.25">
      <c r="O28" s="42"/>
    </row>
    <row r="29" spans="1:29" x14ac:dyDescent="0.25">
      <c r="A29" s="148"/>
      <c r="B29" s="149"/>
      <c r="C29" s="174" t="s">
        <v>64</v>
      </c>
      <c r="D29" s="174"/>
      <c r="E29" s="174"/>
      <c r="F29" s="174"/>
      <c r="G29" s="175"/>
      <c r="L29" s="24" t="s">
        <v>44</v>
      </c>
      <c r="M29" s="23" t="s">
        <v>62</v>
      </c>
      <c r="Q29" s="42"/>
    </row>
    <row r="30" spans="1:29" x14ac:dyDescent="0.25">
      <c r="A30" s="153"/>
      <c r="B30" s="154"/>
      <c r="C30" s="176" t="s">
        <v>76</v>
      </c>
      <c r="D30" s="177"/>
      <c r="E30" s="177"/>
      <c r="F30" s="177"/>
      <c r="G30" s="178"/>
      <c r="L30" s="24" t="s">
        <v>45</v>
      </c>
      <c r="M30" s="23" t="s">
        <v>63</v>
      </c>
      <c r="Q30" s="42"/>
    </row>
    <row r="31" spans="1:29" x14ac:dyDescent="0.25">
      <c r="A31" s="153"/>
      <c r="B31" s="154"/>
      <c r="C31" s="155" t="s">
        <v>58</v>
      </c>
      <c r="D31" s="155">
        <v>2021</v>
      </c>
      <c r="E31" s="155">
        <v>2022</v>
      </c>
      <c r="F31" s="155">
        <v>2023</v>
      </c>
      <c r="G31" s="156">
        <v>2024</v>
      </c>
      <c r="Q31" s="42"/>
    </row>
    <row r="32" spans="1:29" x14ac:dyDescent="0.25">
      <c r="A32" s="157" t="s">
        <v>46</v>
      </c>
      <c r="B32" s="154"/>
      <c r="C32" s="154"/>
      <c r="D32" s="154"/>
      <c r="E32" s="154"/>
      <c r="F32" s="154"/>
      <c r="G32" s="158"/>
      <c r="Q32" s="42"/>
    </row>
    <row r="33" spans="1:22" x14ac:dyDescent="0.25">
      <c r="A33" s="153" t="s">
        <v>19</v>
      </c>
      <c r="B33" s="154"/>
      <c r="C33" s="159">
        <f>C70</f>
        <v>27527036</v>
      </c>
      <c r="D33" s="159">
        <f>D70</f>
        <v>54485793</v>
      </c>
      <c r="E33" s="159">
        <f>E70</f>
        <v>38491879</v>
      </c>
      <c r="F33" s="159">
        <f>F70</f>
        <v>29657551</v>
      </c>
      <c r="G33" s="160">
        <f>G70</f>
        <v>9720675</v>
      </c>
      <c r="Q33" s="42"/>
    </row>
    <row r="34" spans="1:22" x14ac:dyDescent="0.25">
      <c r="A34" s="153" t="s">
        <v>17</v>
      </c>
      <c r="B34" s="154"/>
      <c r="C34" s="159">
        <f>C86</f>
        <v>25092338</v>
      </c>
      <c r="D34" s="159">
        <f>D86</f>
        <v>45507812</v>
      </c>
      <c r="E34" s="159">
        <f>E86</f>
        <v>0</v>
      </c>
      <c r="F34" s="159">
        <f>F86</f>
        <v>0</v>
      </c>
      <c r="G34" s="160">
        <f>G86</f>
        <v>0</v>
      </c>
      <c r="Q34" s="42"/>
    </row>
    <row r="35" spans="1:22" ht="15.75" thickBot="1" x14ac:dyDescent="0.3">
      <c r="A35" s="153" t="s">
        <v>23</v>
      </c>
      <c r="B35" s="154"/>
      <c r="C35" s="161">
        <f>SUM(C33:C34)</f>
        <v>52619374</v>
      </c>
      <c r="D35" s="161">
        <f t="shared" ref="D35" si="7">SUM(D33:D34)</f>
        <v>99993605</v>
      </c>
      <c r="E35" s="161">
        <f>SUM(E33:E34)</f>
        <v>38491879</v>
      </c>
      <c r="F35" s="161">
        <f>SUM(F33:F34)</f>
        <v>29657551</v>
      </c>
      <c r="G35" s="162">
        <f>SUM(G33:G34)</f>
        <v>9720675</v>
      </c>
      <c r="Q35" s="42"/>
    </row>
    <row r="36" spans="1:22" ht="15.75" thickTop="1" x14ac:dyDescent="0.25">
      <c r="A36" s="153"/>
      <c r="B36" s="154"/>
      <c r="C36" s="154"/>
      <c r="D36" s="154"/>
      <c r="E36" s="154"/>
      <c r="F36" s="154"/>
      <c r="G36" s="158"/>
      <c r="Q36" s="42"/>
    </row>
    <row r="37" spans="1:22" x14ac:dyDescent="0.25">
      <c r="A37" s="157" t="s">
        <v>47</v>
      </c>
      <c r="B37" s="154"/>
      <c r="C37" s="154"/>
      <c r="D37" s="154"/>
      <c r="E37" s="154"/>
      <c r="F37" s="154"/>
      <c r="G37" s="158"/>
      <c r="Q37" s="7"/>
    </row>
    <row r="38" spans="1:22" x14ac:dyDescent="0.25">
      <c r="A38" s="153" t="s">
        <v>19</v>
      </c>
      <c r="B38" s="154"/>
      <c r="C38" s="163">
        <f>C67</f>
        <v>14981100.501843037</v>
      </c>
      <c r="D38" s="163">
        <f>D67</f>
        <v>29962201.003686074</v>
      </c>
      <c r="E38" s="163">
        <f>E67</f>
        <v>29962201.003686074</v>
      </c>
      <c r="F38" s="163">
        <f>F67</f>
        <v>29962201.003686074</v>
      </c>
      <c r="G38" s="164">
        <f>G67</f>
        <v>29962201.003686074</v>
      </c>
    </row>
    <row r="39" spans="1:22" x14ac:dyDescent="0.25">
      <c r="A39" s="153" t="s">
        <v>17</v>
      </c>
      <c r="B39" s="154"/>
      <c r="C39" s="163">
        <f>C83</f>
        <v>3914474.631068348</v>
      </c>
      <c r="D39" s="163">
        <f>D83</f>
        <v>7828949.2621366959</v>
      </c>
      <c r="E39" s="163">
        <f>E83</f>
        <v>7828949.2621366959</v>
      </c>
      <c r="F39" s="163">
        <f>F83</f>
        <v>7828949.2621366959</v>
      </c>
      <c r="G39" s="164">
        <f>G83</f>
        <v>7828949.2621366959</v>
      </c>
    </row>
    <row r="40" spans="1:22" ht="15.75" thickBot="1" x14ac:dyDescent="0.3">
      <c r="A40" s="153" t="s">
        <v>23</v>
      </c>
      <c r="B40" s="154"/>
      <c r="C40" s="161">
        <f>SUM(C38:C39)</f>
        <v>18895575.132911384</v>
      </c>
      <c r="D40" s="161">
        <f t="shared" ref="D40" si="8">SUM(D38:D39)</f>
        <v>37791150.265822768</v>
      </c>
      <c r="E40" s="161">
        <f>SUM(E38:E39)</f>
        <v>37791150.265822768</v>
      </c>
      <c r="F40" s="161">
        <f>SUM(F38:F39)</f>
        <v>37791150.265822768</v>
      </c>
      <c r="G40" s="162">
        <f>SUM(G38:G39)</f>
        <v>37791150.265822768</v>
      </c>
    </row>
    <row r="41" spans="1:22" ht="15.75" thickTop="1" x14ac:dyDescent="0.25">
      <c r="A41" s="153"/>
      <c r="B41" s="154"/>
      <c r="C41" s="154"/>
      <c r="D41" s="154"/>
      <c r="E41" s="154"/>
      <c r="F41" s="154"/>
      <c r="G41" s="158"/>
    </row>
    <row r="42" spans="1:22" x14ac:dyDescent="0.25">
      <c r="A42" s="157" t="s">
        <v>48</v>
      </c>
      <c r="B42" s="154"/>
      <c r="C42" s="154"/>
      <c r="D42" s="154"/>
      <c r="E42" s="154"/>
      <c r="F42" s="154"/>
      <c r="G42" s="158"/>
    </row>
    <row r="43" spans="1:22" s="19" customFormat="1" x14ac:dyDescent="0.25">
      <c r="A43" s="153" t="s">
        <v>19</v>
      </c>
      <c r="B43" s="154"/>
      <c r="C43" s="159">
        <f>C38-C33</f>
        <v>-12545935.498156963</v>
      </c>
      <c r="D43" s="159">
        <f t="shared" ref="D43:G43" si="9">D38-D33</f>
        <v>-24523591.996313926</v>
      </c>
      <c r="E43" s="159">
        <f t="shared" si="9"/>
        <v>-8529677.9963139258</v>
      </c>
      <c r="F43" s="159">
        <f t="shared" si="9"/>
        <v>304650.00368607417</v>
      </c>
      <c r="G43" s="160">
        <f t="shared" si="9"/>
        <v>20241526.003686074</v>
      </c>
      <c r="H43" s="43">
        <f>C43/'BR 15'!I44</f>
        <v>-0.49700903684766834</v>
      </c>
      <c r="Q43"/>
      <c r="R43"/>
      <c r="S43"/>
      <c r="T43"/>
      <c r="U43"/>
      <c r="V43"/>
    </row>
    <row r="44" spans="1:22" s="19" customFormat="1" x14ac:dyDescent="0.25">
      <c r="A44" s="153" t="s">
        <v>17</v>
      </c>
      <c r="B44" s="154"/>
      <c r="C44" s="159">
        <f t="shared" ref="C44:G44" si="10">C39-C34</f>
        <v>-21177863.368931651</v>
      </c>
      <c r="D44" s="159">
        <f t="shared" si="10"/>
        <v>-37678862.737863302</v>
      </c>
      <c r="E44" s="159">
        <f t="shared" si="10"/>
        <v>7828949.2621366959</v>
      </c>
      <c r="F44" s="159">
        <f t="shared" si="10"/>
        <v>7828949.2621366959</v>
      </c>
      <c r="G44" s="160">
        <f t="shared" si="10"/>
        <v>7828949.2621366959</v>
      </c>
      <c r="H44" s="43">
        <f>C44/'BR 15'!I45</f>
        <v>-0.45552337674744975</v>
      </c>
      <c r="Q44"/>
      <c r="R44"/>
      <c r="S44"/>
      <c r="T44"/>
      <c r="U44"/>
      <c r="V44"/>
    </row>
    <row r="45" spans="1:22" s="19" customFormat="1" ht="15" customHeight="1" thickBot="1" x14ac:dyDescent="0.3">
      <c r="A45" s="153" t="s">
        <v>23</v>
      </c>
      <c r="B45" s="154"/>
      <c r="C45" s="161">
        <f>SUM(C43:C44)</f>
        <v>-33723798.867088616</v>
      </c>
      <c r="D45" s="161">
        <f t="shared" ref="D45" si="11">SUM(D43:D44)</f>
        <v>-62202454.734177232</v>
      </c>
      <c r="E45" s="161">
        <f>SUM(E43:E44)</f>
        <v>-700728.73417722993</v>
      </c>
      <c r="F45" s="161">
        <f>SUM(F43:F44)</f>
        <v>8133599.2658227701</v>
      </c>
      <c r="G45" s="162">
        <f>SUM(G43:G44)</f>
        <v>28070475.265822768</v>
      </c>
      <c r="Q45"/>
      <c r="R45"/>
      <c r="S45"/>
      <c r="T45"/>
      <c r="U45"/>
      <c r="V45"/>
    </row>
    <row r="46" spans="1:22" s="19" customFormat="1" ht="15" customHeight="1" thickTop="1" x14ac:dyDescent="0.25">
      <c r="A46" s="165"/>
      <c r="B46" s="166"/>
      <c r="C46" s="167"/>
      <c r="D46" s="167"/>
      <c r="E46" s="167"/>
      <c r="F46" s="167"/>
      <c r="G46" s="168"/>
      <c r="Q46"/>
      <c r="R46"/>
      <c r="S46"/>
      <c r="T46"/>
      <c r="U46"/>
      <c r="V46"/>
    </row>
    <row r="47" spans="1:22" x14ac:dyDescent="0.25">
      <c r="C47" s="10"/>
      <c r="D47" s="10"/>
      <c r="E47" s="10"/>
      <c r="F47" s="10"/>
      <c r="G47" s="10"/>
      <c r="H47" s="10"/>
    </row>
    <row r="49" spans="1:53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</row>
    <row r="50" spans="1:53" x14ac:dyDescent="0.25">
      <c r="BA50" s="22"/>
    </row>
    <row r="51" spans="1:53" x14ac:dyDescent="0.25">
      <c r="B51" s="9"/>
      <c r="C51" s="9" t="s">
        <v>58</v>
      </c>
      <c r="D51" s="9">
        <v>2021</v>
      </c>
      <c r="E51" s="9">
        <v>2022</v>
      </c>
      <c r="F51" s="9">
        <v>2023</v>
      </c>
      <c r="G51" s="9">
        <v>2024</v>
      </c>
      <c r="H51" s="9">
        <v>2025</v>
      </c>
      <c r="I51" s="9">
        <v>2026</v>
      </c>
      <c r="J51" s="9">
        <v>2027</v>
      </c>
      <c r="K51" s="9">
        <v>2028</v>
      </c>
      <c r="L51" s="9">
        <v>2029</v>
      </c>
      <c r="M51" s="9">
        <v>2030</v>
      </c>
      <c r="N51" s="9">
        <v>2031</v>
      </c>
      <c r="O51" s="9">
        <v>2032</v>
      </c>
      <c r="P51" s="9">
        <v>2033</v>
      </c>
      <c r="Q51" s="9">
        <v>2034</v>
      </c>
      <c r="R51" s="9">
        <v>2035</v>
      </c>
      <c r="S51" s="9">
        <v>2036</v>
      </c>
      <c r="T51" s="9">
        <v>2037</v>
      </c>
      <c r="U51" s="9">
        <v>2038</v>
      </c>
      <c r="V51" s="9">
        <v>2039</v>
      </c>
      <c r="W51" s="9">
        <v>2040</v>
      </c>
      <c r="X51" s="9">
        <v>2041</v>
      </c>
      <c r="Y51" s="9">
        <v>2042</v>
      </c>
      <c r="Z51" s="9">
        <v>2044</v>
      </c>
      <c r="AA51" s="9">
        <v>2045</v>
      </c>
      <c r="AB51" s="9">
        <v>2046</v>
      </c>
      <c r="AC51" s="9">
        <v>2047</v>
      </c>
      <c r="AD51" s="9">
        <v>2048</v>
      </c>
      <c r="AE51" s="9">
        <v>2049</v>
      </c>
      <c r="AF51" s="9">
        <v>2050</v>
      </c>
      <c r="AG51" s="9">
        <v>2051</v>
      </c>
      <c r="AH51" s="9">
        <v>2052</v>
      </c>
      <c r="AI51" s="9">
        <v>2053</v>
      </c>
      <c r="AJ51" s="9">
        <v>2054</v>
      </c>
      <c r="AK51" s="9">
        <v>2055</v>
      </c>
      <c r="AL51" s="9">
        <v>2056</v>
      </c>
      <c r="AM51" s="9">
        <v>2057</v>
      </c>
      <c r="AN51" s="9">
        <v>2058</v>
      </c>
      <c r="AO51" s="9">
        <v>2059</v>
      </c>
      <c r="AP51" s="9">
        <v>2060</v>
      </c>
      <c r="AQ51" s="9">
        <v>2061</v>
      </c>
      <c r="AR51" s="9">
        <v>2062</v>
      </c>
      <c r="AS51" s="9">
        <v>2063</v>
      </c>
      <c r="AT51" s="9">
        <v>2064</v>
      </c>
      <c r="AU51" s="9">
        <v>2065</v>
      </c>
      <c r="AV51" s="9">
        <v>2066</v>
      </c>
      <c r="AW51" s="9">
        <v>2067</v>
      </c>
      <c r="AX51" s="9">
        <v>2068</v>
      </c>
    </row>
    <row r="52" spans="1:53" x14ac:dyDescent="0.25">
      <c r="A52" t="s">
        <v>24</v>
      </c>
      <c r="B52" s="10"/>
      <c r="C52" s="169">
        <f>25623860.8818532/2</f>
        <v>12811930.4409266</v>
      </c>
      <c r="D52" s="10">
        <v>24015464.813689981</v>
      </c>
      <c r="E52" s="10">
        <v>24399212.795614909</v>
      </c>
      <c r="F52" s="10">
        <v>23634456.756879337</v>
      </c>
      <c r="G52" s="10">
        <v>23865161.310801934</v>
      </c>
      <c r="H52" s="10">
        <v>24306294.826883312</v>
      </c>
      <c r="I52" s="10">
        <v>24965790.475091487</v>
      </c>
      <c r="J52" s="10">
        <v>23994154.745493572</v>
      </c>
      <c r="K52" s="10">
        <v>25275772.89397119</v>
      </c>
      <c r="L52" s="10">
        <v>26131056.095991936</v>
      </c>
      <c r="M52" s="10">
        <v>26028841.090108141</v>
      </c>
      <c r="N52" s="10">
        <v>24812903.904887941</v>
      </c>
      <c r="O52" s="10">
        <v>23616537.393727422</v>
      </c>
      <c r="P52" s="10">
        <v>24612433.532655373</v>
      </c>
      <c r="Q52" s="10">
        <v>24379856.166602965</v>
      </c>
      <c r="R52" s="10">
        <v>21803379.846335806</v>
      </c>
      <c r="S52" s="10">
        <v>21442106.062659975</v>
      </c>
      <c r="T52" s="10">
        <v>20081363.340709705</v>
      </c>
      <c r="U52" s="10">
        <v>19383929.508583747</v>
      </c>
      <c r="V52" s="10">
        <v>18667866.439330954</v>
      </c>
      <c r="W52" s="10">
        <v>17692594.477474216</v>
      </c>
      <c r="X52" s="10">
        <v>16999603.411349051</v>
      </c>
      <c r="Y52" s="10">
        <v>16285493.029040147</v>
      </c>
      <c r="Z52" s="10">
        <v>14870769.959598551</v>
      </c>
      <c r="AA52" s="10">
        <v>14451799.545705659</v>
      </c>
      <c r="AB52" s="10">
        <v>14026295.149741191</v>
      </c>
      <c r="AC52" s="10">
        <v>13562324.99235208</v>
      </c>
      <c r="AD52" s="10">
        <v>13071137.036764193</v>
      </c>
      <c r="AE52" s="10">
        <v>12596956.989343783</v>
      </c>
      <c r="AF52" s="10">
        <v>11804347.317637244</v>
      </c>
      <c r="AG52" s="10">
        <v>11123261.692925638</v>
      </c>
      <c r="AH52" s="10">
        <v>10481473.253878476</v>
      </c>
      <c r="AI52" s="10">
        <v>9876714.6368264724</v>
      </c>
      <c r="AJ52" s="10">
        <v>9306849.3001406919</v>
      </c>
      <c r="AK52" s="10">
        <v>8769863.9760802761</v>
      </c>
      <c r="AL52" s="10">
        <v>8263861.5581524372</v>
      </c>
      <c r="AM52" s="10">
        <v>7787054.3988565616</v>
      </c>
      <c r="AN52" s="10">
        <v>7337757.9941341998</v>
      </c>
      <c r="AO52" s="10">
        <v>6914385.0322127594</v>
      </c>
      <c r="AP52" s="10">
        <v>6515439.7858182443</v>
      </c>
      <c r="AQ52" s="10">
        <v>6139512.8279453134</v>
      </c>
      <c r="AR52" s="10">
        <v>5785276.0525161196</v>
      </c>
      <c r="AS52" s="10">
        <v>5451477.9823365202</v>
      </c>
      <c r="AT52" s="10">
        <v>5136939.3477731636</v>
      </c>
      <c r="AU52" s="10">
        <v>4840548.9205314796</v>
      </c>
      <c r="AV52" s="10">
        <v>4561259.5878157783</v>
      </c>
      <c r="AW52" s="10">
        <v>4298084.6530019213</v>
      </c>
      <c r="AX52" s="10">
        <v>3262386.3164512152</v>
      </c>
    </row>
    <row r="53" spans="1:53" x14ac:dyDescent="0.25">
      <c r="A53" s="11" t="s">
        <v>25</v>
      </c>
      <c r="B53" s="12"/>
      <c r="C53" s="12">
        <f>C52+B53</f>
        <v>12811930.4409266</v>
      </c>
      <c r="D53" s="12">
        <f t="shared" ref="D53" si="12">D52+C53</f>
        <v>36827395.254616581</v>
      </c>
      <c r="E53" s="12">
        <f>E52+D53</f>
        <v>61226608.050231487</v>
      </c>
      <c r="F53" s="12">
        <f t="shared" ref="F53" si="13">F52+E53</f>
        <v>84861064.807110816</v>
      </c>
      <c r="G53" s="12">
        <f>G52+F53</f>
        <v>108726226.11791275</v>
      </c>
      <c r="H53" s="12">
        <f t="shared" ref="H53" si="14">H52+G53</f>
        <v>133032520.94479607</v>
      </c>
      <c r="I53" s="12">
        <f>I52+H53</f>
        <v>157998311.41988754</v>
      </c>
      <c r="J53" s="12">
        <f t="shared" ref="J53" si="15">J52+I53</f>
        <v>181992466.1653811</v>
      </c>
      <c r="K53" s="12">
        <f>K52+J53</f>
        <v>207268239.05935228</v>
      </c>
      <c r="L53" s="12">
        <f t="shared" ref="L53:X53" si="16">L52+K53</f>
        <v>233399295.15534422</v>
      </c>
      <c r="M53" s="12">
        <f t="shared" si="16"/>
        <v>259428136.24545234</v>
      </c>
      <c r="N53" s="12">
        <f t="shared" si="16"/>
        <v>284241040.15034026</v>
      </c>
      <c r="O53" s="12">
        <f t="shared" si="16"/>
        <v>307857577.54406768</v>
      </c>
      <c r="P53" s="12">
        <f t="shared" si="16"/>
        <v>332470011.07672304</v>
      </c>
      <c r="Q53" s="12">
        <f t="shared" si="16"/>
        <v>356849867.24332601</v>
      </c>
      <c r="R53" s="12">
        <f t="shared" si="16"/>
        <v>378653247.08966184</v>
      </c>
      <c r="S53" s="12">
        <f t="shared" si="16"/>
        <v>400095353.15232182</v>
      </c>
      <c r="T53" s="12">
        <f t="shared" si="16"/>
        <v>420176716.4930315</v>
      </c>
      <c r="U53" s="12">
        <f t="shared" si="16"/>
        <v>439560646.00161523</v>
      </c>
      <c r="V53" s="12">
        <f t="shared" si="16"/>
        <v>458228512.44094616</v>
      </c>
      <c r="W53" s="12">
        <f t="shared" si="16"/>
        <v>475921106.91842037</v>
      </c>
      <c r="X53" s="12">
        <f t="shared" si="16"/>
        <v>492920710.32976943</v>
      </c>
      <c r="Y53" s="12">
        <f>Y52+X53</f>
        <v>509206203.35880959</v>
      </c>
      <c r="Z53" s="12">
        <f t="shared" ref="Z53:AX53" si="17">Z52+Y53</f>
        <v>524076973.31840813</v>
      </c>
      <c r="AA53" s="12">
        <f t="shared" si="17"/>
        <v>538528772.86411381</v>
      </c>
      <c r="AB53" s="12">
        <f t="shared" si="17"/>
        <v>552555068.01385498</v>
      </c>
      <c r="AC53" s="12">
        <f t="shared" si="17"/>
        <v>566117393.00620711</v>
      </c>
      <c r="AD53" s="12">
        <f t="shared" si="17"/>
        <v>579188530.04297125</v>
      </c>
      <c r="AE53" s="12">
        <f t="shared" si="17"/>
        <v>591785487.03231502</v>
      </c>
      <c r="AF53" s="12">
        <f t="shared" si="17"/>
        <v>603589834.34995222</v>
      </c>
      <c r="AG53" s="12">
        <f t="shared" si="17"/>
        <v>614713096.04287791</v>
      </c>
      <c r="AH53" s="12">
        <f t="shared" si="17"/>
        <v>625194569.29675639</v>
      </c>
      <c r="AI53" s="12">
        <f t="shared" si="17"/>
        <v>635071283.9335829</v>
      </c>
      <c r="AJ53" s="12">
        <f t="shared" si="17"/>
        <v>644378133.23372364</v>
      </c>
      <c r="AK53" s="12">
        <f t="shared" si="17"/>
        <v>653147997.20980394</v>
      </c>
      <c r="AL53" s="12">
        <f t="shared" si="17"/>
        <v>661411858.76795638</v>
      </c>
      <c r="AM53" s="12">
        <f t="shared" si="17"/>
        <v>669198913.1668129</v>
      </c>
      <c r="AN53" s="12">
        <f t="shared" si="17"/>
        <v>676536671.16094708</v>
      </c>
      <c r="AO53" s="12">
        <f t="shared" si="17"/>
        <v>683451056.19315982</v>
      </c>
      <c r="AP53" s="12">
        <f t="shared" si="17"/>
        <v>689966495.97897804</v>
      </c>
      <c r="AQ53" s="12">
        <f t="shared" si="17"/>
        <v>696106008.80692339</v>
      </c>
      <c r="AR53" s="12">
        <f t="shared" si="17"/>
        <v>701891284.85943949</v>
      </c>
      <c r="AS53" s="12">
        <f t="shared" si="17"/>
        <v>707342762.84177601</v>
      </c>
      <c r="AT53" s="12">
        <f t="shared" si="17"/>
        <v>712479702.18954921</v>
      </c>
      <c r="AU53" s="12">
        <f t="shared" si="17"/>
        <v>717320251.11008072</v>
      </c>
      <c r="AV53" s="12">
        <f t="shared" si="17"/>
        <v>721881510.69789648</v>
      </c>
      <c r="AW53" s="12">
        <f t="shared" si="17"/>
        <v>726179595.35089839</v>
      </c>
      <c r="AX53" s="12">
        <f t="shared" si="17"/>
        <v>729441981.66734958</v>
      </c>
    </row>
    <row r="55" spans="1:53" x14ac:dyDescent="0.25">
      <c r="A55" s="8" t="s">
        <v>29</v>
      </c>
    </row>
    <row r="56" spans="1:53" x14ac:dyDescent="0.25">
      <c r="A56" t="s">
        <v>26</v>
      </c>
      <c r="B56" s="12"/>
      <c r="C56" s="12">
        <f t="shared" ref="C56:AX56" si="18">C52/0.79</f>
        <v>16217633.469527341</v>
      </c>
      <c r="D56" s="12">
        <f t="shared" si="18"/>
        <v>30399322.548974659</v>
      </c>
      <c r="E56" s="12">
        <f t="shared" si="18"/>
        <v>30885079.488120139</v>
      </c>
      <c r="F56" s="12">
        <f t="shared" si="18"/>
        <v>29917033.869467515</v>
      </c>
      <c r="G56" s="12">
        <f t="shared" si="18"/>
        <v>30209064.950382195</v>
      </c>
      <c r="H56" s="12">
        <f t="shared" si="18"/>
        <v>30767461.806181408</v>
      </c>
      <c r="I56" s="12">
        <f t="shared" si="18"/>
        <v>31602266.424166437</v>
      </c>
      <c r="J56" s="12">
        <f t="shared" si="18"/>
        <v>30372347.779105786</v>
      </c>
      <c r="K56" s="12">
        <f t="shared" si="18"/>
        <v>31994649.232874922</v>
      </c>
      <c r="L56" s="12">
        <f t="shared" si="18"/>
        <v>33077286.197458144</v>
      </c>
      <c r="M56" s="12">
        <f t="shared" si="18"/>
        <v>32947900.114060938</v>
      </c>
      <c r="N56" s="12">
        <f t="shared" si="18"/>
        <v>31408739.120111316</v>
      </c>
      <c r="O56" s="12">
        <f t="shared" si="18"/>
        <v>29894351.131300531</v>
      </c>
      <c r="P56" s="12">
        <f t="shared" si="18"/>
        <v>31154979.155259963</v>
      </c>
      <c r="Q56" s="12">
        <f t="shared" si="18"/>
        <v>30860577.426079702</v>
      </c>
      <c r="R56" s="12">
        <f t="shared" si="18"/>
        <v>27599214.995361779</v>
      </c>
      <c r="S56" s="12">
        <f t="shared" si="18"/>
        <v>27141906.408430345</v>
      </c>
      <c r="T56" s="12">
        <f t="shared" si="18"/>
        <v>25419447.266721144</v>
      </c>
      <c r="U56" s="12">
        <f t="shared" si="18"/>
        <v>24536619.631118666</v>
      </c>
      <c r="V56" s="12">
        <f t="shared" si="18"/>
        <v>23630210.682697408</v>
      </c>
      <c r="W56" s="12">
        <f t="shared" si="18"/>
        <v>22395689.211992677</v>
      </c>
      <c r="X56" s="12">
        <f t="shared" si="18"/>
        <v>21518485.330821581</v>
      </c>
      <c r="Y56" s="12">
        <f t="shared" si="18"/>
        <v>20614548.1380255</v>
      </c>
      <c r="Z56" s="12">
        <f t="shared" si="18"/>
        <v>18823759.442529809</v>
      </c>
      <c r="AA56" s="12">
        <f t="shared" si="18"/>
        <v>18293417.146462858</v>
      </c>
      <c r="AB56" s="12">
        <f t="shared" si="18"/>
        <v>17754803.987014167</v>
      </c>
      <c r="AC56" s="12">
        <f t="shared" si="18"/>
        <v>17167499.990319088</v>
      </c>
      <c r="AD56" s="12">
        <f t="shared" si="18"/>
        <v>16545743.084511636</v>
      </c>
      <c r="AE56" s="12">
        <f t="shared" si="18"/>
        <v>15945515.176384535</v>
      </c>
      <c r="AF56" s="12">
        <f t="shared" si="18"/>
        <v>14942211.794477524</v>
      </c>
      <c r="AG56" s="12">
        <f t="shared" si="18"/>
        <v>14080078.092310933</v>
      </c>
      <c r="AH56" s="12">
        <f t="shared" si="18"/>
        <v>13267687.663137311</v>
      </c>
      <c r="AI56" s="12">
        <f t="shared" si="18"/>
        <v>12502170.426362623</v>
      </c>
      <c r="AJ56" s="12">
        <f t="shared" si="18"/>
        <v>11780821.898912268</v>
      </c>
      <c r="AK56" s="12">
        <f t="shared" si="18"/>
        <v>11101093.640607944</v>
      </c>
      <c r="AL56" s="12">
        <f t="shared" si="18"/>
        <v>10460584.250825869</v>
      </c>
      <c r="AM56" s="12">
        <f t="shared" si="18"/>
        <v>9857030.8846285585</v>
      </c>
      <c r="AN56" s="12">
        <f t="shared" si="18"/>
        <v>9288301.2583977208</v>
      </c>
      <c r="AO56" s="12">
        <f t="shared" si="18"/>
        <v>8752386.1167250108</v>
      </c>
      <c r="AP56" s="12">
        <f t="shared" si="18"/>
        <v>8247392.1339471443</v>
      </c>
      <c r="AQ56" s="12">
        <f t="shared" si="18"/>
        <v>7771535.2252472322</v>
      </c>
      <c r="AR56" s="12">
        <f t="shared" si="18"/>
        <v>7323134.2436912898</v>
      </c>
      <c r="AS56" s="12">
        <f t="shared" si="18"/>
        <v>6900605.0409323042</v>
      </c>
      <c r="AT56" s="12">
        <f t="shared" si="18"/>
        <v>6502454.8705989411</v>
      </c>
      <c r="AU56" s="12">
        <f t="shared" si="18"/>
        <v>6127277.1145968093</v>
      </c>
      <c r="AV56" s="12">
        <f t="shared" si="18"/>
        <v>5773746.313690858</v>
      </c>
      <c r="AW56" s="12">
        <f t="shared" si="18"/>
        <v>5440613.4848125586</v>
      </c>
      <c r="AX56" s="12">
        <f t="shared" si="18"/>
        <v>4129602.9322167281</v>
      </c>
    </row>
    <row r="57" spans="1:53" x14ac:dyDescent="0.25">
      <c r="A57" t="s">
        <v>27</v>
      </c>
      <c r="B57" s="12"/>
      <c r="C57" s="12">
        <f t="shared" ref="C57:AX57" si="19">C56+B57</f>
        <v>16217633.469527341</v>
      </c>
      <c r="D57" s="12">
        <f t="shared" si="19"/>
        <v>46616956.018501997</v>
      </c>
      <c r="E57" s="12">
        <f t="shared" si="19"/>
        <v>77502035.506622136</v>
      </c>
      <c r="F57" s="12">
        <f t="shared" si="19"/>
        <v>107419069.37608965</v>
      </c>
      <c r="G57" s="12">
        <f t="shared" si="19"/>
        <v>137628134.32647184</v>
      </c>
      <c r="H57" s="12">
        <f t="shared" si="19"/>
        <v>168395596.13265324</v>
      </c>
      <c r="I57" s="12">
        <f t="shared" si="19"/>
        <v>199997862.55681968</v>
      </c>
      <c r="J57" s="12">
        <f t="shared" si="19"/>
        <v>230370210.33592546</v>
      </c>
      <c r="K57" s="12">
        <f t="shared" si="19"/>
        <v>262364859.56880039</v>
      </c>
      <c r="L57" s="12">
        <f t="shared" si="19"/>
        <v>295442145.76625854</v>
      </c>
      <c r="M57" s="12">
        <f t="shared" si="19"/>
        <v>328390045.88031948</v>
      </c>
      <c r="N57" s="12">
        <f t="shared" si="19"/>
        <v>359798785.00043082</v>
      </c>
      <c r="O57" s="12">
        <f t="shared" si="19"/>
        <v>389693136.13173133</v>
      </c>
      <c r="P57" s="12">
        <f t="shared" si="19"/>
        <v>420848115.2869913</v>
      </c>
      <c r="Q57" s="12">
        <f t="shared" si="19"/>
        <v>451708692.71307099</v>
      </c>
      <c r="R57" s="12">
        <f t="shared" si="19"/>
        <v>479307907.70843279</v>
      </c>
      <c r="S57" s="12">
        <f t="shared" si="19"/>
        <v>506449814.11686313</v>
      </c>
      <c r="T57" s="12">
        <f t="shared" si="19"/>
        <v>531869261.38358426</v>
      </c>
      <c r="U57" s="12">
        <f t="shared" si="19"/>
        <v>556405881.01470292</v>
      </c>
      <c r="V57" s="12">
        <f t="shared" si="19"/>
        <v>580036091.69740033</v>
      </c>
      <c r="W57" s="12">
        <f t="shared" si="19"/>
        <v>602431780.90939295</v>
      </c>
      <c r="X57" s="12">
        <f t="shared" si="19"/>
        <v>623950266.24021459</v>
      </c>
      <c r="Y57" s="12">
        <f t="shared" si="19"/>
        <v>644564814.37824011</v>
      </c>
      <c r="Z57" s="12">
        <f t="shared" si="19"/>
        <v>663388573.82076991</v>
      </c>
      <c r="AA57" s="12">
        <f t="shared" si="19"/>
        <v>681681990.9672327</v>
      </c>
      <c r="AB57" s="12">
        <f t="shared" si="19"/>
        <v>699436794.95424688</v>
      </c>
      <c r="AC57" s="12">
        <f t="shared" si="19"/>
        <v>716604294.94456601</v>
      </c>
      <c r="AD57" s="12">
        <f t="shared" si="19"/>
        <v>733150038.02907765</v>
      </c>
      <c r="AE57" s="12">
        <f t="shared" si="19"/>
        <v>749095553.20546222</v>
      </c>
      <c r="AF57" s="12">
        <f t="shared" si="19"/>
        <v>764037764.9999398</v>
      </c>
      <c r="AG57" s="12">
        <f t="shared" si="19"/>
        <v>778117843.0922507</v>
      </c>
      <c r="AH57" s="12">
        <f t="shared" si="19"/>
        <v>791385530.75538802</v>
      </c>
      <c r="AI57" s="12">
        <f t="shared" si="19"/>
        <v>803887701.18175066</v>
      </c>
      <c r="AJ57" s="12">
        <f t="shared" si="19"/>
        <v>815668523.08066297</v>
      </c>
      <c r="AK57" s="12">
        <f t="shared" si="19"/>
        <v>826769616.72127092</v>
      </c>
      <c r="AL57" s="12">
        <f t="shared" si="19"/>
        <v>837230200.9720968</v>
      </c>
      <c r="AM57" s="12">
        <f t="shared" si="19"/>
        <v>847087231.85672534</v>
      </c>
      <c r="AN57" s="12">
        <f t="shared" si="19"/>
        <v>856375533.11512303</v>
      </c>
      <c r="AO57" s="12">
        <f t="shared" si="19"/>
        <v>865127919.231848</v>
      </c>
      <c r="AP57" s="12">
        <f t="shared" si="19"/>
        <v>873375311.36579514</v>
      </c>
      <c r="AQ57" s="12">
        <f t="shared" si="19"/>
        <v>881146846.5910424</v>
      </c>
      <c r="AR57" s="12">
        <f t="shared" si="19"/>
        <v>888469980.83473372</v>
      </c>
      <c r="AS57" s="12">
        <f t="shared" si="19"/>
        <v>895370585.87566602</v>
      </c>
      <c r="AT57" s="12">
        <f t="shared" si="19"/>
        <v>901873040.74626493</v>
      </c>
      <c r="AU57" s="12">
        <f t="shared" si="19"/>
        <v>908000317.86086178</v>
      </c>
      <c r="AV57" s="12">
        <f t="shared" si="19"/>
        <v>913774064.17455268</v>
      </c>
      <c r="AW57" s="12">
        <f t="shared" si="19"/>
        <v>919214677.6593653</v>
      </c>
      <c r="AX57" s="12">
        <f t="shared" si="19"/>
        <v>923344280.59158206</v>
      </c>
    </row>
    <row r="59" spans="1:53" x14ac:dyDescent="0.25">
      <c r="A59" s="3" t="s">
        <v>32</v>
      </c>
      <c r="B59" s="9"/>
      <c r="C59" s="9" t="s">
        <v>58</v>
      </c>
      <c r="D59" s="9">
        <v>2021</v>
      </c>
      <c r="E59" s="9">
        <v>2022</v>
      </c>
      <c r="F59" s="9">
        <v>2023</v>
      </c>
      <c r="G59" s="9">
        <v>2024</v>
      </c>
      <c r="H59" s="9">
        <v>2025</v>
      </c>
      <c r="I59" s="9">
        <v>2026</v>
      </c>
      <c r="J59" s="9">
        <v>2027</v>
      </c>
      <c r="K59" s="9">
        <v>2028</v>
      </c>
      <c r="L59" s="9">
        <v>2029</v>
      </c>
      <c r="M59" s="9">
        <v>2030</v>
      </c>
      <c r="N59" s="9">
        <v>2031</v>
      </c>
      <c r="O59" s="9">
        <v>2032</v>
      </c>
      <c r="P59" s="9">
        <v>2033</v>
      </c>
      <c r="Q59" s="9">
        <v>2034</v>
      </c>
      <c r="R59" s="9">
        <v>2035</v>
      </c>
      <c r="S59" s="9">
        <v>2036</v>
      </c>
      <c r="T59" s="9">
        <v>2037</v>
      </c>
      <c r="U59" s="9">
        <v>2038</v>
      </c>
      <c r="V59" s="9">
        <v>2039</v>
      </c>
      <c r="W59" s="9">
        <v>2040</v>
      </c>
      <c r="X59" s="9">
        <v>2041</v>
      </c>
      <c r="Y59" s="9">
        <v>2042</v>
      </c>
      <c r="Z59" s="9">
        <v>2044</v>
      </c>
      <c r="AA59" s="9">
        <v>2045</v>
      </c>
      <c r="AB59" s="9">
        <v>2046</v>
      </c>
      <c r="AC59" s="9">
        <v>2047</v>
      </c>
      <c r="AD59" s="9">
        <v>2048</v>
      </c>
      <c r="AE59" s="9">
        <v>2049</v>
      </c>
      <c r="AF59" s="9">
        <v>2050</v>
      </c>
      <c r="AG59" s="9">
        <v>2051</v>
      </c>
      <c r="AH59" s="9">
        <v>2052</v>
      </c>
      <c r="AI59" s="9">
        <v>2053</v>
      </c>
      <c r="AJ59" s="9">
        <v>2054</v>
      </c>
      <c r="AK59" s="9">
        <v>2055</v>
      </c>
      <c r="AL59" s="9">
        <v>2056</v>
      </c>
      <c r="AM59" s="9">
        <v>2057</v>
      </c>
      <c r="AN59" s="9">
        <v>2058</v>
      </c>
      <c r="AO59" s="9">
        <v>2059</v>
      </c>
      <c r="AP59" s="9">
        <v>2060</v>
      </c>
      <c r="AQ59" s="9">
        <v>2061</v>
      </c>
      <c r="AR59" s="9">
        <v>2062</v>
      </c>
      <c r="AS59" s="9">
        <v>2063</v>
      </c>
      <c r="AT59" s="9">
        <v>2064</v>
      </c>
      <c r="AU59" s="9">
        <v>2065</v>
      </c>
      <c r="AV59" s="9">
        <v>2066</v>
      </c>
      <c r="AW59" s="9">
        <v>2067</v>
      </c>
      <c r="AX59" s="9">
        <v>2068</v>
      </c>
    </row>
    <row r="61" spans="1:53" x14ac:dyDescent="0.25">
      <c r="A61" s="8" t="s">
        <v>30</v>
      </c>
    </row>
    <row r="62" spans="1:53" x14ac:dyDescent="0.25">
      <c r="A62" t="s">
        <v>26</v>
      </c>
      <c r="B62" s="12"/>
      <c r="C62" s="12">
        <f>C$56*ARAM!$D$7</f>
        <v>12811930.4409266</v>
      </c>
      <c r="D62" s="12">
        <f>D$56*ARAM!$D$7</f>
        <v>24015464.813689981</v>
      </c>
      <c r="E62" s="12">
        <f>E$56*ARAM!$D$7</f>
        <v>24399212.795614909</v>
      </c>
      <c r="F62" s="12">
        <f>F$56*ARAM!$D$7</f>
        <v>23634456.756879337</v>
      </c>
      <c r="G62" s="12">
        <f>G$56*ARAM!$D$7</f>
        <v>23865161.310801934</v>
      </c>
      <c r="H62" s="12">
        <f>H$56*ARAM!$D$7</f>
        <v>24306294.826883312</v>
      </c>
      <c r="I62" s="12">
        <f>I$56*ARAM!$D$7</f>
        <v>24965790.475091487</v>
      </c>
      <c r="J62" s="12">
        <f>J$56*ARAM!$D$7</f>
        <v>23994154.745493572</v>
      </c>
      <c r="K62" s="12">
        <f>K$56*ARAM!$D$7</f>
        <v>25275772.89397119</v>
      </c>
      <c r="L62" s="12">
        <f>L$56*ARAM!$D$7</f>
        <v>26131056.095991936</v>
      </c>
      <c r="M62" s="12">
        <f>M$56*ARAM!$D$7</f>
        <v>26028841.090108141</v>
      </c>
      <c r="N62" s="12">
        <f>N$56*ARAM!$D$7</f>
        <v>24812903.904887941</v>
      </c>
      <c r="O62" s="12">
        <f>O$56*ARAM!$D$7</f>
        <v>23616537.393727422</v>
      </c>
      <c r="P62" s="12">
        <f>P$56*ARAM!$D$7</f>
        <v>24612433.532655373</v>
      </c>
      <c r="Q62" s="12">
        <f>Q$56*ARAM!$D$7</f>
        <v>24379856.166602965</v>
      </c>
      <c r="R62" s="12">
        <f>R$56*ARAM!$D$7</f>
        <v>21803379.846335806</v>
      </c>
      <c r="S62" s="12">
        <f>S$56*ARAM!$D$7</f>
        <v>21442106.062659975</v>
      </c>
      <c r="T62" s="12">
        <f>T$56*ARAM!$D$7</f>
        <v>20081363.340709705</v>
      </c>
      <c r="U62" s="12">
        <f>U$56*ARAM!$D$7</f>
        <v>19383929.508583747</v>
      </c>
      <c r="V62" s="12">
        <f>V$56*ARAM!$D$7</f>
        <v>18667866.439330954</v>
      </c>
      <c r="W62" s="12">
        <f>W$56*ARAM!$D$7</f>
        <v>17692594.477474216</v>
      </c>
      <c r="X62" s="12">
        <f>X$56*ARAM!$D$7</f>
        <v>16999603.411349051</v>
      </c>
      <c r="Y62" s="12">
        <f>Y$56*ARAM!$D$7</f>
        <v>16285493.029040145</v>
      </c>
      <c r="Z62" s="12">
        <f>Z$56*ARAM!$D$7</f>
        <v>14870769.959598549</v>
      </c>
      <c r="AA62" s="12">
        <f>AA$56*ARAM!$D$7</f>
        <v>14451799.545705657</v>
      </c>
      <c r="AB62" s="12">
        <f>AB$56*ARAM!$D$7</f>
        <v>14026295.149741193</v>
      </c>
      <c r="AC62" s="12">
        <f>AC$56*ARAM!$D$7</f>
        <v>13562324.99235208</v>
      </c>
      <c r="AD62" s="12">
        <f>AD$56*ARAM!$D$7</f>
        <v>13071137.036764193</v>
      </c>
      <c r="AE62" s="12">
        <f>AE$56*ARAM!$D$7</f>
        <v>12596956.989343783</v>
      </c>
      <c r="AF62" s="12">
        <f>AF$56*ARAM!$D$7</f>
        <v>11804347.317637244</v>
      </c>
      <c r="AG62" s="12">
        <f>AG$56*ARAM!$D$7</f>
        <v>11123261.692925638</v>
      </c>
      <c r="AH62" s="12">
        <f>AH$56*ARAM!$D$7</f>
        <v>10481473.253878476</v>
      </c>
      <c r="AI62" s="12">
        <f>AI$56*ARAM!$D$7</f>
        <v>9876714.6368264724</v>
      </c>
      <c r="AJ62" s="12">
        <f>AJ$56*ARAM!$D$7</f>
        <v>9306849.3001406919</v>
      </c>
      <c r="AK62" s="12">
        <f>AK$56*ARAM!$D$7</f>
        <v>8769863.9760802761</v>
      </c>
      <c r="AL62" s="12">
        <f>AL$56*ARAM!$D$7</f>
        <v>8263861.5581524372</v>
      </c>
      <c r="AM62" s="12">
        <f>AM$56*ARAM!$D$7</f>
        <v>7787054.3988565616</v>
      </c>
      <c r="AN62" s="12">
        <f>AN$56*ARAM!$D$7</f>
        <v>7337757.9941341998</v>
      </c>
      <c r="AO62" s="12">
        <f>AO$56*ARAM!$D$7</f>
        <v>6914385.0322127584</v>
      </c>
      <c r="AP62" s="12">
        <f>AP$56*ARAM!$D$7</f>
        <v>6515439.7858182443</v>
      </c>
      <c r="AQ62" s="12">
        <f>AQ$56*ARAM!$D$7</f>
        <v>6139512.8279453134</v>
      </c>
      <c r="AR62" s="12">
        <f>AR$56*ARAM!$D$7</f>
        <v>5785276.0525161196</v>
      </c>
      <c r="AS62" s="12">
        <f>AS$56*ARAM!$D$7</f>
        <v>5451477.9823365202</v>
      </c>
      <c r="AT62" s="12">
        <f>AT$56*ARAM!$D$7</f>
        <v>5136939.3477731636</v>
      </c>
      <c r="AU62" s="12">
        <f>AU$56*ARAM!$D$7</f>
        <v>4840548.9205314796</v>
      </c>
      <c r="AV62" s="12">
        <f>AV$56*ARAM!$D$7</f>
        <v>4561259.5878157783</v>
      </c>
      <c r="AW62" s="12">
        <f>AW$56*ARAM!$D$7</f>
        <v>4298084.6530019213</v>
      </c>
      <c r="AX62" s="12">
        <f>AX$56*ARAM!$D$7</f>
        <v>3262386.3164512152</v>
      </c>
    </row>
    <row r="63" spans="1:53" x14ac:dyDescent="0.25">
      <c r="A63" t="s">
        <v>27</v>
      </c>
      <c r="B63" s="12"/>
      <c r="C63" s="12">
        <f>C62+B63</f>
        <v>12811930.4409266</v>
      </c>
      <c r="D63" s="12">
        <f t="shared" ref="D63" si="20">D62+C63</f>
        <v>36827395.254616581</v>
      </c>
      <c r="E63" s="12">
        <f>E62+D63</f>
        <v>61226608.050231487</v>
      </c>
      <c r="F63" s="12">
        <f t="shared" ref="F63" si="21">F62+E63</f>
        <v>84861064.807110816</v>
      </c>
      <c r="G63" s="12">
        <f>G62+F63</f>
        <v>108726226.11791275</v>
      </c>
      <c r="H63" s="12">
        <f t="shared" ref="H63" si="22">H62+G63</f>
        <v>133032520.94479607</v>
      </c>
      <c r="I63" s="12">
        <f>I62+H63</f>
        <v>157998311.41988754</v>
      </c>
      <c r="J63" s="12">
        <f t="shared" ref="J63" si="23">J62+I63</f>
        <v>181992466.1653811</v>
      </c>
      <c r="K63" s="12">
        <f>K62+J63</f>
        <v>207268239.05935228</v>
      </c>
      <c r="L63" s="12">
        <f t="shared" ref="L63:AX63" si="24">L62+K63</f>
        <v>233399295.15534422</v>
      </c>
      <c r="M63" s="12">
        <f t="shared" si="24"/>
        <v>259428136.24545234</v>
      </c>
      <c r="N63" s="12">
        <f t="shared" si="24"/>
        <v>284241040.15034026</v>
      </c>
      <c r="O63" s="12">
        <f t="shared" si="24"/>
        <v>307857577.54406768</v>
      </c>
      <c r="P63" s="12">
        <f t="shared" si="24"/>
        <v>332470011.07672304</v>
      </c>
      <c r="Q63" s="12">
        <f t="shared" si="24"/>
        <v>356849867.24332601</v>
      </c>
      <c r="R63" s="12">
        <f t="shared" si="24"/>
        <v>378653247.08966184</v>
      </c>
      <c r="S63" s="12">
        <f t="shared" si="24"/>
        <v>400095353.15232182</v>
      </c>
      <c r="T63" s="12">
        <f t="shared" si="24"/>
        <v>420176716.4930315</v>
      </c>
      <c r="U63" s="12">
        <f t="shared" si="24"/>
        <v>439560646.00161523</v>
      </c>
      <c r="V63" s="12">
        <f t="shared" si="24"/>
        <v>458228512.44094616</v>
      </c>
      <c r="W63" s="12">
        <f t="shared" si="24"/>
        <v>475921106.91842037</v>
      </c>
      <c r="X63" s="12">
        <f t="shared" si="24"/>
        <v>492920710.32976943</v>
      </c>
      <c r="Y63" s="12">
        <f t="shared" si="24"/>
        <v>509206203.35880959</v>
      </c>
      <c r="Z63" s="12">
        <f t="shared" si="24"/>
        <v>524076973.31840813</v>
      </c>
      <c r="AA63" s="12">
        <f t="shared" si="24"/>
        <v>538528772.86411381</v>
      </c>
      <c r="AB63" s="12">
        <f t="shared" si="24"/>
        <v>552555068.01385498</v>
      </c>
      <c r="AC63" s="12">
        <f t="shared" si="24"/>
        <v>566117393.00620711</v>
      </c>
      <c r="AD63" s="12">
        <f t="shared" si="24"/>
        <v>579188530.04297125</v>
      </c>
      <c r="AE63" s="12">
        <f t="shared" si="24"/>
        <v>591785487.03231502</v>
      </c>
      <c r="AF63" s="12">
        <f t="shared" si="24"/>
        <v>603589834.34995222</v>
      </c>
      <c r="AG63" s="12">
        <f t="shared" si="24"/>
        <v>614713096.04287791</v>
      </c>
      <c r="AH63" s="12">
        <f t="shared" si="24"/>
        <v>625194569.29675639</v>
      </c>
      <c r="AI63" s="12">
        <f t="shared" si="24"/>
        <v>635071283.9335829</v>
      </c>
      <c r="AJ63" s="12">
        <f t="shared" si="24"/>
        <v>644378133.23372364</v>
      </c>
      <c r="AK63" s="12">
        <f t="shared" si="24"/>
        <v>653147997.20980394</v>
      </c>
      <c r="AL63" s="12">
        <f t="shared" si="24"/>
        <v>661411858.76795638</v>
      </c>
      <c r="AM63" s="12">
        <f t="shared" si="24"/>
        <v>669198913.1668129</v>
      </c>
      <c r="AN63" s="12">
        <f t="shared" si="24"/>
        <v>676536671.16094708</v>
      </c>
      <c r="AO63" s="12">
        <f t="shared" si="24"/>
        <v>683451056.19315982</v>
      </c>
      <c r="AP63" s="12">
        <f t="shared" si="24"/>
        <v>689966495.97897804</v>
      </c>
      <c r="AQ63" s="12">
        <f t="shared" si="24"/>
        <v>696106008.80692339</v>
      </c>
      <c r="AR63" s="12">
        <f t="shared" si="24"/>
        <v>701891284.85943949</v>
      </c>
      <c r="AS63" s="12">
        <f t="shared" si="24"/>
        <v>707342762.84177601</v>
      </c>
      <c r="AT63" s="12">
        <f t="shared" si="24"/>
        <v>712479702.18954921</v>
      </c>
      <c r="AU63" s="12">
        <f t="shared" si="24"/>
        <v>717320251.11008072</v>
      </c>
      <c r="AV63" s="12">
        <f t="shared" si="24"/>
        <v>721881510.69789648</v>
      </c>
      <c r="AW63" s="12">
        <f t="shared" si="24"/>
        <v>726179595.35089839</v>
      </c>
      <c r="AX63" s="12">
        <f t="shared" si="24"/>
        <v>729441981.66734958</v>
      </c>
    </row>
    <row r="65" spans="1:50" x14ac:dyDescent="0.25">
      <c r="A65" s="8" t="s">
        <v>31</v>
      </c>
    </row>
    <row r="66" spans="1:50" x14ac:dyDescent="0.25">
      <c r="A66" t="s">
        <v>34</v>
      </c>
      <c r="C66" s="170">
        <f>SUMIF($A$5:A$14,"YES",I$5:I$14)</f>
        <v>160363140</v>
      </c>
      <c r="D66" s="2">
        <f>C68</f>
        <v>145382039.49815696</v>
      </c>
      <c r="E66" s="2">
        <f>D68</f>
        <v>115419838.49447089</v>
      </c>
      <c r="F66" s="2">
        <f t="shared" ref="F66:AK66" si="25">E68</f>
        <v>85457637.490784824</v>
      </c>
      <c r="G66" s="2">
        <f t="shared" si="25"/>
        <v>55495436.487098753</v>
      </c>
      <c r="H66" s="2">
        <f t="shared" si="25"/>
        <v>25533235.483412679</v>
      </c>
      <c r="I66" s="2">
        <f t="shared" si="25"/>
        <v>0</v>
      </c>
      <c r="J66" s="2">
        <f t="shared" si="25"/>
        <v>0</v>
      </c>
      <c r="K66" s="2">
        <f t="shared" si="25"/>
        <v>0</v>
      </c>
      <c r="L66" s="2">
        <f t="shared" si="25"/>
        <v>0</v>
      </c>
      <c r="M66" s="2">
        <f t="shared" si="25"/>
        <v>0</v>
      </c>
      <c r="N66" s="2">
        <f t="shared" si="25"/>
        <v>0</v>
      </c>
      <c r="O66" s="2">
        <f t="shared" si="25"/>
        <v>0</v>
      </c>
      <c r="P66" s="2">
        <f t="shared" si="25"/>
        <v>0</v>
      </c>
      <c r="Q66" s="2">
        <f t="shared" si="25"/>
        <v>0</v>
      </c>
      <c r="R66" s="2">
        <f t="shared" si="25"/>
        <v>0</v>
      </c>
      <c r="S66" s="2">
        <f t="shared" si="25"/>
        <v>0</v>
      </c>
      <c r="T66" s="2">
        <f t="shared" si="25"/>
        <v>0</v>
      </c>
      <c r="U66" s="2">
        <f t="shared" si="25"/>
        <v>0</v>
      </c>
      <c r="V66" s="2">
        <f t="shared" si="25"/>
        <v>0</v>
      </c>
      <c r="W66" s="2">
        <f t="shared" si="25"/>
        <v>0</v>
      </c>
      <c r="X66" s="2">
        <f t="shared" si="25"/>
        <v>0</v>
      </c>
      <c r="Y66" s="2">
        <f t="shared" si="25"/>
        <v>0</v>
      </c>
      <c r="Z66" s="2">
        <f t="shared" si="25"/>
        <v>0</v>
      </c>
      <c r="AA66" s="2">
        <f t="shared" si="25"/>
        <v>0</v>
      </c>
      <c r="AB66" s="2">
        <f t="shared" si="25"/>
        <v>0</v>
      </c>
      <c r="AC66" s="2">
        <f t="shared" si="25"/>
        <v>0</v>
      </c>
      <c r="AD66" s="2">
        <f t="shared" si="25"/>
        <v>0</v>
      </c>
      <c r="AE66" s="2">
        <f t="shared" si="25"/>
        <v>0</v>
      </c>
      <c r="AF66" s="2">
        <f t="shared" si="25"/>
        <v>0</v>
      </c>
      <c r="AG66" s="2">
        <f t="shared" si="25"/>
        <v>0</v>
      </c>
      <c r="AH66" s="2">
        <f t="shared" si="25"/>
        <v>0</v>
      </c>
      <c r="AI66" s="2">
        <f t="shared" si="25"/>
        <v>0</v>
      </c>
      <c r="AJ66" s="2">
        <f t="shared" si="25"/>
        <v>0</v>
      </c>
      <c r="AK66" s="2">
        <f t="shared" si="25"/>
        <v>0</v>
      </c>
    </row>
    <row r="67" spans="1:50" ht="17.25" x14ac:dyDescent="0.4">
      <c r="A67" t="s">
        <v>28</v>
      </c>
      <c r="B67" s="12">
        <f>COUNTIF(C67:AK67,"&gt;0")</f>
        <v>6</v>
      </c>
      <c r="C67" s="13">
        <f>MIN(ARAM!C7/2,C66)</f>
        <v>14981100.501843037</v>
      </c>
      <c r="D67" s="13">
        <f>MIN(ARAM!$C$7,D66)</f>
        <v>29962201.003686074</v>
      </c>
      <c r="E67" s="13">
        <f>MIN(ARAM!$C$7,E66)</f>
        <v>29962201.003686074</v>
      </c>
      <c r="F67" s="13">
        <f>MIN(ARAM!$C$7,F66)</f>
        <v>29962201.003686074</v>
      </c>
      <c r="G67" s="13">
        <f>MIN(ARAM!$C$7,G66)</f>
        <v>29962201.003686074</v>
      </c>
      <c r="H67" s="13">
        <f>MIN(ARAM!$C$7,H66)</f>
        <v>25533235.483412679</v>
      </c>
      <c r="I67" s="13">
        <f>MIN(ARAM!$C$7,I66)</f>
        <v>0</v>
      </c>
      <c r="J67" s="13">
        <f>MIN(ARAM!$C$7,J66)</f>
        <v>0</v>
      </c>
      <c r="K67" s="13">
        <f>MIN(ARAM!$C$7,K66)</f>
        <v>0</v>
      </c>
      <c r="L67" s="13">
        <f>MIN(ARAM!$C$7,L66)</f>
        <v>0</v>
      </c>
      <c r="M67" s="13">
        <f>MIN(ARAM!$C$7,M66)</f>
        <v>0</v>
      </c>
      <c r="N67" s="13">
        <f>MIN(ARAM!$C$7,N66)</f>
        <v>0</v>
      </c>
      <c r="O67" s="13">
        <f>MIN(ARAM!$C$7,O66)</f>
        <v>0</v>
      </c>
      <c r="P67" s="13">
        <f>MIN(ARAM!$C$7,P66)</f>
        <v>0</v>
      </c>
      <c r="Q67" s="13">
        <f>MIN(ARAM!$C$7,Q66)</f>
        <v>0</v>
      </c>
      <c r="R67" s="13">
        <f>MIN(ARAM!$C$7,R66)</f>
        <v>0</v>
      </c>
      <c r="S67" s="13">
        <f>MIN(ARAM!$C$7,S66)</f>
        <v>0</v>
      </c>
      <c r="T67" s="13">
        <f>MIN(ARAM!$C$7,T66)</f>
        <v>0</v>
      </c>
      <c r="U67" s="13">
        <f>MIN(ARAM!$C$7,U66)</f>
        <v>0</v>
      </c>
      <c r="V67" s="13">
        <f>MIN(ARAM!$C$7,V66)</f>
        <v>0</v>
      </c>
      <c r="W67" s="13">
        <f>MIN(ARAM!$C$7,W66)</f>
        <v>0</v>
      </c>
      <c r="X67" s="13">
        <f>MIN(ARAM!$C$7,X66)</f>
        <v>0</v>
      </c>
      <c r="Y67" s="13">
        <f>MIN(ARAM!$C$7,Y66)</f>
        <v>0</v>
      </c>
      <c r="Z67" s="13">
        <f>MIN(ARAM!$C$7,Z66)</f>
        <v>0</v>
      </c>
      <c r="AA67" s="13">
        <f>MIN(ARAM!$C$7,AA66)</f>
        <v>0</v>
      </c>
      <c r="AB67" s="13">
        <f>MIN(ARAM!$C$7,AB66)</f>
        <v>0</v>
      </c>
      <c r="AC67" s="13">
        <f>MIN(ARAM!$C$7,AC66)</f>
        <v>0</v>
      </c>
      <c r="AD67" s="13">
        <f>MIN(ARAM!$C$7,AD66)</f>
        <v>0</v>
      </c>
      <c r="AE67" s="13">
        <f>MIN(ARAM!$C$7,AE66)</f>
        <v>0</v>
      </c>
      <c r="AF67" s="13">
        <f>MIN(ARAM!$C$7,AF66)</f>
        <v>0</v>
      </c>
      <c r="AG67" s="13">
        <f>MIN(ARAM!$C$7,AG66)</f>
        <v>0</v>
      </c>
      <c r="AH67" s="13">
        <f>MIN(ARAM!$C$7,AH66)</f>
        <v>0</v>
      </c>
      <c r="AI67" s="13">
        <f>MIN(ARAM!$C$7,AI66)</f>
        <v>0</v>
      </c>
      <c r="AJ67" s="13">
        <f>MIN(ARAM!$C$7,AJ66)</f>
        <v>0</v>
      </c>
      <c r="AK67" s="13">
        <f>MIN(ARAM!$C$7,AK66)</f>
        <v>0</v>
      </c>
    </row>
    <row r="68" spans="1:50" x14ac:dyDescent="0.25">
      <c r="A68" t="s">
        <v>35</v>
      </c>
      <c r="C68" s="2">
        <f t="shared" ref="C68:AK68" si="26">MAX(C66-C67,0)</f>
        <v>145382039.49815696</v>
      </c>
      <c r="D68" s="2">
        <f t="shared" si="26"/>
        <v>115419838.49447089</v>
      </c>
      <c r="E68" s="2">
        <f t="shared" si="26"/>
        <v>85457637.490784824</v>
      </c>
      <c r="F68" s="2">
        <f t="shared" si="26"/>
        <v>55495436.487098753</v>
      </c>
      <c r="G68" s="2">
        <f t="shared" si="26"/>
        <v>25533235.483412679</v>
      </c>
      <c r="H68" s="2">
        <f t="shared" si="26"/>
        <v>0</v>
      </c>
      <c r="I68" s="2">
        <f t="shared" si="26"/>
        <v>0</v>
      </c>
      <c r="J68" s="2">
        <f t="shared" si="26"/>
        <v>0</v>
      </c>
      <c r="K68" s="2">
        <f t="shared" si="26"/>
        <v>0</v>
      </c>
      <c r="L68" s="2">
        <f t="shared" si="26"/>
        <v>0</v>
      </c>
      <c r="M68" s="2">
        <f t="shared" si="26"/>
        <v>0</v>
      </c>
      <c r="N68" s="2">
        <f t="shared" si="26"/>
        <v>0</v>
      </c>
      <c r="O68" s="2">
        <f t="shared" si="26"/>
        <v>0</v>
      </c>
      <c r="P68" s="2">
        <f t="shared" si="26"/>
        <v>0</v>
      </c>
      <c r="Q68" s="2">
        <f t="shared" si="26"/>
        <v>0</v>
      </c>
      <c r="R68" s="2">
        <f t="shared" si="26"/>
        <v>0</v>
      </c>
      <c r="S68" s="2">
        <f t="shared" si="26"/>
        <v>0</v>
      </c>
      <c r="T68" s="2">
        <f t="shared" si="26"/>
        <v>0</v>
      </c>
      <c r="U68" s="2">
        <f t="shared" si="26"/>
        <v>0</v>
      </c>
      <c r="V68" s="2">
        <f t="shared" si="26"/>
        <v>0</v>
      </c>
      <c r="W68" s="2">
        <f t="shared" si="26"/>
        <v>0</v>
      </c>
      <c r="X68" s="2">
        <f t="shared" si="26"/>
        <v>0</v>
      </c>
      <c r="Y68" s="2">
        <f t="shared" si="26"/>
        <v>0</v>
      </c>
      <c r="Z68" s="2">
        <f t="shared" si="26"/>
        <v>0</v>
      </c>
      <c r="AA68" s="2">
        <f t="shared" si="26"/>
        <v>0</v>
      </c>
      <c r="AB68" s="2">
        <f t="shared" si="26"/>
        <v>0</v>
      </c>
      <c r="AC68" s="2">
        <f t="shared" si="26"/>
        <v>0</v>
      </c>
      <c r="AD68" s="2">
        <f t="shared" si="26"/>
        <v>0</v>
      </c>
      <c r="AE68" s="2">
        <f t="shared" si="26"/>
        <v>0</v>
      </c>
      <c r="AF68" s="2">
        <f t="shared" si="26"/>
        <v>0</v>
      </c>
      <c r="AG68" s="2">
        <f t="shared" si="26"/>
        <v>0</v>
      </c>
      <c r="AH68" s="2">
        <f t="shared" si="26"/>
        <v>0</v>
      </c>
      <c r="AI68" s="2">
        <f t="shared" si="26"/>
        <v>0</v>
      </c>
      <c r="AJ68" s="2">
        <f t="shared" si="26"/>
        <v>0</v>
      </c>
      <c r="AK68" s="2">
        <f t="shared" si="26"/>
        <v>0</v>
      </c>
    </row>
    <row r="70" spans="1:50" x14ac:dyDescent="0.25">
      <c r="A70" t="s">
        <v>33</v>
      </c>
      <c r="C70" s="170">
        <f t="shared" ref="C70:AE70" si="27">SUMIF($A$5:$A$14,"YES",M$5:M$14)</f>
        <v>27527036</v>
      </c>
      <c r="D70" s="2">
        <f t="shared" si="27"/>
        <v>54485793</v>
      </c>
      <c r="E70" s="2">
        <f t="shared" si="27"/>
        <v>38491879</v>
      </c>
      <c r="F70" s="2">
        <f t="shared" si="27"/>
        <v>29657551</v>
      </c>
      <c r="G70" s="2">
        <f t="shared" si="27"/>
        <v>9720675</v>
      </c>
      <c r="H70" s="2">
        <f t="shared" si="27"/>
        <v>605706</v>
      </c>
      <c r="I70" s="2">
        <f t="shared" si="27"/>
        <v>0</v>
      </c>
      <c r="J70" s="2">
        <f t="shared" si="27"/>
        <v>0</v>
      </c>
      <c r="K70" s="2">
        <f t="shared" si="27"/>
        <v>0</v>
      </c>
      <c r="L70" s="2">
        <f t="shared" si="27"/>
        <v>0</v>
      </c>
      <c r="M70" s="2">
        <f t="shared" si="27"/>
        <v>0</v>
      </c>
      <c r="N70" s="2">
        <f t="shared" si="27"/>
        <v>0</v>
      </c>
      <c r="O70" s="2">
        <f t="shared" si="27"/>
        <v>0</v>
      </c>
      <c r="P70" s="2">
        <f t="shared" si="27"/>
        <v>0</v>
      </c>
      <c r="Q70" s="2">
        <f t="shared" si="27"/>
        <v>0</v>
      </c>
      <c r="R70" s="2">
        <f t="shared" si="27"/>
        <v>0</v>
      </c>
      <c r="S70" s="2">
        <f t="shared" si="27"/>
        <v>0</v>
      </c>
      <c r="T70" s="2">
        <f t="shared" si="27"/>
        <v>0</v>
      </c>
      <c r="U70" s="2">
        <f t="shared" si="27"/>
        <v>0</v>
      </c>
      <c r="V70" s="2">
        <f t="shared" si="27"/>
        <v>0</v>
      </c>
      <c r="W70" s="2">
        <f t="shared" si="27"/>
        <v>0</v>
      </c>
      <c r="X70" s="2">
        <f t="shared" si="27"/>
        <v>0</v>
      </c>
      <c r="Y70" s="2">
        <f t="shared" si="27"/>
        <v>0</v>
      </c>
      <c r="Z70" s="2">
        <f t="shared" si="27"/>
        <v>0</v>
      </c>
      <c r="AA70" s="2">
        <f t="shared" si="27"/>
        <v>0</v>
      </c>
      <c r="AB70" s="2">
        <f t="shared" si="27"/>
        <v>0</v>
      </c>
      <c r="AC70" s="2">
        <f t="shared" si="27"/>
        <v>0</v>
      </c>
      <c r="AD70" s="2">
        <f t="shared" si="27"/>
        <v>0</v>
      </c>
      <c r="AE70" s="2">
        <f t="shared" si="27"/>
        <v>0</v>
      </c>
      <c r="AF70" s="2">
        <f t="shared" ref="AF70:AK70" si="28">SUMIF($A$5:$A$14,"YES",AR$5:AR$14)</f>
        <v>0</v>
      </c>
      <c r="AG70" s="2">
        <f t="shared" si="28"/>
        <v>0</v>
      </c>
      <c r="AH70" s="2">
        <f t="shared" si="28"/>
        <v>0</v>
      </c>
      <c r="AI70" s="2">
        <f t="shared" si="28"/>
        <v>0</v>
      </c>
      <c r="AJ70" s="2">
        <f t="shared" si="28"/>
        <v>0</v>
      </c>
      <c r="AK70" s="2">
        <f t="shared" si="28"/>
        <v>0</v>
      </c>
    </row>
    <row r="72" spans="1:50" ht="15.75" thickBot="1" x14ac:dyDescent="0.3">
      <c r="A72" s="3" t="s">
        <v>37</v>
      </c>
      <c r="B72" s="3"/>
      <c r="C72" s="6">
        <f t="shared" ref="C72:AX72" si="29">C67-C70</f>
        <v>-12545935.498156963</v>
      </c>
      <c r="D72" s="6">
        <f t="shared" si="29"/>
        <v>-24523591.996313926</v>
      </c>
      <c r="E72" s="6">
        <f t="shared" si="29"/>
        <v>-8529677.9963139258</v>
      </c>
      <c r="F72" s="6">
        <f t="shared" si="29"/>
        <v>304650.00368607417</v>
      </c>
      <c r="G72" s="6">
        <f t="shared" si="29"/>
        <v>20241526.003686074</v>
      </c>
      <c r="H72" s="6">
        <f t="shared" si="29"/>
        <v>24927529.483412679</v>
      </c>
      <c r="I72" s="6">
        <f t="shared" si="29"/>
        <v>0</v>
      </c>
      <c r="J72" s="6">
        <f t="shared" si="29"/>
        <v>0</v>
      </c>
      <c r="K72" s="6">
        <f t="shared" si="29"/>
        <v>0</v>
      </c>
      <c r="L72" s="6">
        <f t="shared" si="29"/>
        <v>0</v>
      </c>
      <c r="M72" s="6">
        <f t="shared" si="29"/>
        <v>0</v>
      </c>
      <c r="N72" s="6">
        <f t="shared" si="29"/>
        <v>0</v>
      </c>
      <c r="O72" s="6">
        <f t="shared" si="29"/>
        <v>0</v>
      </c>
      <c r="P72" s="6">
        <f t="shared" si="29"/>
        <v>0</v>
      </c>
      <c r="Q72" s="6">
        <f t="shared" si="29"/>
        <v>0</v>
      </c>
      <c r="R72" s="6">
        <f t="shared" si="29"/>
        <v>0</v>
      </c>
      <c r="S72" s="6">
        <f t="shared" si="29"/>
        <v>0</v>
      </c>
      <c r="T72" s="6">
        <f t="shared" si="29"/>
        <v>0</v>
      </c>
      <c r="U72" s="6">
        <f t="shared" si="29"/>
        <v>0</v>
      </c>
      <c r="V72" s="6">
        <f t="shared" si="29"/>
        <v>0</v>
      </c>
      <c r="W72" s="6">
        <f t="shared" si="29"/>
        <v>0</v>
      </c>
      <c r="X72" s="6">
        <f t="shared" si="29"/>
        <v>0</v>
      </c>
      <c r="Y72" s="6">
        <f t="shared" si="29"/>
        <v>0</v>
      </c>
      <c r="Z72" s="6">
        <f t="shared" si="29"/>
        <v>0</v>
      </c>
      <c r="AA72" s="6">
        <f t="shared" si="29"/>
        <v>0</v>
      </c>
      <c r="AB72" s="6">
        <f t="shared" si="29"/>
        <v>0</v>
      </c>
      <c r="AC72" s="6">
        <f t="shared" si="29"/>
        <v>0</v>
      </c>
      <c r="AD72" s="6">
        <f t="shared" si="29"/>
        <v>0</v>
      </c>
      <c r="AE72" s="6">
        <f t="shared" si="29"/>
        <v>0</v>
      </c>
      <c r="AF72" s="6">
        <f t="shared" si="29"/>
        <v>0</v>
      </c>
      <c r="AG72" s="6">
        <f t="shared" si="29"/>
        <v>0</v>
      </c>
      <c r="AH72" s="6">
        <f t="shared" si="29"/>
        <v>0</v>
      </c>
      <c r="AI72" s="6">
        <f t="shared" si="29"/>
        <v>0</v>
      </c>
      <c r="AJ72" s="6">
        <f t="shared" si="29"/>
        <v>0</v>
      </c>
      <c r="AK72" s="6">
        <f t="shared" si="29"/>
        <v>0</v>
      </c>
      <c r="AL72" s="6">
        <f t="shared" si="29"/>
        <v>0</v>
      </c>
      <c r="AM72" s="6">
        <f t="shared" si="29"/>
        <v>0</v>
      </c>
      <c r="AN72" s="6">
        <f t="shared" si="29"/>
        <v>0</v>
      </c>
      <c r="AO72" s="6">
        <f t="shared" si="29"/>
        <v>0</v>
      </c>
      <c r="AP72" s="6">
        <f t="shared" si="29"/>
        <v>0</v>
      </c>
      <c r="AQ72" s="6">
        <f t="shared" si="29"/>
        <v>0</v>
      </c>
      <c r="AR72" s="6">
        <f t="shared" si="29"/>
        <v>0</v>
      </c>
      <c r="AS72" s="6">
        <f t="shared" si="29"/>
        <v>0</v>
      </c>
      <c r="AT72" s="6">
        <f t="shared" si="29"/>
        <v>0</v>
      </c>
      <c r="AU72" s="6">
        <f t="shared" si="29"/>
        <v>0</v>
      </c>
      <c r="AV72" s="6">
        <f t="shared" si="29"/>
        <v>0</v>
      </c>
      <c r="AW72" s="6">
        <f t="shared" si="29"/>
        <v>0</v>
      </c>
      <c r="AX72" s="6">
        <f t="shared" si="29"/>
        <v>0</v>
      </c>
    </row>
    <row r="73" spans="1:50" ht="15.75" thickTop="1" x14ac:dyDescent="0.25"/>
    <row r="75" spans="1:50" x14ac:dyDescent="0.25">
      <c r="A75" s="3" t="s">
        <v>38</v>
      </c>
      <c r="B75" s="9"/>
      <c r="C75" s="9">
        <v>2020</v>
      </c>
      <c r="D75" s="9">
        <v>2021</v>
      </c>
      <c r="E75" s="9">
        <v>2022</v>
      </c>
      <c r="F75" s="9">
        <v>2023</v>
      </c>
      <c r="G75" s="9">
        <v>2024</v>
      </c>
      <c r="H75" s="9">
        <v>2025</v>
      </c>
      <c r="I75" s="9">
        <v>2026</v>
      </c>
      <c r="J75" s="9">
        <v>2027</v>
      </c>
      <c r="K75" s="9">
        <v>2028</v>
      </c>
      <c r="L75" s="9">
        <v>2029</v>
      </c>
      <c r="M75" s="9">
        <v>2030</v>
      </c>
      <c r="N75" s="9">
        <v>2031</v>
      </c>
      <c r="O75" s="9">
        <v>2032</v>
      </c>
      <c r="P75" s="9">
        <v>2033</v>
      </c>
      <c r="Q75" s="9">
        <v>2034</v>
      </c>
      <c r="R75" s="9">
        <v>2035</v>
      </c>
      <c r="S75" s="9">
        <v>2036</v>
      </c>
      <c r="T75" s="9">
        <v>2037</v>
      </c>
      <c r="U75" s="9">
        <v>2038</v>
      </c>
      <c r="V75" s="9">
        <v>2039</v>
      </c>
      <c r="W75" s="9">
        <v>2040</v>
      </c>
      <c r="X75" s="9">
        <v>2041</v>
      </c>
      <c r="Y75" s="9">
        <v>2042</v>
      </c>
      <c r="Z75" s="9">
        <v>2044</v>
      </c>
      <c r="AA75" s="9">
        <v>2045</v>
      </c>
      <c r="AB75" s="9">
        <v>2046</v>
      </c>
      <c r="AC75" s="9">
        <v>2047</v>
      </c>
      <c r="AD75" s="9">
        <v>2048</v>
      </c>
      <c r="AE75" s="9">
        <v>2049</v>
      </c>
      <c r="AF75" s="9">
        <v>2050</v>
      </c>
      <c r="AG75" s="9">
        <v>2051</v>
      </c>
      <c r="AH75" s="9">
        <v>2052</v>
      </c>
      <c r="AI75" s="9">
        <v>2053</v>
      </c>
      <c r="AJ75" s="9">
        <v>2054</v>
      </c>
      <c r="AK75" s="9">
        <v>2055</v>
      </c>
      <c r="AL75" s="9">
        <v>2056</v>
      </c>
      <c r="AM75" s="9">
        <v>2057</v>
      </c>
      <c r="AN75" s="9">
        <v>2058</v>
      </c>
      <c r="AO75" s="9">
        <v>2059</v>
      </c>
      <c r="AP75" s="9">
        <v>2060</v>
      </c>
      <c r="AQ75" s="9">
        <v>2061</v>
      </c>
      <c r="AR75" s="9">
        <v>2062</v>
      </c>
      <c r="AS75" s="9">
        <v>2063</v>
      </c>
      <c r="AT75" s="9">
        <v>2064</v>
      </c>
      <c r="AU75" s="9">
        <v>2065</v>
      </c>
      <c r="AV75" s="9">
        <v>2066</v>
      </c>
      <c r="AW75" s="9">
        <v>2067</v>
      </c>
      <c r="AX75" s="9">
        <v>2068</v>
      </c>
    </row>
    <row r="77" spans="1:50" x14ac:dyDescent="0.25">
      <c r="A77" s="8" t="s">
        <v>39</v>
      </c>
    </row>
    <row r="78" spans="1:50" x14ac:dyDescent="0.25">
      <c r="A78" t="s">
        <v>26</v>
      </c>
      <c r="B78" s="12"/>
      <c r="C78" s="12">
        <f>C$56*ARAM!$D$8</f>
        <v>3405703.0286007412</v>
      </c>
      <c r="D78" s="12">
        <f>D$56*ARAM!$D$8</f>
        <v>6383857.7352846777</v>
      </c>
      <c r="E78" s="12">
        <f>E$56*ARAM!$D$8</f>
        <v>6485866.6925052283</v>
      </c>
      <c r="F78" s="12">
        <f>F$56*ARAM!$D$8</f>
        <v>6282577.1125881774</v>
      </c>
      <c r="G78" s="12">
        <f>G$56*ARAM!$D$8</f>
        <v>6343903.63958026</v>
      </c>
      <c r="H78" s="12">
        <f>H$56*ARAM!$D$8</f>
        <v>6461166.9792980943</v>
      </c>
      <c r="I78" s="12">
        <f>I$56*ARAM!$D$8</f>
        <v>6636475.949074951</v>
      </c>
      <c r="J78" s="12">
        <f>J$56*ARAM!$D$8</f>
        <v>6378193.033612214</v>
      </c>
      <c r="K78" s="12">
        <f>K$56*ARAM!$D$8</f>
        <v>6718876.3389037326</v>
      </c>
      <c r="L78" s="12">
        <f>L$56*ARAM!$D$8</f>
        <v>6946230.1014662087</v>
      </c>
      <c r="M78" s="12">
        <f>M$56*ARAM!$D$8</f>
        <v>6919059.0239527961</v>
      </c>
      <c r="N78" s="12">
        <f>N$56*ARAM!$D$8</f>
        <v>6595835.2152233757</v>
      </c>
      <c r="O78" s="12">
        <f>O$56*ARAM!$D$8</f>
        <v>6277813.7375731105</v>
      </c>
      <c r="P78" s="12">
        <f>P$56*ARAM!$D$8</f>
        <v>6542545.6226045908</v>
      </c>
      <c r="Q78" s="12">
        <f>Q$56*ARAM!$D$8</f>
        <v>6480721.2594767362</v>
      </c>
      <c r="R78" s="12">
        <f>R$56*ARAM!$D$8</f>
        <v>5795835.1490259729</v>
      </c>
      <c r="S78" s="12">
        <f>S$56*ARAM!$D$8</f>
        <v>5699800.3457703711</v>
      </c>
      <c r="T78" s="12">
        <f>T$56*ARAM!$D$8</f>
        <v>5338083.9260114394</v>
      </c>
      <c r="U78" s="12">
        <f>U$56*ARAM!$D$8</f>
        <v>5152690.1225349195</v>
      </c>
      <c r="V78" s="12">
        <f>V$56*ARAM!$D$8</f>
        <v>4962344.2433664547</v>
      </c>
      <c r="W78" s="12">
        <f>W$56*ARAM!$D$8</f>
        <v>4703094.7345184619</v>
      </c>
      <c r="X78" s="12">
        <f>X$56*ARAM!$D$8</f>
        <v>4518881.9194725314</v>
      </c>
      <c r="Y78" s="12">
        <f>Y$56*ARAM!$D$8</f>
        <v>4329055.1089853542</v>
      </c>
      <c r="Z78" s="12">
        <f>Z$56*ARAM!$D$8</f>
        <v>3952989.4829312591</v>
      </c>
      <c r="AA78" s="12">
        <f>AA$56*ARAM!$D$8</f>
        <v>3841617.6007571993</v>
      </c>
      <c r="AB78" s="12">
        <f>AB$56*ARAM!$D$8</f>
        <v>3728508.8372729747</v>
      </c>
      <c r="AC78" s="12">
        <f>AC$56*ARAM!$D$8</f>
        <v>3605174.997967008</v>
      </c>
      <c r="AD78" s="12">
        <f>AD$56*ARAM!$D$8</f>
        <v>3474606.047747443</v>
      </c>
      <c r="AE78" s="12">
        <f>AE$56*ARAM!$D$8</f>
        <v>3348558.1870407518</v>
      </c>
      <c r="AF78" s="12">
        <f>AF$56*ARAM!$D$8</f>
        <v>3137864.4768402795</v>
      </c>
      <c r="AG78" s="12">
        <f>AG$56*ARAM!$D$8</f>
        <v>2956816.3993852953</v>
      </c>
      <c r="AH78" s="12">
        <f>AH$56*ARAM!$D$8</f>
        <v>2786214.409258835</v>
      </c>
      <c r="AI78" s="12">
        <f>AI$56*ARAM!$D$8</f>
        <v>2625455.7895361502</v>
      </c>
      <c r="AJ78" s="12">
        <f>AJ$56*ARAM!$D$8</f>
        <v>2473972.5987715758</v>
      </c>
      <c r="AK78" s="12">
        <f>AK$56*ARAM!$D$8</f>
        <v>2331229.6645276677</v>
      </c>
      <c r="AL78" s="12">
        <f>AL$56*ARAM!$D$8</f>
        <v>2196722.6926734322</v>
      </c>
      <c r="AM78" s="12">
        <f>AM$56*ARAM!$D$8</f>
        <v>2069976.4857719969</v>
      </c>
      <c r="AN78" s="12">
        <f>AN$56*ARAM!$D$8</f>
        <v>1950543.2642635209</v>
      </c>
      <c r="AO78" s="12">
        <f>AO$56*ARAM!$D$8</f>
        <v>1838001.0845122519</v>
      </c>
      <c r="AP78" s="12">
        <f>AP$56*ARAM!$D$8</f>
        <v>1731952.3481288999</v>
      </c>
      <c r="AQ78" s="12">
        <f>AQ$56*ARAM!$D$8</f>
        <v>1632022.3973019186</v>
      </c>
      <c r="AR78" s="12">
        <f>AR$56*ARAM!$D$8</f>
        <v>1537858.1911751707</v>
      </c>
      <c r="AS78" s="12">
        <f>AS$56*ARAM!$D$8</f>
        <v>1449127.0585957835</v>
      </c>
      <c r="AT78" s="12">
        <f>AT$56*ARAM!$D$8</f>
        <v>1365515.5228257773</v>
      </c>
      <c r="AU78" s="12">
        <f>AU$56*ARAM!$D$8</f>
        <v>1286728.1940653296</v>
      </c>
      <c r="AV78" s="12">
        <f>AV$56*ARAM!$D$8</f>
        <v>1212486.7258750799</v>
      </c>
      <c r="AW78" s="12">
        <f>AW$56*ARAM!$D$8</f>
        <v>1142528.8318106371</v>
      </c>
      <c r="AX78" s="12">
        <f>AX$56*ARAM!$D$8</f>
        <v>867216.6157655128</v>
      </c>
    </row>
    <row r="79" spans="1:50" x14ac:dyDescent="0.25">
      <c r="A79" t="s">
        <v>27</v>
      </c>
      <c r="B79" s="12"/>
      <c r="C79" s="12">
        <f>C78+B79</f>
        <v>3405703.0286007412</v>
      </c>
      <c r="D79" s="12">
        <f t="shared" ref="D79" si="30">D78+C79</f>
        <v>9789560.7638854198</v>
      </c>
      <c r="E79" s="12">
        <f>E78+D79</f>
        <v>16275427.456390649</v>
      </c>
      <c r="F79" s="12">
        <f t="shared" ref="F79" si="31">F78+E79</f>
        <v>22558004.568978827</v>
      </c>
      <c r="G79" s="12">
        <f>G78+F79</f>
        <v>28901908.208559088</v>
      </c>
      <c r="H79" s="12">
        <f t="shared" ref="H79" si="32">H78+G79</f>
        <v>35363075.187857181</v>
      </c>
      <c r="I79" s="12">
        <f>I78+H79</f>
        <v>41999551.136932135</v>
      </c>
      <c r="J79" s="12">
        <f t="shared" ref="J79" si="33">J78+I79</f>
        <v>48377744.170544349</v>
      </c>
      <c r="K79" s="12">
        <f>K78+J79</f>
        <v>55096620.509448081</v>
      </c>
      <c r="L79" s="12">
        <f t="shared" ref="L79:AX79" si="34">L78+K79</f>
        <v>62042850.61091429</v>
      </c>
      <c r="M79" s="12">
        <f t="shared" si="34"/>
        <v>68961909.634867087</v>
      </c>
      <c r="N79" s="12">
        <f t="shared" si="34"/>
        <v>75557744.850090459</v>
      </c>
      <c r="O79" s="12">
        <f t="shared" si="34"/>
        <v>81835558.587663576</v>
      </c>
      <c r="P79" s="12">
        <f t="shared" si="34"/>
        <v>88378104.21026817</v>
      </c>
      <c r="Q79" s="12">
        <f t="shared" si="34"/>
        <v>94858825.469744906</v>
      </c>
      <c r="R79" s="12">
        <f t="shared" si="34"/>
        <v>100654660.61877088</v>
      </c>
      <c r="S79" s="12">
        <f t="shared" si="34"/>
        <v>106354460.96454126</v>
      </c>
      <c r="T79" s="12">
        <f t="shared" si="34"/>
        <v>111692544.8905527</v>
      </c>
      <c r="U79" s="12">
        <f t="shared" si="34"/>
        <v>116845235.01308762</v>
      </c>
      <c r="V79" s="12">
        <f t="shared" si="34"/>
        <v>121807579.25645407</v>
      </c>
      <c r="W79" s="12">
        <f t="shared" si="34"/>
        <v>126510673.99097253</v>
      </c>
      <c r="X79" s="12">
        <f t="shared" si="34"/>
        <v>131029555.91044506</v>
      </c>
      <c r="Y79" s="12">
        <f t="shared" si="34"/>
        <v>135358611.01943043</v>
      </c>
      <c r="Z79" s="12">
        <f t="shared" si="34"/>
        <v>139311600.50236169</v>
      </c>
      <c r="AA79" s="12">
        <f t="shared" si="34"/>
        <v>143153218.1031189</v>
      </c>
      <c r="AB79" s="12">
        <f t="shared" si="34"/>
        <v>146881726.94039187</v>
      </c>
      <c r="AC79" s="12">
        <f t="shared" si="34"/>
        <v>150486901.93835887</v>
      </c>
      <c r="AD79" s="12">
        <f t="shared" si="34"/>
        <v>153961507.98610631</v>
      </c>
      <c r="AE79" s="12">
        <f t="shared" si="34"/>
        <v>157310066.17314705</v>
      </c>
      <c r="AF79" s="12">
        <f t="shared" si="34"/>
        <v>160447930.64998734</v>
      </c>
      <c r="AG79" s="12">
        <f t="shared" si="34"/>
        <v>163404747.04937264</v>
      </c>
      <c r="AH79" s="12">
        <f t="shared" si="34"/>
        <v>166190961.45863149</v>
      </c>
      <c r="AI79" s="12">
        <f t="shared" si="34"/>
        <v>168816417.24816763</v>
      </c>
      <c r="AJ79" s="12">
        <f t="shared" si="34"/>
        <v>171290389.84693921</v>
      </c>
      <c r="AK79" s="12">
        <f t="shared" si="34"/>
        <v>173621619.51146686</v>
      </c>
      <c r="AL79" s="12">
        <f t="shared" si="34"/>
        <v>175818342.20414031</v>
      </c>
      <c r="AM79" s="12">
        <f t="shared" si="34"/>
        <v>177888318.68991229</v>
      </c>
      <c r="AN79" s="12">
        <f t="shared" si="34"/>
        <v>179838861.9541758</v>
      </c>
      <c r="AO79" s="12">
        <f t="shared" si="34"/>
        <v>181676863.03868806</v>
      </c>
      <c r="AP79" s="12">
        <f t="shared" si="34"/>
        <v>183408815.38681698</v>
      </c>
      <c r="AQ79" s="12">
        <f t="shared" si="34"/>
        <v>185040837.78411889</v>
      </c>
      <c r="AR79" s="12">
        <f t="shared" si="34"/>
        <v>186578695.97529405</v>
      </c>
      <c r="AS79" s="12">
        <f t="shared" si="34"/>
        <v>188027823.03388983</v>
      </c>
      <c r="AT79" s="12">
        <f t="shared" si="34"/>
        <v>189393338.55671561</v>
      </c>
      <c r="AU79" s="12">
        <f t="shared" si="34"/>
        <v>190680066.75078094</v>
      </c>
      <c r="AV79" s="12">
        <f t="shared" si="34"/>
        <v>191892553.47665602</v>
      </c>
      <c r="AW79" s="12">
        <f t="shared" si="34"/>
        <v>193035082.30846664</v>
      </c>
      <c r="AX79" s="12">
        <f t="shared" si="34"/>
        <v>193902298.92423216</v>
      </c>
    </row>
    <row r="81" spans="1:50" x14ac:dyDescent="0.25">
      <c r="A81" s="8" t="s">
        <v>40</v>
      </c>
    </row>
    <row r="82" spans="1:50" x14ac:dyDescent="0.25">
      <c r="A82" t="s">
        <v>34</v>
      </c>
      <c r="C82" s="170">
        <f>SUMIF(A$16:A$19,"YES",I$16:I$19)</f>
        <v>70600150</v>
      </c>
      <c r="D82" s="2">
        <f>C84</f>
        <v>66685675.368931651</v>
      </c>
      <c r="E82" s="2">
        <f>D84</f>
        <v>58856726.106794953</v>
      </c>
      <c r="F82" s="2">
        <f t="shared" ref="F82:AK82" si="35">E84</f>
        <v>51027776.844658256</v>
      </c>
      <c r="G82" s="2">
        <f t="shared" si="35"/>
        <v>43198827.582521558</v>
      </c>
      <c r="H82" s="2">
        <f t="shared" si="35"/>
        <v>35369878.32038486</v>
      </c>
      <c r="I82" s="2">
        <f t="shared" si="35"/>
        <v>27540929.058248162</v>
      </c>
      <c r="J82" s="2">
        <f t="shared" si="35"/>
        <v>19711979.796111465</v>
      </c>
      <c r="K82" s="2">
        <f t="shared" si="35"/>
        <v>11883030.533974769</v>
      </c>
      <c r="L82" s="2">
        <f t="shared" si="35"/>
        <v>4054081.2718380727</v>
      </c>
      <c r="M82" s="2">
        <f t="shared" si="35"/>
        <v>0</v>
      </c>
      <c r="N82" s="2">
        <f t="shared" si="35"/>
        <v>0</v>
      </c>
      <c r="O82" s="2">
        <f t="shared" si="35"/>
        <v>0</v>
      </c>
      <c r="P82" s="2">
        <f t="shared" si="35"/>
        <v>0</v>
      </c>
      <c r="Q82" s="2">
        <f t="shared" si="35"/>
        <v>0</v>
      </c>
      <c r="R82" s="2">
        <f t="shared" si="35"/>
        <v>0</v>
      </c>
      <c r="S82" s="2">
        <f t="shared" si="35"/>
        <v>0</v>
      </c>
      <c r="T82" s="2">
        <f t="shared" si="35"/>
        <v>0</v>
      </c>
      <c r="U82" s="2">
        <f t="shared" si="35"/>
        <v>0</v>
      </c>
      <c r="V82" s="2">
        <f t="shared" si="35"/>
        <v>0</v>
      </c>
      <c r="W82" s="2">
        <f t="shared" si="35"/>
        <v>0</v>
      </c>
      <c r="X82" s="2">
        <f t="shared" si="35"/>
        <v>0</v>
      </c>
      <c r="Y82" s="2">
        <f t="shared" si="35"/>
        <v>0</v>
      </c>
      <c r="Z82" s="2">
        <f t="shared" si="35"/>
        <v>0</v>
      </c>
      <c r="AA82" s="2">
        <f t="shared" si="35"/>
        <v>0</v>
      </c>
      <c r="AB82" s="2">
        <f t="shared" si="35"/>
        <v>0</v>
      </c>
      <c r="AC82" s="2">
        <f t="shared" si="35"/>
        <v>0</v>
      </c>
      <c r="AD82" s="2">
        <f t="shared" si="35"/>
        <v>0</v>
      </c>
      <c r="AE82" s="2">
        <f t="shared" si="35"/>
        <v>0</v>
      </c>
      <c r="AF82" s="2">
        <f t="shared" si="35"/>
        <v>0</v>
      </c>
      <c r="AG82" s="2">
        <f t="shared" si="35"/>
        <v>0</v>
      </c>
      <c r="AH82" s="2">
        <f t="shared" si="35"/>
        <v>0</v>
      </c>
      <c r="AI82" s="2">
        <f t="shared" si="35"/>
        <v>0</v>
      </c>
      <c r="AJ82" s="2">
        <f t="shared" si="35"/>
        <v>0</v>
      </c>
      <c r="AK82" s="2">
        <f t="shared" si="35"/>
        <v>0</v>
      </c>
    </row>
    <row r="83" spans="1:50" ht="17.25" x14ac:dyDescent="0.4">
      <c r="A83" t="s">
        <v>28</v>
      </c>
      <c r="B83" s="12">
        <f>COUNTIF(C83:AK83,"&gt;0")</f>
        <v>10</v>
      </c>
      <c r="C83" s="13">
        <f>MIN(ARAM!C8/2,C82)</f>
        <v>3914474.631068348</v>
      </c>
      <c r="D83" s="13">
        <f>MIN(ARAM!$C$8,D82)</f>
        <v>7828949.2621366959</v>
      </c>
      <c r="E83" s="13">
        <f>MIN(ARAM!$C$8,E82)</f>
        <v>7828949.2621366959</v>
      </c>
      <c r="F83" s="13">
        <f>MIN(ARAM!$C$8,F82)</f>
        <v>7828949.2621366959</v>
      </c>
      <c r="G83" s="13">
        <f>MIN(ARAM!$C$8,G82)</f>
        <v>7828949.2621366959</v>
      </c>
      <c r="H83" s="13">
        <f>MIN(ARAM!$C$8,H82)</f>
        <v>7828949.2621366959</v>
      </c>
      <c r="I83" s="13">
        <f>MIN(ARAM!$C$8,I82)</f>
        <v>7828949.2621366959</v>
      </c>
      <c r="J83" s="13">
        <f>MIN(ARAM!$C$8,J82)</f>
        <v>7828949.2621366959</v>
      </c>
      <c r="K83" s="13">
        <f>MIN(ARAM!$C$8,K82)</f>
        <v>7828949.2621366959</v>
      </c>
      <c r="L83" s="13">
        <f>MIN(ARAM!$C$8,L82)</f>
        <v>4054081.2718380727</v>
      </c>
      <c r="M83" s="13">
        <f>MIN(ARAM!$C$8,M82)</f>
        <v>0</v>
      </c>
      <c r="N83" s="13">
        <f>MIN(ARAM!$C$8,N82)</f>
        <v>0</v>
      </c>
      <c r="O83" s="13">
        <f>MIN(ARAM!$C$8,O82)</f>
        <v>0</v>
      </c>
      <c r="P83" s="13">
        <f>MIN(ARAM!$C$8,P82)</f>
        <v>0</v>
      </c>
      <c r="Q83" s="13">
        <f>MIN(ARAM!$C$8,Q82)</f>
        <v>0</v>
      </c>
      <c r="R83" s="13">
        <f>MIN(ARAM!$C$8,R82)</f>
        <v>0</v>
      </c>
      <c r="S83" s="13">
        <f>MIN(ARAM!$C$8,S82)</f>
        <v>0</v>
      </c>
      <c r="T83" s="13">
        <f>MIN(ARAM!$C$8,T82)</f>
        <v>0</v>
      </c>
      <c r="U83" s="13">
        <f>MIN(ARAM!$C$8,U82)</f>
        <v>0</v>
      </c>
      <c r="V83" s="13">
        <f>MIN(ARAM!$C$8,V82)</f>
        <v>0</v>
      </c>
      <c r="W83" s="13">
        <f>MIN(ARAM!$C$8,W82)</f>
        <v>0</v>
      </c>
      <c r="X83" s="13">
        <f>MIN(ARAM!$C$8,X82)</f>
        <v>0</v>
      </c>
      <c r="Y83" s="13">
        <f>MIN(ARAM!$C$8,Y82)</f>
        <v>0</v>
      </c>
      <c r="Z83" s="13">
        <f>MIN(ARAM!$C$8,Z82)</f>
        <v>0</v>
      </c>
      <c r="AA83" s="13">
        <f>MIN(ARAM!$C$8,AA82)</f>
        <v>0</v>
      </c>
      <c r="AB83" s="13">
        <f>MIN(ARAM!$C$8,AB82)</f>
        <v>0</v>
      </c>
      <c r="AC83" s="13">
        <f>MIN(ARAM!$C$8,AC82)</f>
        <v>0</v>
      </c>
      <c r="AD83" s="13">
        <f>MIN(ARAM!$C$8,AD82)</f>
        <v>0</v>
      </c>
      <c r="AE83" s="13">
        <f>MIN(ARAM!$C$8,AE82)</f>
        <v>0</v>
      </c>
      <c r="AF83" s="13">
        <f>MIN(ARAM!$C$8,AF82)</f>
        <v>0</v>
      </c>
      <c r="AG83" s="13">
        <f>MIN(ARAM!$C$8,AG82)</f>
        <v>0</v>
      </c>
      <c r="AH83" s="13">
        <f>MIN(ARAM!$C$8,AH82)</f>
        <v>0</v>
      </c>
      <c r="AI83" s="13">
        <f>MIN(ARAM!$C$8,AI82)</f>
        <v>0</v>
      </c>
      <c r="AJ83" s="13">
        <f>MIN(ARAM!$C$8,AJ82)</f>
        <v>0</v>
      </c>
      <c r="AK83" s="13">
        <f>MIN(ARAM!$C$8,AK82)</f>
        <v>0</v>
      </c>
    </row>
    <row r="84" spans="1:50" x14ac:dyDescent="0.25">
      <c r="A84" t="s">
        <v>35</v>
      </c>
      <c r="C84" s="2">
        <f>MAX(C82-C83,0)</f>
        <v>66685675.368931651</v>
      </c>
      <c r="D84" s="2">
        <f t="shared" ref="D84:AK84" si="36">MAX(D82-D83,0)</f>
        <v>58856726.106794953</v>
      </c>
      <c r="E84" s="2">
        <f t="shared" si="36"/>
        <v>51027776.844658256</v>
      </c>
      <c r="F84" s="2">
        <f t="shared" si="36"/>
        <v>43198827.582521558</v>
      </c>
      <c r="G84" s="2">
        <f t="shared" si="36"/>
        <v>35369878.32038486</v>
      </c>
      <c r="H84" s="2">
        <f t="shared" si="36"/>
        <v>27540929.058248162</v>
      </c>
      <c r="I84" s="2">
        <f t="shared" si="36"/>
        <v>19711979.796111465</v>
      </c>
      <c r="J84" s="2">
        <f t="shared" si="36"/>
        <v>11883030.533974769</v>
      </c>
      <c r="K84" s="2">
        <f t="shared" si="36"/>
        <v>4054081.2718380727</v>
      </c>
      <c r="L84" s="2">
        <f t="shared" si="36"/>
        <v>0</v>
      </c>
      <c r="M84" s="2">
        <f t="shared" si="36"/>
        <v>0</v>
      </c>
      <c r="N84" s="2">
        <f t="shared" si="36"/>
        <v>0</v>
      </c>
      <c r="O84" s="2">
        <f t="shared" si="36"/>
        <v>0</v>
      </c>
      <c r="P84" s="2">
        <f t="shared" si="36"/>
        <v>0</v>
      </c>
      <c r="Q84" s="2">
        <f t="shared" si="36"/>
        <v>0</v>
      </c>
      <c r="R84" s="2">
        <f t="shared" si="36"/>
        <v>0</v>
      </c>
      <c r="S84" s="2">
        <f t="shared" si="36"/>
        <v>0</v>
      </c>
      <c r="T84" s="2">
        <f t="shared" si="36"/>
        <v>0</v>
      </c>
      <c r="U84" s="2">
        <f t="shared" si="36"/>
        <v>0</v>
      </c>
      <c r="V84" s="2">
        <f t="shared" si="36"/>
        <v>0</v>
      </c>
      <c r="W84" s="2">
        <f t="shared" si="36"/>
        <v>0</v>
      </c>
      <c r="X84" s="2">
        <f t="shared" si="36"/>
        <v>0</v>
      </c>
      <c r="Y84" s="2">
        <f t="shared" si="36"/>
        <v>0</v>
      </c>
      <c r="Z84" s="2">
        <f t="shared" si="36"/>
        <v>0</v>
      </c>
      <c r="AA84" s="2">
        <f t="shared" si="36"/>
        <v>0</v>
      </c>
      <c r="AB84" s="2">
        <f t="shared" si="36"/>
        <v>0</v>
      </c>
      <c r="AC84" s="2">
        <f t="shared" si="36"/>
        <v>0</v>
      </c>
      <c r="AD84" s="2">
        <f t="shared" si="36"/>
        <v>0</v>
      </c>
      <c r="AE84" s="2">
        <f t="shared" si="36"/>
        <v>0</v>
      </c>
      <c r="AF84" s="2">
        <f t="shared" si="36"/>
        <v>0</v>
      </c>
      <c r="AG84" s="2">
        <f t="shared" si="36"/>
        <v>0</v>
      </c>
      <c r="AH84" s="2">
        <f t="shared" si="36"/>
        <v>0</v>
      </c>
      <c r="AI84" s="2">
        <f t="shared" si="36"/>
        <v>0</v>
      </c>
      <c r="AJ84" s="2">
        <f t="shared" si="36"/>
        <v>0</v>
      </c>
      <c r="AK84" s="2">
        <f t="shared" si="36"/>
        <v>0</v>
      </c>
    </row>
    <row r="86" spans="1:50" x14ac:dyDescent="0.25">
      <c r="A86" t="s">
        <v>41</v>
      </c>
      <c r="C86" s="170">
        <f t="shared" ref="C86:AE86" si="37">SUMIF($A$16:$A$19,"YES",M$16:M$19)</f>
        <v>25092338</v>
      </c>
      <c r="D86" s="17">
        <f t="shared" si="37"/>
        <v>45507812</v>
      </c>
      <c r="E86" s="17">
        <f t="shared" si="37"/>
        <v>0</v>
      </c>
      <c r="F86" s="17">
        <f t="shared" si="37"/>
        <v>0</v>
      </c>
      <c r="G86" s="17">
        <f t="shared" si="37"/>
        <v>0</v>
      </c>
      <c r="H86" s="17">
        <f t="shared" si="37"/>
        <v>0</v>
      </c>
      <c r="I86" s="17">
        <f t="shared" si="37"/>
        <v>0</v>
      </c>
      <c r="J86" s="17">
        <f t="shared" si="37"/>
        <v>0</v>
      </c>
      <c r="K86" s="17">
        <f t="shared" si="37"/>
        <v>0</v>
      </c>
      <c r="L86" s="17">
        <f t="shared" si="37"/>
        <v>0</v>
      </c>
      <c r="M86" s="17">
        <f t="shared" si="37"/>
        <v>0</v>
      </c>
      <c r="N86" s="17">
        <f t="shared" si="37"/>
        <v>0</v>
      </c>
      <c r="O86" s="17">
        <f t="shared" si="37"/>
        <v>0</v>
      </c>
      <c r="P86" s="17">
        <f t="shared" si="37"/>
        <v>0</v>
      </c>
      <c r="Q86" s="17">
        <f t="shared" si="37"/>
        <v>0</v>
      </c>
      <c r="R86" s="17">
        <f t="shared" si="37"/>
        <v>0</v>
      </c>
      <c r="S86" s="17">
        <f t="shared" si="37"/>
        <v>0</v>
      </c>
      <c r="T86" s="17">
        <f t="shared" si="37"/>
        <v>0</v>
      </c>
      <c r="U86" s="17">
        <f t="shared" si="37"/>
        <v>0</v>
      </c>
      <c r="V86" s="17">
        <f t="shared" si="37"/>
        <v>0</v>
      </c>
      <c r="W86" s="17">
        <f t="shared" si="37"/>
        <v>0</v>
      </c>
      <c r="X86" s="17">
        <f t="shared" si="37"/>
        <v>0</v>
      </c>
      <c r="Y86" s="17">
        <f t="shared" si="37"/>
        <v>0</v>
      </c>
      <c r="Z86" s="17">
        <f t="shared" si="37"/>
        <v>0</v>
      </c>
      <c r="AA86" s="17">
        <f t="shared" si="37"/>
        <v>0</v>
      </c>
      <c r="AB86" s="17">
        <f t="shared" si="37"/>
        <v>0</v>
      </c>
      <c r="AC86" s="17">
        <f t="shared" si="37"/>
        <v>0</v>
      </c>
      <c r="AD86" s="17">
        <f t="shared" si="37"/>
        <v>0</v>
      </c>
      <c r="AE86" s="17">
        <f t="shared" si="37"/>
        <v>0</v>
      </c>
      <c r="AF86" s="17">
        <f t="shared" ref="AF86:AK86" si="38">SUMIF($A$16:$A$19,"YES",AR$16:AR$19)</f>
        <v>0</v>
      </c>
      <c r="AG86" s="17">
        <f t="shared" si="38"/>
        <v>0</v>
      </c>
      <c r="AH86" s="17">
        <f t="shared" si="38"/>
        <v>0</v>
      </c>
      <c r="AI86" s="17">
        <f t="shared" si="38"/>
        <v>0</v>
      </c>
      <c r="AJ86" s="17">
        <f t="shared" si="38"/>
        <v>0</v>
      </c>
      <c r="AK86" s="17">
        <f t="shared" si="38"/>
        <v>0</v>
      </c>
    </row>
    <row r="88" spans="1:50" ht="15.75" thickBot="1" x14ac:dyDescent="0.3">
      <c r="A88" s="3" t="s">
        <v>42</v>
      </c>
      <c r="B88" s="3"/>
      <c r="C88" s="6">
        <f t="shared" ref="C88:AX88" si="39">C83-C86</f>
        <v>-21177863.368931651</v>
      </c>
      <c r="D88" s="6">
        <f t="shared" si="39"/>
        <v>-37678862.737863302</v>
      </c>
      <c r="E88" s="6">
        <f t="shared" si="39"/>
        <v>7828949.2621366959</v>
      </c>
      <c r="F88" s="6">
        <f t="shared" si="39"/>
        <v>7828949.2621366959</v>
      </c>
      <c r="G88" s="6">
        <f t="shared" si="39"/>
        <v>7828949.2621366959</v>
      </c>
      <c r="H88" s="6">
        <f t="shared" si="39"/>
        <v>7828949.2621366959</v>
      </c>
      <c r="I88" s="6">
        <f t="shared" si="39"/>
        <v>7828949.2621366959</v>
      </c>
      <c r="J88" s="6">
        <f t="shared" si="39"/>
        <v>7828949.2621366959</v>
      </c>
      <c r="K88" s="6">
        <f t="shared" si="39"/>
        <v>7828949.2621366959</v>
      </c>
      <c r="L88" s="6">
        <f t="shared" si="39"/>
        <v>4054081.2718380727</v>
      </c>
      <c r="M88" s="6">
        <f t="shared" si="39"/>
        <v>0</v>
      </c>
      <c r="N88" s="6">
        <f t="shared" si="39"/>
        <v>0</v>
      </c>
      <c r="O88" s="6">
        <f t="shared" si="39"/>
        <v>0</v>
      </c>
      <c r="P88" s="6">
        <f t="shared" si="39"/>
        <v>0</v>
      </c>
      <c r="Q88" s="6">
        <f t="shared" si="39"/>
        <v>0</v>
      </c>
      <c r="R88" s="6">
        <f t="shared" si="39"/>
        <v>0</v>
      </c>
      <c r="S88" s="6">
        <f t="shared" si="39"/>
        <v>0</v>
      </c>
      <c r="T88" s="6">
        <f t="shared" si="39"/>
        <v>0</v>
      </c>
      <c r="U88" s="6">
        <f t="shared" si="39"/>
        <v>0</v>
      </c>
      <c r="V88" s="6">
        <f t="shared" si="39"/>
        <v>0</v>
      </c>
      <c r="W88" s="6">
        <f t="shared" si="39"/>
        <v>0</v>
      </c>
      <c r="X88" s="6">
        <f t="shared" si="39"/>
        <v>0</v>
      </c>
      <c r="Y88" s="6">
        <f t="shared" si="39"/>
        <v>0</v>
      </c>
      <c r="Z88" s="6">
        <f t="shared" si="39"/>
        <v>0</v>
      </c>
      <c r="AA88" s="6">
        <f t="shared" si="39"/>
        <v>0</v>
      </c>
      <c r="AB88" s="6">
        <f t="shared" si="39"/>
        <v>0</v>
      </c>
      <c r="AC88" s="6">
        <f t="shared" si="39"/>
        <v>0</v>
      </c>
      <c r="AD88" s="6">
        <f t="shared" si="39"/>
        <v>0</v>
      </c>
      <c r="AE88" s="6">
        <f t="shared" si="39"/>
        <v>0</v>
      </c>
      <c r="AF88" s="6">
        <f t="shared" si="39"/>
        <v>0</v>
      </c>
      <c r="AG88" s="6">
        <f t="shared" si="39"/>
        <v>0</v>
      </c>
      <c r="AH88" s="6">
        <f t="shared" si="39"/>
        <v>0</v>
      </c>
      <c r="AI88" s="6">
        <f t="shared" si="39"/>
        <v>0</v>
      </c>
      <c r="AJ88" s="6">
        <f t="shared" si="39"/>
        <v>0</v>
      </c>
      <c r="AK88" s="6">
        <f t="shared" si="39"/>
        <v>0</v>
      </c>
      <c r="AL88" s="6">
        <f t="shared" si="39"/>
        <v>0</v>
      </c>
      <c r="AM88" s="6">
        <f t="shared" si="39"/>
        <v>0</v>
      </c>
      <c r="AN88" s="6">
        <f t="shared" si="39"/>
        <v>0</v>
      </c>
      <c r="AO88" s="6">
        <f t="shared" si="39"/>
        <v>0</v>
      </c>
      <c r="AP88" s="6">
        <f t="shared" si="39"/>
        <v>0</v>
      </c>
      <c r="AQ88" s="6">
        <f t="shared" si="39"/>
        <v>0</v>
      </c>
      <c r="AR88" s="6">
        <f t="shared" si="39"/>
        <v>0</v>
      </c>
      <c r="AS88" s="6">
        <f t="shared" si="39"/>
        <v>0</v>
      </c>
      <c r="AT88" s="6">
        <f t="shared" si="39"/>
        <v>0</v>
      </c>
      <c r="AU88" s="6">
        <f t="shared" si="39"/>
        <v>0</v>
      </c>
      <c r="AV88" s="6">
        <f t="shared" si="39"/>
        <v>0</v>
      </c>
      <c r="AW88" s="6">
        <f t="shared" si="39"/>
        <v>0</v>
      </c>
      <c r="AX88" s="6">
        <f t="shared" si="39"/>
        <v>0</v>
      </c>
    </row>
    <row r="89" spans="1:50" ht="15.75" thickTop="1" x14ac:dyDescent="0.25"/>
    <row r="90" spans="1:50" x14ac:dyDescent="0.25">
      <c r="A90" s="3" t="s">
        <v>54</v>
      </c>
      <c r="C90" s="18">
        <f>C72+C88</f>
        <v>-33723798.867088616</v>
      </c>
      <c r="D90" s="18">
        <f t="shared" ref="D90:AX90" si="40">D72+D88</f>
        <v>-62202454.734177232</v>
      </c>
      <c r="E90" s="18">
        <f t="shared" si="40"/>
        <v>-700728.73417722993</v>
      </c>
      <c r="F90" s="18">
        <f t="shared" si="40"/>
        <v>8133599.2658227701</v>
      </c>
      <c r="G90" s="18">
        <f t="shared" si="40"/>
        <v>28070475.265822768</v>
      </c>
      <c r="H90" s="18">
        <f t="shared" si="40"/>
        <v>32756478.745549373</v>
      </c>
      <c r="I90" s="18">
        <f t="shared" si="40"/>
        <v>7828949.2621366959</v>
      </c>
      <c r="J90" s="18">
        <f t="shared" si="40"/>
        <v>7828949.2621366959</v>
      </c>
      <c r="K90" s="18">
        <f t="shared" si="40"/>
        <v>7828949.2621366959</v>
      </c>
      <c r="L90" s="18">
        <f t="shared" si="40"/>
        <v>4054081.2718380727</v>
      </c>
      <c r="M90" s="18">
        <f t="shared" si="40"/>
        <v>0</v>
      </c>
      <c r="N90" s="18">
        <f t="shared" si="40"/>
        <v>0</v>
      </c>
      <c r="O90" s="18">
        <f t="shared" si="40"/>
        <v>0</v>
      </c>
      <c r="P90" s="18">
        <f t="shared" si="40"/>
        <v>0</v>
      </c>
      <c r="Q90" s="18">
        <f t="shared" si="40"/>
        <v>0</v>
      </c>
      <c r="R90" s="18">
        <f t="shared" si="40"/>
        <v>0</v>
      </c>
      <c r="S90" s="18">
        <f t="shared" si="40"/>
        <v>0</v>
      </c>
      <c r="T90" s="18">
        <f t="shared" si="40"/>
        <v>0</v>
      </c>
      <c r="U90" s="18">
        <f t="shared" si="40"/>
        <v>0</v>
      </c>
      <c r="V90" s="18">
        <f t="shared" si="40"/>
        <v>0</v>
      </c>
      <c r="W90" s="18">
        <f t="shared" si="40"/>
        <v>0</v>
      </c>
      <c r="X90" s="18">
        <f t="shared" si="40"/>
        <v>0</v>
      </c>
      <c r="Y90" s="18">
        <f t="shared" si="40"/>
        <v>0</v>
      </c>
      <c r="Z90" s="18">
        <f t="shared" si="40"/>
        <v>0</v>
      </c>
      <c r="AA90" s="18">
        <f t="shared" si="40"/>
        <v>0</v>
      </c>
      <c r="AB90" s="18">
        <f t="shared" si="40"/>
        <v>0</v>
      </c>
      <c r="AC90" s="18">
        <f t="shared" si="40"/>
        <v>0</v>
      </c>
      <c r="AD90" s="18">
        <f t="shared" si="40"/>
        <v>0</v>
      </c>
      <c r="AE90" s="18">
        <f t="shared" si="40"/>
        <v>0</v>
      </c>
      <c r="AF90" s="18">
        <f t="shared" si="40"/>
        <v>0</v>
      </c>
      <c r="AG90" s="18">
        <f t="shared" si="40"/>
        <v>0</v>
      </c>
      <c r="AH90" s="18">
        <f t="shared" si="40"/>
        <v>0</v>
      </c>
      <c r="AI90" s="18">
        <f t="shared" si="40"/>
        <v>0</v>
      </c>
      <c r="AJ90" s="18">
        <f t="shared" si="40"/>
        <v>0</v>
      </c>
      <c r="AK90" s="18">
        <f t="shared" si="40"/>
        <v>0</v>
      </c>
      <c r="AL90" s="18">
        <f t="shared" si="40"/>
        <v>0</v>
      </c>
      <c r="AM90" s="18">
        <f t="shared" si="40"/>
        <v>0</v>
      </c>
      <c r="AN90" s="18">
        <f t="shared" si="40"/>
        <v>0</v>
      </c>
      <c r="AO90" s="18">
        <f t="shared" si="40"/>
        <v>0</v>
      </c>
      <c r="AP90" s="18">
        <f t="shared" si="40"/>
        <v>0</v>
      </c>
      <c r="AQ90" s="18">
        <f t="shared" si="40"/>
        <v>0</v>
      </c>
      <c r="AR90" s="18">
        <f t="shared" si="40"/>
        <v>0</v>
      </c>
      <c r="AS90" s="18">
        <f t="shared" si="40"/>
        <v>0</v>
      </c>
      <c r="AT90" s="18">
        <f t="shared" si="40"/>
        <v>0</v>
      </c>
      <c r="AU90" s="18">
        <f t="shared" si="40"/>
        <v>0</v>
      </c>
      <c r="AV90" s="18">
        <f t="shared" si="40"/>
        <v>0</v>
      </c>
      <c r="AW90" s="18">
        <f t="shared" si="40"/>
        <v>0</v>
      </c>
      <c r="AX90" s="18">
        <f t="shared" si="40"/>
        <v>0</v>
      </c>
    </row>
  </sheetData>
  <conditionalFormatting sqref="C90">
    <cfRule type="cellIs" dxfId="3" priority="8" operator="greaterThan">
      <formula>0</formula>
    </cfRule>
  </conditionalFormatting>
  <conditionalFormatting sqref="D90:AX90">
    <cfRule type="cellIs" dxfId="2" priority="7" operator="greaterThan">
      <formula>0</formula>
    </cfRule>
  </conditionalFormatting>
  <conditionalFormatting sqref="A5:A19">
    <cfRule type="cellIs" dxfId="1" priority="1" operator="equal">
      <formula>"Yes"</formula>
    </cfRule>
    <cfRule type="cellIs" dxfId="0" priority="2" operator="equal">
      <formula>"No"</formula>
    </cfRule>
  </conditionalFormatting>
  <dataValidations count="1">
    <dataValidation type="list" allowBlank="1" showInputMessage="1" showErrorMessage="1" sqref="A11:A14 A5:A9 A16:A19">
      <formula1>$L$29:$L$30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0"/>
  <sheetViews>
    <sheetView workbookViewId="0">
      <selection activeCell="D7" sqref="D7"/>
    </sheetView>
  </sheetViews>
  <sheetFormatPr defaultRowHeight="15" x14ac:dyDescent="0.25"/>
  <cols>
    <col min="1" max="1" width="14.5703125" bestFit="1" customWidth="1"/>
    <col min="2" max="3" width="17.28515625" bestFit="1" customWidth="1"/>
    <col min="4" max="4" width="10" bestFit="1" customWidth="1"/>
  </cols>
  <sheetData>
    <row r="3" spans="1:4" x14ac:dyDescent="0.25">
      <c r="B3" s="4">
        <v>2018</v>
      </c>
      <c r="C3" s="4">
        <v>2018</v>
      </c>
      <c r="D3" s="4"/>
    </row>
    <row r="4" spans="1:4" x14ac:dyDescent="0.25">
      <c r="A4" s="5" t="s">
        <v>0</v>
      </c>
      <c r="B4" s="5" t="s">
        <v>66</v>
      </c>
      <c r="C4" s="5" t="s">
        <v>85</v>
      </c>
      <c r="D4" s="5" t="s">
        <v>86</v>
      </c>
    </row>
    <row r="5" spans="1:4" x14ac:dyDescent="0.25">
      <c r="B5" s="22" t="s">
        <v>87</v>
      </c>
    </row>
    <row r="6" spans="1:4" x14ac:dyDescent="0.25">
      <c r="B6" s="4"/>
      <c r="C6" s="4"/>
      <c r="D6" s="4"/>
    </row>
    <row r="7" spans="1:4" x14ac:dyDescent="0.25">
      <c r="A7" t="s">
        <v>55</v>
      </c>
      <c r="B7" s="96">
        <v>23670138.792911999</v>
      </c>
      <c r="C7" s="96">
        <f>B7/0.79</f>
        <v>29962201.003686074</v>
      </c>
      <c r="D7" s="7">
        <f>ROUND(C7/C9,2)</f>
        <v>0.79</v>
      </c>
    </row>
    <row r="8" spans="1:4" x14ac:dyDescent="0.25">
      <c r="A8" t="s">
        <v>56</v>
      </c>
      <c r="B8" s="10">
        <v>6184869.9170879899</v>
      </c>
      <c r="C8" s="10">
        <f>B8/0.79</f>
        <v>7828949.2621366959</v>
      </c>
      <c r="D8" s="7">
        <f>1-D7</f>
        <v>0.20999999999999996</v>
      </c>
    </row>
    <row r="9" spans="1:4" ht="15.75" thickBot="1" x14ac:dyDescent="0.3">
      <c r="A9" t="s">
        <v>57</v>
      </c>
      <c r="B9" s="97">
        <f>SUM(B7:B8)</f>
        <v>29855008.70999999</v>
      </c>
      <c r="C9" s="97">
        <f>B9/0.79</f>
        <v>37791150.265822768</v>
      </c>
      <c r="D9" s="12"/>
    </row>
    <row r="10" spans="1:4" ht="15.75" thickTop="1" x14ac:dyDescent="0.25"/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2020-05-01T07:00:00+00:00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9B27ABF-7280-46A8-9391-A1FD58E2AA5D}"/>
</file>

<file path=customXml/itemProps2.xml><?xml version="1.0" encoding="utf-8"?>
<ds:datastoreItem xmlns:ds="http://schemas.openxmlformats.org/officeDocument/2006/customXml" ds:itemID="{F82856F5-5BB2-4123-B6AC-2510CAE7A60C}"/>
</file>

<file path=customXml/itemProps3.xml><?xml version="1.0" encoding="utf-8"?>
<ds:datastoreItem xmlns:ds="http://schemas.openxmlformats.org/officeDocument/2006/customXml" ds:itemID="{B99F60B1-960E-4AFF-8C1E-291910E69F3B}"/>
</file>

<file path=customXml/itemProps4.xml><?xml version="1.0" encoding="utf-8"?>
<ds:datastoreItem xmlns:ds="http://schemas.openxmlformats.org/officeDocument/2006/customXml" ds:itemID="{5B5C33EF-6473-4AF3-AB22-15AD73AE4B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BR 15</vt:lpstr>
      <vt:lpstr>Tables for Response</vt:lpstr>
      <vt:lpstr>Scenario 1</vt:lpstr>
      <vt:lpstr>Scenario 2</vt:lpstr>
      <vt:lpstr>Scenario 3</vt:lpstr>
      <vt:lpstr>ARAM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Piliaris</dc:creator>
  <cp:lastModifiedBy>Free, Susan</cp:lastModifiedBy>
  <cp:lastPrinted>2020-04-30T18:58:07Z</cp:lastPrinted>
  <dcterms:created xsi:type="dcterms:W3CDTF">2020-04-26T22:44:29Z</dcterms:created>
  <dcterms:modified xsi:type="dcterms:W3CDTF">2020-05-01T22:38:15Z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