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OneDrive - Perkins Coie LLP\Dates\2020\2020.12.05\Free\"/>
    </mc:Choice>
  </mc:AlternateContent>
  <xr:revisionPtr revIDLastSave="6" documentId="8_{DFF48D76-325F-474C-A037-B0E1E1670AC9}" xr6:coauthVersionLast="41" xr6:coauthVersionMax="41" xr10:uidLastSave="{37BE6C78-8743-485C-B637-867C3C616EDC}"/>
  <bookViews>
    <workbookView xWindow="-108" yWindow="-108" windowWidth="23256" windowHeight="12576" xr2:uid="{00000000-000D-0000-FFFF-FFFF00000000}"/>
  </bookViews>
  <sheets>
    <sheet name="SEF-11 p1" sheetId="1" r:id="rId1"/>
    <sheet name="SEF-11 p2" sheetId="2" r:id="rId2"/>
    <sheet name="SEF-11 p3" sheetId="3" r:id="rId3"/>
    <sheet name="SEF-11 p4" sheetId="4" r:id="rId4"/>
    <sheet name="SEF-11 p5" sheetId="5" r:id="rId5"/>
    <sheet name="SEF-11 p6" sheetId="6" r:id="rId6"/>
  </sheets>
  <externalReferences>
    <externalReference r:id="rId7"/>
  </externalReferences>
  <definedNames>
    <definedName name="FIT">#REF!</definedName>
    <definedName name="k_Docket_Number">'[1]Change in Dep Exp'!$E$1</definedName>
    <definedName name="_xlnm.Print_Area" localSheetId="3">'SEF-11 p4'!$A$1:$L$77</definedName>
    <definedName name="_xlnm.Print_Area" localSheetId="4">'SEF-11 p5'!$A$1:$F$76</definedName>
    <definedName name="_xlnm.Print_Area" localSheetId="5">'SEF-11 p6'!$A$1:$D$45</definedName>
    <definedName name="UT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5" i="6" l="1"/>
  <c r="A44" i="6"/>
  <c r="A43" i="6"/>
  <c r="A42" i="6"/>
  <c r="A41" i="6"/>
  <c r="A40" i="6"/>
  <c r="A39" i="6"/>
  <c r="A38" i="6"/>
  <c r="A37" i="6"/>
  <c r="A36" i="6"/>
  <c r="A35" i="6"/>
  <c r="A34" i="6"/>
  <c r="A33" i="6"/>
  <c r="E32" i="6"/>
  <c r="F32" i="6" s="1"/>
  <c r="A32" i="6"/>
  <c r="A31" i="6"/>
  <c r="A30" i="6"/>
  <c r="A29" i="6"/>
  <c r="A28" i="6"/>
  <c r="A27" i="6"/>
  <c r="A26" i="6"/>
  <c r="C26" i="6"/>
  <c r="A25" i="6"/>
  <c r="A24" i="6"/>
  <c r="A23" i="6"/>
  <c r="A22" i="6"/>
  <c r="F21" i="6"/>
  <c r="C22" i="6"/>
  <c r="A21" i="6"/>
  <c r="A20" i="6"/>
  <c r="A19" i="6"/>
  <c r="A18" i="6"/>
  <c r="A17" i="6"/>
  <c r="F16" i="6"/>
  <c r="A16" i="6"/>
  <c r="C17" i="6"/>
  <c r="F17" i="6" s="1"/>
  <c r="A15" i="6"/>
  <c r="A14" i="6"/>
  <c r="A13" i="6"/>
  <c r="A12" i="6"/>
  <c r="F11" i="6"/>
  <c r="A11" i="6"/>
  <c r="E73" i="5"/>
  <c r="C73" i="5"/>
  <c r="D70" i="5"/>
  <c r="F70" i="5" s="1"/>
  <c r="F69" i="5"/>
  <c r="D69" i="5"/>
  <c r="E64" i="5"/>
  <c r="E63" i="5" s="1"/>
  <c r="E46" i="5"/>
  <c r="C44" i="5"/>
  <c r="I46" i="5" s="1"/>
  <c r="E38" i="5"/>
  <c r="J38" i="5" s="1"/>
  <c r="E37" i="5"/>
  <c r="E48" i="5" s="1"/>
  <c r="E52" i="5" s="1"/>
  <c r="E24" i="5"/>
  <c r="D21" i="5"/>
  <c r="D26" i="5" s="1"/>
  <c r="D19" i="5"/>
  <c r="C19" i="5"/>
  <c r="C21" i="5" s="1"/>
  <c r="C26" i="5" s="1"/>
  <c r="E18" i="5"/>
  <c r="E17" i="5"/>
  <c r="E16" i="5"/>
  <c r="E15" i="5"/>
  <c r="E14" i="5"/>
  <c r="E13" i="5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G77" i="4"/>
  <c r="A77" i="4"/>
  <c r="G76" i="4"/>
  <c r="A76" i="4"/>
  <c r="A75" i="4"/>
  <c r="A74" i="4"/>
  <c r="L73" i="4"/>
  <c r="K73" i="4"/>
  <c r="J73" i="4"/>
  <c r="A73" i="4"/>
  <c r="L72" i="4"/>
  <c r="K72" i="4"/>
  <c r="J72" i="4"/>
  <c r="A72" i="4"/>
  <c r="A71" i="4"/>
  <c r="L70" i="4"/>
  <c r="K70" i="4"/>
  <c r="J70" i="4"/>
  <c r="A70" i="4"/>
  <c r="L69" i="4"/>
  <c r="K69" i="4"/>
  <c r="J69" i="4"/>
  <c r="A69" i="4"/>
  <c r="A68" i="4"/>
  <c r="H67" i="4"/>
  <c r="H68" i="4" s="1"/>
  <c r="H71" i="4" s="1"/>
  <c r="H74" i="4" s="1"/>
  <c r="E67" i="4"/>
  <c r="E68" i="4" s="1"/>
  <c r="E71" i="4" s="1"/>
  <c r="E74" i="4" s="1"/>
  <c r="D67" i="4"/>
  <c r="D68" i="4" s="1"/>
  <c r="D71" i="4" s="1"/>
  <c r="D74" i="4" s="1"/>
  <c r="A67" i="4"/>
  <c r="K66" i="4"/>
  <c r="J66" i="4"/>
  <c r="I66" i="4"/>
  <c r="L66" i="4" s="1"/>
  <c r="F66" i="4"/>
  <c r="A66" i="4"/>
  <c r="K65" i="4"/>
  <c r="J65" i="4"/>
  <c r="I65" i="4"/>
  <c r="L65" i="4" s="1"/>
  <c r="F65" i="4"/>
  <c r="A65" i="4"/>
  <c r="K64" i="4"/>
  <c r="J64" i="4"/>
  <c r="I64" i="4"/>
  <c r="F64" i="4"/>
  <c r="A64" i="4"/>
  <c r="K63" i="4"/>
  <c r="J63" i="4"/>
  <c r="I63" i="4"/>
  <c r="F63" i="4"/>
  <c r="A63" i="4"/>
  <c r="K62" i="4"/>
  <c r="J62" i="4"/>
  <c r="I62" i="4"/>
  <c r="F62" i="4"/>
  <c r="A62" i="4"/>
  <c r="A61" i="4"/>
  <c r="K60" i="4"/>
  <c r="J60" i="4"/>
  <c r="I60" i="4"/>
  <c r="F60" i="4"/>
  <c r="A60" i="4"/>
  <c r="K59" i="4"/>
  <c r="J59" i="4"/>
  <c r="I59" i="4"/>
  <c r="F59" i="4"/>
  <c r="L59" i="4" s="1"/>
  <c r="A59" i="4"/>
  <c r="K58" i="4"/>
  <c r="J58" i="4"/>
  <c r="I58" i="4"/>
  <c r="F58" i="4"/>
  <c r="A58" i="4"/>
  <c r="K57" i="4"/>
  <c r="J57" i="4"/>
  <c r="I57" i="4"/>
  <c r="F57" i="4"/>
  <c r="A57" i="4"/>
  <c r="K56" i="4"/>
  <c r="J56" i="4"/>
  <c r="I56" i="4"/>
  <c r="G56" i="4"/>
  <c r="F56" i="4"/>
  <c r="A56" i="4"/>
  <c r="K55" i="4"/>
  <c r="J55" i="4"/>
  <c r="I55" i="4"/>
  <c r="F55" i="4"/>
  <c r="A55" i="4"/>
  <c r="K54" i="4"/>
  <c r="J54" i="4"/>
  <c r="I54" i="4"/>
  <c r="L54" i="4" s="1"/>
  <c r="F54" i="4"/>
  <c r="A54" i="4"/>
  <c r="K53" i="4"/>
  <c r="J53" i="4"/>
  <c r="I53" i="4"/>
  <c r="L53" i="4" s="1"/>
  <c r="F53" i="4"/>
  <c r="A53" i="4"/>
  <c r="K52" i="4"/>
  <c r="J52" i="4"/>
  <c r="I52" i="4"/>
  <c r="F52" i="4"/>
  <c r="A52" i="4"/>
  <c r="K51" i="4"/>
  <c r="J51" i="4"/>
  <c r="I51" i="4"/>
  <c r="L51" i="4" s="1"/>
  <c r="F51" i="4"/>
  <c r="A51" i="4"/>
  <c r="K50" i="4"/>
  <c r="J50" i="4"/>
  <c r="I50" i="4"/>
  <c r="L50" i="4" s="1"/>
  <c r="F50" i="4"/>
  <c r="A50" i="4"/>
  <c r="K49" i="4"/>
  <c r="J49" i="4"/>
  <c r="I49" i="4"/>
  <c r="F49" i="4"/>
  <c r="A49" i="4"/>
  <c r="K48" i="4"/>
  <c r="J48" i="4"/>
  <c r="I48" i="4"/>
  <c r="F48" i="4"/>
  <c r="A48" i="4"/>
  <c r="K47" i="4"/>
  <c r="J47" i="4"/>
  <c r="I47" i="4"/>
  <c r="F47" i="4"/>
  <c r="A47" i="4"/>
  <c r="K46" i="4"/>
  <c r="J46" i="4"/>
  <c r="I46" i="4"/>
  <c r="L46" i="4" s="1"/>
  <c r="F46" i="4"/>
  <c r="A46" i="4"/>
  <c r="K45" i="4"/>
  <c r="I45" i="4"/>
  <c r="L45" i="4" s="1"/>
  <c r="G45" i="4"/>
  <c r="G67" i="4" s="1"/>
  <c r="G68" i="4" s="1"/>
  <c r="G71" i="4" s="1"/>
  <c r="G74" i="4" s="1"/>
  <c r="F45" i="4"/>
  <c r="A45" i="4"/>
  <c r="K44" i="4"/>
  <c r="J44" i="4"/>
  <c r="I44" i="4"/>
  <c r="F44" i="4"/>
  <c r="L44" i="4" s="1"/>
  <c r="A44" i="4"/>
  <c r="K43" i="4"/>
  <c r="J43" i="4"/>
  <c r="I43" i="4"/>
  <c r="L43" i="4" s="1"/>
  <c r="F43" i="4"/>
  <c r="A43" i="4"/>
  <c r="K42" i="4"/>
  <c r="J42" i="4"/>
  <c r="I42" i="4"/>
  <c r="F42" i="4"/>
  <c r="A42" i="4"/>
  <c r="K41" i="4"/>
  <c r="J41" i="4"/>
  <c r="I41" i="4"/>
  <c r="F41" i="4"/>
  <c r="A41" i="4"/>
  <c r="K40" i="4"/>
  <c r="J40" i="4"/>
  <c r="I40" i="4"/>
  <c r="F40" i="4"/>
  <c r="L40" i="4" s="1"/>
  <c r="A40" i="4"/>
  <c r="K39" i="4"/>
  <c r="J39" i="4"/>
  <c r="I39" i="4"/>
  <c r="F39" i="4"/>
  <c r="A39" i="4"/>
  <c r="K38" i="4"/>
  <c r="J38" i="4"/>
  <c r="I38" i="4"/>
  <c r="F38" i="4"/>
  <c r="A38" i="4"/>
  <c r="K37" i="4"/>
  <c r="J37" i="4"/>
  <c r="I37" i="4"/>
  <c r="L37" i="4" s="1"/>
  <c r="F37" i="4"/>
  <c r="A37" i="4"/>
  <c r="K36" i="4"/>
  <c r="J36" i="4"/>
  <c r="I36" i="4"/>
  <c r="F36" i="4"/>
  <c r="L36" i="4" s="1"/>
  <c r="A36" i="4"/>
  <c r="K35" i="4"/>
  <c r="J35" i="4"/>
  <c r="I35" i="4"/>
  <c r="L35" i="4" s="1"/>
  <c r="F35" i="4"/>
  <c r="A35" i="4"/>
  <c r="A34" i="4"/>
  <c r="K33" i="4"/>
  <c r="J33" i="4"/>
  <c r="I33" i="4"/>
  <c r="L33" i="4" s="1"/>
  <c r="F33" i="4"/>
  <c r="A33" i="4"/>
  <c r="K32" i="4"/>
  <c r="J32" i="4"/>
  <c r="I32" i="4"/>
  <c r="F32" i="4"/>
  <c r="A32" i="4"/>
  <c r="K31" i="4"/>
  <c r="J31" i="4"/>
  <c r="I31" i="4"/>
  <c r="L31" i="4" s="1"/>
  <c r="F31" i="4"/>
  <c r="A31" i="4"/>
  <c r="K30" i="4"/>
  <c r="J30" i="4"/>
  <c r="I30" i="4"/>
  <c r="L30" i="4" s="1"/>
  <c r="F30" i="4"/>
  <c r="A30" i="4"/>
  <c r="K29" i="4"/>
  <c r="J29" i="4"/>
  <c r="I29" i="4"/>
  <c r="F29" i="4"/>
  <c r="A29" i="4"/>
  <c r="K28" i="4"/>
  <c r="J28" i="4"/>
  <c r="I28" i="4"/>
  <c r="F28" i="4"/>
  <c r="A28" i="4"/>
  <c r="K27" i="4"/>
  <c r="J27" i="4"/>
  <c r="I27" i="4"/>
  <c r="F27" i="4"/>
  <c r="A27" i="4"/>
  <c r="K26" i="4"/>
  <c r="J26" i="4"/>
  <c r="I26" i="4"/>
  <c r="L26" i="4" s="1"/>
  <c r="F26" i="4"/>
  <c r="A26" i="4"/>
  <c r="K25" i="4"/>
  <c r="J25" i="4"/>
  <c r="I25" i="4"/>
  <c r="L25" i="4" s="1"/>
  <c r="F25" i="4"/>
  <c r="A25" i="4"/>
  <c r="K24" i="4"/>
  <c r="J24" i="4"/>
  <c r="I24" i="4"/>
  <c r="F24" i="4"/>
  <c r="A24" i="4"/>
  <c r="K23" i="4"/>
  <c r="J23" i="4"/>
  <c r="I23" i="4"/>
  <c r="L23" i="4" s="1"/>
  <c r="F23" i="4"/>
  <c r="A23" i="4"/>
  <c r="K22" i="4"/>
  <c r="J22" i="4"/>
  <c r="I22" i="4"/>
  <c r="L22" i="4" s="1"/>
  <c r="F22" i="4"/>
  <c r="A22" i="4"/>
  <c r="K21" i="4"/>
  <c r="J21" i="4"/>
  <c r="I21" i="4"/>
  <c r="F21" i="4"/>
  <c r="A21" i="4"/>
  <c r="K20" i="4"/>
  <c r="J20" i="4"/>
  <c r="I20" i="4"/>
  <c r="F20" i="4"/>
  <c r="L20" i="4" s="1"/>
  <c r="A20" i="4"/>
  <c r="K19" i="4"/>
  <c r="J19" i="4"/>
  <c r="I19" i="4"/>
  <c r="F19" i="4"/>
  <c r="A19" i="4"/>
  <c r="K18" i="4"/>
  <c r="J18" i="4"/>
  <c r="I18" i="4"/>
  <c r="F18" i="4"/>
  <c r="A18" i="4"/>
  <c r="K17" i="4"/>
  <c r="J17" i="4"/>
  <c r="I17" i="4"/>
  <c r="L17" i="4" s="1"/>
  <c r="F17" i="4"/>
  <c r="A17" i="4"/>
  <c r="K16" i="4"/>
  <c r="J16" i="4"/>
  <c r="I16" i="4"/>
  <c r="F16" i="4"/>
  <c r="L16" i="4" s="1"/>
  <c r="A16" i="4"/>
  <c r="K15" i="4"/>
  <c r="J15" i="4"/>
  <c r="I15" i="4"/>
  <c r="L15" i="4" s="1"/>
  <c r="F15" i="4"/>
  <c r="A15" i="4"/>
  <c r="K14" i="4"/>
  <c r="J14" i="4"/>
  <c r="I14" i="4"/>
  <c r="F14" i="4"/>
  <c r="A14" i="4"/>
  <c r="K13" i="4"/>
  <c r="J13" i="4"/>
  <c r="I13" i="4"/>
  <c r="F13" i="4"/>
  <c r="A13" i="4"/>
  <c r="K12" i="4"/>
  <c r="J12" i="4"/>
  <c r="I12" i="4"/>
  <c r="F12" i="4"/>
  <c r="L12" i="4" s="1"/>
  <c r="A12" i="4"/>
  <c r="K11" i="4"/>
  <c r="J11" i="4"/>
  <c r="I11" i="4"/>
  <c r="F11" i="4"/>
  <c r="A11" i="4"/>
  <c r="K10" i="4"/>
  <c r="J10" i="4"/>
  <c r="I10" i="4"/>
  <c r="F10" i="4"/>
  <c r="A10" i="4"/>
  <c r="K9" i="4"/>
  <c r="J9" i="4"/>
  <c r="I9" i="4"/>
  <c r="L9" i="4" s="1"/>
  <c r="F9" i="4"/>
  <c r="A9" i="4"/>
  <c r="K8" i="4"/>
  <c r="J8" i="4"/>
  <c r="I8" i="4"/>
  <c r="F8" i="4"/>
  <c r="A8" i="4"/>
  <c r="A7" i="4"/>
  <c r="K6" i="4"/>
  <c r="J6" i="4"/>
  <c r="I6" i="4"/>
  <c r="F6" i="4"/>
  <c r="A6" i="4"/>
  <c r="A14" i="3"/>
  <c r="A13" i="3"/>
  <c r="C12" i="3"/>
  <c r="A12" i="3"/>
  <c r="C11" i="3"/>
  <c r="A11" i="3"/>
  <c r="C10" i="3"/>
  <c r="A10" i="3"/>
  <c r="A9" i="3"/>
  <c r="A8" i="3"/>
  <c r="A7" i="3"/>
  <c r="A12" i="2"/>
  <c r="A11" i="2"/>
  <c r="C10" i="2"/>
  <c r="G10" i="2" s="1"/>
  <c r="A10" i="2"/>
  <c r="E9" i="2"/>
  <c r="C9" i="2"/>
  <c r="G9" i="2" s="1"/>
  <c r="A9" i="2"/>
  <c r="G8" i="2"/>
  <c r="A8" i="2"/>
  <c r="A7" i="2"/>
  <c r="A6" i="2"/>
  <c r="A5" i="2"/>
  <c r="E10" i="2"/>
  <c r="A4" i="2"/>
  <c r="A3" i="2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G11" i="2" l="1"/>
  <c r="L14" i="4"/>
  <c r="L42" i="4"/>
  <c r="L56" i="4"/>
  <c r="E19" i="5"/>
  <c r="E21" i="5" s="1"/>
  <c r="E26" i="5" s="1"/>
  <c r="F67" i="4"/>
  <c r="F68" i="4" s="1"/>
  <c r="F71" i="4" s="1"/>
  <c r="F74" i="4" s="1"/>
  <c r="L11" i="4"/>
  <c r="L19" i="4"/>
  <c r="L27" i="4"/>
  <c r="L39" i="4"/>
  <c r="L47" i="4"/>
  <c r="L55" i="4"/>
  <c r="L58" i="4"/>
  <c r="L62" i="4"/>
  <c r="L24" i="4"/>
  <c r="L32" i="4"/>
  <c r="L52" i="4"/>
  <c r="J37" i="5"/>
  <c r="L10" i="4"/>
  <c r="L13" i="4"/>
  <c r="L18" i="4"/>
  <c r="L21" i="4"/>
  <c r="L29" i="4"/>
  <c r="L38" i="4"/>
  <c r="L41" i="4"/>
  <c r="L49" i="4"/>
  <c r="L57" i="4"/>
  <c r="L60" i="4"/>
  <c r="L64" i="4"/>
  <c r="K67" i="4"/>
  <c r="K68" i="4" s="1"/>
  <c r="K71" i="4" s="1"/>
  <c r="K74" i="4" s="1"/>
  <c r="L28" i="4"/>
  <c r="L48" i="4"/>
  <c r="L63" i="4"/>
  <c r="D71" i="5"/>
  <c r="F71" i="5" s="1"/>
  <c r="F73" i="5" s="1"/>
  <c r="H73" i="5" s="1"/>
  <c r="I48" i="5"/>
  <c r="E22" i="6"/>
  <c r="F22" i="6" s="1"/>
  <c r="E56" i="5"/>
  <c r="E58" i="5"/>
  <c r="J46" i="5"/>
  <c r="E28" i="5"/>
  <c r="E30" i="5" s="1"/>
  <c r="E11" i="2"/>
  <c r="J48" i="5"/>
  <c r="E26" i="6"/>
  <c r="F26" i="6"/>
  <c r="F28" i="6"/>
  <c r="L8" i="4"/>
  <c r="J45" i="4"/>
  <c r="J67" i="4" s="1"/>
  <c r="J68" i="4" s="1"/>
  <c r="J71" i="4" s="1"/>
  <c r="J74" i="4" s="1"/>
  <c r="F15" i="6"/>
  <c r="C18" i="6"/>
  <c r="C30" i="6" s="1"/>
  <c r="C37" i="6" s="1"/>
  <c r="C41" i="6" s="1"/>
  <c r="C43" i="6" s="1"/>
  <c r="C11" i="1" s="1"/>
  <c r="F25" i="6"/>
  <c r="E28" i="6"/>
  <c r="E35" i="6"/>
  <c r="F35" i="6" s="1"/>
  <c r="C11" i="2"/>
  <c r="C20" i="1" s="1"/>
  <c r="C24" i="1" s="1"/>
  <c r="L6" i="4"/>
  <c r="I67" i="4"/>
  <c r="I68" i="4" s="1"/>
  <c r="I71" i="4" s="1"/>
  <c r="L67" i="4" l="1"/>
  <c r="L68" i="4" s="1"/>
  <c r="L71" i="4" s="1"/>
  <c r="L74" i="4" s="1"/>
  <c r="I74" i="4"/>
  <c r="C7" i="3"/>
  <c r="C14" i="3" s="1"/>
  <c r="C13" i="1" s="1"/>
  <c r="C15" i="1" s="1"/>
  <c r="C27" i="1" s="1"/>
  <c r="E18" i="6"/>
  <c r="E30" i="6" s="1"/>
  <c r="E37" i="6" s="1"/>
  <c r="D73" i="5"/>
  <c r="F18" i="6" l="1"/>
  <c r="F30" i="6" s="1"/>
  <c r="F37" i="6" s="1"/>
</calcChain>
</file>

<file path=xl/sharedStrings.xml><?xml version="1.0" encoding="utf-8"?>
<sst xmlns="http://schemas.openxmlformats.org/spreadsheetml/2006/main" count="240" uniqueCount="195">
  <si>
    <t>SEF-11</t>
  </si>
  <si>
    <t>Line</t>
  </si>
  <si>
    <t>Description</t>
  </si>
  <si>
    <t>Amount</t>
  </si>
  <si>
    <t>(in millions)</t>
  </si>
  <si>
    <t>Current Estimated Under-Earnings</t>
  </si>
  <si>
    <t>Twelve Months Ending June 2020 Estimated Under-Earnings (page 6)</t>
  </si>
  <si>
    <t>New GRC Revenues Not Offset by New Costs (page 3)</t>
  </si>
  <si>
    <t>Net Current Company Under-Earnings</t>
  </si>
  <si>
    <t>Incremental PCORC Revenues</t>
  </si>
  <si>
    <t>Incremental Variable Revenues Subject to PCA (page 2)</t>
  </si>
  <si>
    <t>Incremental Fixed Production Cost Revenues (SEF-4 line 40)</t>
  </si>
  <si>
    <t>Current Estimated Under-Earnings Exceeds Incremental PCORC Revenues</t>
  </si>
  <si>
    <t>Incremental Power Cost Revenues</t>
  </si>
  <si>
    <t>Variable Increase (SEF-4 Line 26)</t>
  </si>
  <si>
    <t>Company</t>
  </si>
  <si>
    <t>Customer</t>
  </si>
  <si>
    <t>Combined</t>
  </si>
  <si>
    <t>Dead Band</t>
  </si>
  <si>
    <t>First Band</t>
  </si>
  <si>
    <t>Second Band</t>
  </si>
  <si>
    <t>Total</t>
  </si>
  <si>
    <t>2019 GRC Electric Deficiency Before Mitigation (page 4 line 71)</t>
  </si>
  <si>
    <t>Offset by New Amortization:</t>
  </si>
  <si>
    <t>AMI (grossed up NOI from page 4 line 76)</t>
  </si>
  <si>
    <t>GTZ (grossed up NOI from page 4 line 77)</t>
  </si>
  <si>
    <t>Storm (page 5 line 61)</t>
  </si>
  <si>
    <t>New Revenues Not Offset by New Costs</t>
  </si>
  <si>
    <t>Rate of Return</t>
  </si>
  <si>
    <t>Conversion Factor</t>
  </si>
  <si>
    <t>Commission Decision</t>
  </si>
  <si>
    <t>PSE Compliance Filing</t>
  </si>
  <si>
    <t>Difference</t>
  </si>
  <si>
    <t>Adjustment</t>
  </si>
  <si>
    <t>NOI</t>
  </si>
  <si>
    <t>Rate Base</t>
  </si>
  <si>
    <t>Actual Results of Operation</t>
  </si>
  <si>
    <t>Restating Adjustments</t>
  </si>
  <si>
    <t>Revenues and Expenses</t>
  </si>
  <si>
    <t>Temperature Normalization</t>
  </si>
  <si>
    <t>Federal Income Tax</t>
  </si>
  <si>
    <t>Tax Benefit of Interest</t>
  </si>
  <si>
    <t>Pass‐Through Revenues and Expenses</t>
  </si>
  <si>
    <t>Normalize Injuries and Damages</t>
  </si>
  <si>
    <t>Bad Debts</t>
  </si>
  <si>
    <t>Incentive Pay</t>
  </si>
  <si>
    <t>Excise Tax &amp; Filing Fee</t>
  </si>
  <si>
    <t>Directors &amp; Officers Insurance</t>
  </si>
  <si>
    <t>Interest on Customer Deposits</t>
  </si>
  <si>
    <t>Rate Case Expenses</t>
  </si>
  <si>
    <t>Pension Plan</t>
  </si>
  <si>
    <t>Property &amp; Liability Insurance</t>
  </si>
  <si>
    <t>Wage Increase</t>
  </si>
  <si>
    <t>Investment Plan</t>
  </si>
  <si>
    <t>Employee Insurance</t>
  </si>
  <si>
    <t>AMA to EOP Rate Base</t>
  </si>
  <si>
    <t>AMA to EOP Depreciation</t>
  </si>
  <si>
    <t>Rent Expense</t>
  </si>
  <si>
    <t>Power Costs</t>
  </si>
  <si>
    <t>Montana Electric Energy Tax</t>
  </si>
  <si>
    <t>Wild Horse Solar</t>
  </si>
  <si>
    <t>ASC 815</t>
  </si>
  <si>
    <t>Storm Damage</t>
  </si>
  <si>
    <t>Colstrip Depreciation</t>
  </si>
  <si>
    <t>Pro Forma Adjustments</t>
  </si>
  <si>
    <t>Deferred Gains/Losses on Property Sales</t>
  </si>
  <si>
    <t>Environmental Remediation</t>
  </si>
  <si>
    <t>AMI</t>
  </si>
  <si>
    <t>Get to Zero</t>
  </si>
  <si>
    <t>Credit Card Payment Processing Costs</t>
  </si>
  <si>
    <t>Unprotected EDIT</t>
  </si>
  <si>
    <t>Public Improvement</t>
  </si>
  <si>
    <t>Contract Escalations</t>
  </si>
  <si>
    <t>HR TOPS</t>
  </si>
  <si>
    <t>Regulatory Assets and Liabilities</t>
  </si>
  <si>
    <t>Energy Imbalance Market (EIM)</t>
  </si>
  <si>
    <t>High Molecular Weight Cable</t>
  </si>
  <si>
    <t>Energy Management System (EMS)</t>
  </si>
  <si>
    <t>Other Party Adjustments</t>
  </si>
  <si>
    <t>SmartBurn (Staff)</t>
  </si>
  <si>
    <t>Remove Colstrip Outage (Staff)</t>
  </si>
  <si>
    <t>Remove Green Direct (Staff)</t>
  </si>
  <si>
    <t>AWEC‐1</t>
  </si>
  <si>
    <t>Bothell Data Center (AWEC)</t>
  </si>
  <si>
    <t>Remove Shuffleton (Staff)</t>
  </si>
  <si>
    <t>Total Adjustments</t>
  </si>
  <si>
    <t>Revenue Requirement Before Other Tariff Schedules</t>
  </si>
  <si>
    <t>Less Riders</t>
  </si>
  <si>
    <t>Less EDIT Separate Credit Tariff Sch.</t>
  </si>
  <si>
    <t>Revenue Requirement Before Mitigation Strategy</t>
  </si>
  <si>
    <t>Extend Amortization of Regulatory Assets ‐ Estimated</t>
  </si>
  <si>
    <t>Decoupling Deferral ‐ Estimated</t>
  </si>
  <si>
    <t>Final Revenue Requirement</t>
  </si>
  <si>
    <t>AMI Line 46 ÷ .751381</t>
  </si>
  <si>
    <t>GTZ Line 48 ÷ .751381</t>
  </si>
  <si>
    <t>PUGET SOUND ENERGY-ELECTRIC</t>
  </si>
  <si>
    <t>STORM DAMAGE O&amp;M EXPENSE</t>
  </si>
  <si>
    <t>FOR THE TWELVE MONTHS ENDED DECEMBER 31, 2018</t>
  </si>
  <si>
    <t>2019 GENERAL RATE CASE</t>
  </si>
  <si>
    <t>LINE</t>
  </si>
  <si>
    <t>NO.</t>
  </si>
  <si>
    <t>DESCRIPTION</t>
  </si>
  <si>
    <t>AMOUNT</t>
  </si>
  <si>
    <t>NORMAL STORMS</t>
  </si>
  <si>
    <t>Transmission</t>
  </si>
  <si>
    <t>Distribution</t>
  </si>
  <si>
    <t>ACTUAL O&amp;M:</t>
  </si>
  <si>
    <t xml:space="preserve">  TWELVE MONTHS ENDED 12/31/13</t>
  </si>
  <si>
    <t xml:space="preserve">  TWELVE MONTHS ENDED 12/31/14</t>
  </si>
  <si>
    <t xml:space="preserve">  TWELVE MONTHS ENDED 12/31/15</t>
  </si>
  <si>
    <t xml:space="preserve">  TWELVE MONTHS ENDED 12/31/16</t>
  </si>
  <si>
    <t xml:space="preserve">  TWELVE MONTHS ENDED 12/31/17 </t>
  </si>
  <si>
    <t xml:space="preserve">  TWELVE MONTHS ENDED 12/31/18</t>
  </si>
  <si>
    <t>TOTAL NORMAL STORMS</t>
  </si>
  <si>
    <t>SIX-YEAR AVERAGE STORM EXPENSE FOR RATE YEAR (LINE 9 ÷ 6 YEARS)</t>
  </si>
  <si>
    <t>CHARGED TO EXPENSE  12 MONTH ENDED 12/31/18</t>
  </si>
  <si>
    <t xml:space="preserve">  STORM DAMAGE EXPENSE (LINE 8)</t>
  </si>
  <si>
    <t>INCREASE (DECREASE) OPERATING EXPENSE (LINE 11-LINE 14)</t>
  </si>
  <si>
    <t>INCREASE (DECREASE) FIT @ 21% (LINE 46 X 21%)</t>
  </si>
  <si>
    <t>INCREASE (DECREASE) NOI</t>
  </si>
  <si>
    <t>CATASTROPHIC STORMS</t>
  </si>
  <si>
    <t>REBUTTAL</t>
  </si>
  <si>
    <t xml:space="preserve">DEFERRED STORM BALANCES APPROVED FOR 4 YEAR AMORTIZATION IN UE-170033 </t>
  </si>
  <si>
    <t>TEST</t>
  </si>
  <si>
    <t>12 ME APR 2021</t>
  </si>
  <si>
    <r>
      <t>AT START OF RATE YEAR (</t>
    </r>
    <r>
      <rPr>
        <b/>
        <sz val="10"/>
        <rFont val="Times New Roman"/>
        <family val="1"/>
      </rPr>
      <t>5/1/2020</t>
    </r>
    <r>
      <rPr>
        <sz val="10"/>
        <rFont val="Times New Roman"/>
        <family val="1"/>
      </rPr>
      <t>):</t>
    </r>
  </si>
  <si>
    <t>YEAR</t>
  </si>
  <si>
    <t>RATE YEAR</t>
  </si>
  <si>
    <t>WAS</t>
  </si>
  <si>
    <t>reduction to amort</t>
  </si>
  <si>
    <t>ANNUAL AMORTIZATION OF 4 YEAR STORM DEFERRED BALANCES</t>
  </si>
  <si>
    <t>ANNUAL AMORTIZATION OF 6 YEAR STORM DEFERRED BALANCES</t>
  </si>
  <si>
    <t>NEW DEFERRED STORM BALANCES PROPOSED FOR 4-YEAR AMORTIZATIONS</t>
  </si>
  <si>
    <t>2017 STORM DAMAGE-PENDING APPROVAL</t>
  </si>
  <si>
    <t>2018 STORM DAMAGE-PENDING APPROVAL</t>
  </si>
  <si>
    <t>2019 STORM DAMAGE-PENDING APPROVAL</t>
  </si>
  <si>
    <t>TOTAL (LINE 31 THROUGH LINE 34)</t>
  </si>
  <si>
    <t>ANNUAL AMORTIZATION (LINE 34 ÷ 48) x 12</t>
  </si>
  <si>
    <t>TOTAL RATE YEAR AMORTIZATION ( LINE 27+LINE 28 + LINE 36)</t>
  </si>
  <si>
    <t>LESS TOTAL TEST YEAR AMORTIZATION</t>
  </si>
  <si>
    <t>INCREASE (DECREASE) OPERATING EXPENSE</t>
  </si>
  <si>
    <t>TOTAL INCREASE (DECREASE) OPERATING EXPENSE (LINE 42)</t>
  </si>
  <si>
    <t>INCREASE (DECREASE) FIT @ 21% (LINE 44 X 21%)</t>
  </si>
  <si>
    <t>&lt;=5 yrs per Staff Response to BR15</t>
  </si>
  <si>
    <t>&lt;=Input Amort in Months!!!!!</t>
  </si>
  <si>
    <t>Currently</t>
  </si>
  <si>
    <t>Amortization</t>
  </si>
  <si>
    <t>Decrease fr</t>
  </si>
  <si>
    <t>Balance</t>
  </si>
  <si>
    <t>Requested</t>
  </si>
  <si>
    <t>Under BR15</t>
  </si>
  <si>
    <t>at 6/2020*</t>
  </si>
  <si>
    <t>Toggle months</t>
  </si>
  <si>
    <t>2017 GRC Approved 4 Year Storms</t>
  </si>
  <si>
    <t>2017 GRC Approved 6 Year Storm</t>
  </si>
  <si>
    <t>2019 GRC Requested 4 Year Storms</t>
  </si>
  <si>
    <t>rev sens items</t>
  </si>
  <si>
    <t>expected rev req impact</t>
  </si>
  <si>
    <t>Total Storm</t>
  </si>
  <si>
    <t>Work paper from Electric Compliance Filing</t>
  </si>
  <si>
    <t>Estimate of Twelve Months Ended June 2020 Results on an Earnings Sharing Basis</t>
  </si>
  <si>
    <t>Revenue Sensitive Items</t>
  </si>
  <si>
    <t>Weighted Average Cost of Debt</t>
  </si>
  <si>
    <t>Federal Tax Rate</t>
  </si>
  <si>
    <t>Pre-Tax</t>
  </si>
  <si>
    <t>Taxes</t>
  </si>
  <si>
    <t>a</t>
  </si>
  <si>
    <t>b</t>
  </si>
  <si>
    <t>c = e - d</t>
  </si>
  <si>
    <t>d</t>
  </si>
  <si>
    <t>e = c + d</t>
  </si>
  <si>
    <t>Unadjusted Net Operating Income</t>
  </si>
  <si>
    <t>Remove:</t>
  </si>
  <si>
    <t>Schedule 95a:</t>
  </si>
  <si>
    <t>Remove Revenue Debit</t>
  </si>
  <si>
    <t>Remove Amortization Credit</t>
  </si>
  <si>
    <t>Taxes and Fees on Revenue Debit</t>
  </si>
  <si>
    <t>FIT</t>
  </si>
  <si>
    <t>Equity Adder Centralia Coal Transition PPA:</t>
  </si>
  <si>
    <t>Equity Kicker</t>
  </si>
  <si>
    <t>AMI Deferrals:</t>
  </si>
  <si>
    <t>Deferral Amount</t>
  </si>
  <si>
    <t>Include:  Tax Benefit of Interest</t>
  </si>
  <si>
    <t>Net Operating Income Before Tax Adjustments</t>
  </si>
  <si>
    <t>Adjust Taxes to Statutory Rate</t>
  </si>
  <si>
    <t>Include:</t>
  </si>
  <si>
    <t>Adjust taxes for amounts not at Statutory Rate</t>
  </si>
  <si>
    <t>Adjusted Net Operating Income on Earnings Sharing Basis</t>
  </si>
  <si>
    <t>Earned Rate of Return</t>
  </si>
  <si>
    <t>Allowed Rate of Return</t>
  </si>
  <si>
    <t>ROR Under Earnings</t>
  </si>
  <si>
    <t>Under Earnings</t>
  </si>
  <si>
    <r>
      <rPr>
        <b/>
        <sz val="11"/>
        <color rgb="FFFF0000"/>
        <rFont val="Times New Roman"/>
        <family val="1"/>
      </rPr>
      <t>ELECTRIC OPERATIONS</t>
    </r>
  </si>
  <si>
    <t>Adj.
No.</t>
  </si>
  <si>
    <t>Revenue
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</si>
</sst>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_);_(@_)"/>
    <numFmt numFmtId="165" formatCode="_(* #,##0.0_);_(* \(#,##0.0\);_(* &quot;-&quot;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0\ &quot;ER&quot;"/>
    <numFmt numFmtId="169" formatCode="0.00\ &quot;EP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FF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9C0006"/>
      <name val="Times New Roman"/>
      <family val="1"/>
    </font>
    <font>
      <b/>
      <sz val="11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D9D9D9"/>
      </patternFill>
    </fill>
    <fill>
      <patternFill patternType="solid">
        <fgColor rgb="FFD6DCE4"/>
      </patternFill>
    </fill>
    <fill>
      <patternFill patternType="solid">
        <fgColor rgb="FFCFAFE7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thin">
        <color rgb="FF000000"/>
      </right>
      <top style="thin">
        <color rgb="FF000000"/>
      </top>
      <bottom style="medium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FF"/>
      </bottom>
      <diagonal/>
    </border>
    <border>
      <left style="thin">
        <color rgb="FF000000"/>
      </left>
      <right style="medium">
        <color rgb="FF0000FF"/>
      </right>
      <top style="thin">
        <color rgb="FF000000"/>
      </top>
      <bottom style="medium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238">
    <xf numFmtId="0" fontId="0" fillId="0" borderId="0" xfId="0"/>
    <xf numFmtId="168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quotePrefix="1" applyNumberFormat="1" applyFont="1" applyFill="1" applyAlignment="1">
      <alignment horizontal="center"/>
    </xf>
    <xf numFmtId="168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/>
    </xf>
    <xf numFmtId="0" fontId="4" fillId="0" borderId="34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7" fillId="0" borderId="0" xfId="0" applyNumberFormat="1" applyFont="1" applyFill="1" applyAlignment="1"/>
    <xf numFmtId="0" fontId="7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Continuous" vertical="center" wrapText="1"/>
    </xf>
    <xf numFmtId="41" fontId="7" fillId="0" borderId="1" xfId="0" applyNumberFormat="1" applyFont="1" applyFill="1" applyBorder="1" applyAlignment="1">
      <alignment horizontal="centerContinuous" vertical="center" wrapText="1"/>
    </xf>
    <xf numFmtId="0" fontId="7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3" fontId="7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Alignment="1" applyProtection="1">
      <alignment horizontal="left"/>
      <protection locked="0"/>
    </xf>
    <xf numFmtId="42" fontId="7" fillId="0" borderId="0" xfId="0" applyNumberFormat="1" applyFont="1" applyFill="1" applyAlignment="1" applyProtection="1">
      <alignment horizontal="right"/>
      <protection locked="0"/>
    </xf>
    <xf numFmtId="41" fontId="7" fillId="0" borderId="0" xfId="0" applyNumberFormat="1" applyFont="1" applyFill="1" applyAlignment="1" applyProtection="1">
      <alignment horizontal="right"/>
      <protection locked="0"/>
    </xf>
    <xf numFmtId="41" fontId="7" fillId="0" borderId="0" xfId="0" applyNumberFormat="1" applyFont="1" applyFill="1" applyBorder="1" applyAlignment="1"/>
    <xf numFmtId="41" fontId="7" fillId="0" borderId="1" xfId="0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Alignment="1"/>
    <xf numFmtId="1" fontId="7" fillId="0" borderId="0" xfId="0" applyNumberFormat="1" applyFont="1" applyFill="1" applyAlignment="1">
      <alignment horizontal="left"/>
    </xf>
    <xf numFmtId="41" fontId="7" fillId="0" borderId="0" xfId="0" applyNumberFormat="1" applyFont="1" applyFill="1" applyAlignment="1">
      <alignment horizontal="right"/>
    </xf>
    <xf numFmtId="41" fontId="7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41" fontId="7" fillId="0" borderId="0" xfId="0" applyNumberFormat="1" applyFont="1" applyFill="1" applyAlignment="1">
      <alignment horizontal="left"/>
    </xf>
    <xf numFmtId="0" fontId="7" fillId="0" borderId="0" xfId="0" quotePrefix="1" applyNumberFormat="1" applyFont="1" applyFill="1" applyAlignment="1"/>
    <xf numFmtId="1" fontId="7" fillId="0" borderId="0" xfId="0" quotePrefix="1" applyNumberFormat="1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9" fontId="7" fillId="0" borderId="0" xfId="0" applyNumberFormat="1" applyFont="1" applyFill="1" applyAlignment="1"/>
    <xf numFmtId="42" fontId="7" fillId="0" borderId="3" xfId="0" applyNumberFormat="1" applyFont="1" applyFill="1" applyBorder="1" applyAlignment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0" fontId="9" fillId="0" borderId="39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/>
    <xf numFmtId="41" fontId="7" fillId="0" borderId="0" xfId="0" applyNumberFormat="1" applyFont="1" applyFill="1" applyAlignment="1">
      <alignment horizontal="center"/>
    </xf>
    <xf numFmtId="41" fontId="9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indent="1"/>
    </xf>
    <xf numFmtId="41" fontId="7" fillId="0" borderId="0" xfId="0" applyNumberFormat="1" applyFont="1" applyFill="1" applyAlignment="1">
      <alignment horizontal="left" indent="1"/>
    </xf>
    <xf numFmtId="6" fontId="7" fillId="0" borderId="0" xfId="0" applyNumberFormat="1" applyFont="1" applyFill="1" applyAlignment="1"/>
    <xf numFmtId="6" fontId="10" fillId="0" borderId="2" xfId="0" applyNumberFormat="1" applyFont="1" applyFill="1" applyBorder="1" applyAlignment="1"/>
    <xf numFmtId="6" fontId="10" fillId="0" borderId="0" xfId="0" applyNumberFormat="1" applyFont="1" applyFill="1" applyBorder="1" applyAlignment="1"/>
    <xf numFmtId="0" fontId="6" fillId="0" borderId="0" xfId="0" applyFont="1" applyFill="1" applyAlignment="1">
      <alignment horizontal="left" indent="1"/>
    </xf>
    <xf numFmtId="41" fontId="7" fillId="0" borderId="0" xfId="0" applyNumberFormat="1" applyFont="1" applyFill="1" applyBorder="1" applyAlignment="1">
      <alignment horizontal="left" indent="1"/>
    </xf>
    <xf numFmtId="41" fontId="10" fillId="0" borderId="41" xfId="0" applyNumberFormat="1" applyFont="1" applyFill="1" applyBorder="1" applyAlignment="1">
      <alignment horizontal="left" indent="1"/>
    </xf>
    <xf numFmtId="41" fontId="10" fillId="0" borderId="0" xfId="0" applyNumberFormat="1" applyFont="1" applyFill="1" applyBorder="1" applyAlignment="1"/>
    <xf numFmtId="41" fontId="11" fillId="0" borderId="0" xfId="0" applyNumberFormat="1" applyFont="1" applyFill="1" applyBorder="1" applyAlignment="1">
      <alignment horizontal="left" indent="1"/>
    </xf>
    <xf numFmtId="41" fontId="12" fillId="0" borderId="41" xfId="0" applyNumberFormat="1" applyFont="1" applyFill="1" applyBorder="1" applyAlignment="1">
      <alignment horizontal="left" indent="1"/>
    </xf>
    <xf numFmtId="41" fontId="7" fillId="0" borderId="2" xfId="0" applyNumberFormat="1" applyFont="1" applyFill="1" applyBorder="1" applyAlignment="1"/>
    <xf numFmtId="41" fontId="10" fillId="0" borderId="43" xfId="0" applyNumberFormat="1" applyFont="1" applyFill="1" applyBorder="1" applyAlignment="1"/>
    <xf numFmtId="43" fontId="7" fillId="0" borderId="0" xfId="0" applyNumberFormat="1" applyFont="1" applyFill="1" applyAlignment="1"/>
    <xf numFmtId="41" fontId="10" fillId="0" borderId="41" xfId="0" applyNumberFormat="1" applyFont="1" applyFill="1" applyBorder="1" applyAlignment="1"/>
    <xf numFmtId="43" fontId="7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2" fontId="7" fillId="0" borderId="0" xfId="0" applyNumberFormat="1" applyFont="1" applyFill="1" applyAlignment="1"/>
    <xf numFmtId="41" fontId="10" fillId="0" borderId="46" xfId="0" applyNumberFormat="1" applyFont="1" applyFill="1" applyBorder="1" applyAlignment="1"/>
    <xf numFmtId="43" fontId="10" fillId="0" borderId="47" xfId="0" applyNumberFormat="1" applyFont="1" applyFill="1" applyBorder="1" applyAlignment="1"/>
    <xf numFmtId="41" fontId="7" fillId="0" borderId="0" xfId="0" quotePrefix="1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41" fontId="7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Alignment="1">
      <alignment horizontal="left" wrapText="1"/>
    </xf>
    <xf numFmtId="41" fontId="9" fillId="0" borderId="40" xfId="0" applyNumberFormat="1" applyFont="1" applyFill="1" applyBorder="1" applyAlignment="1" applyProtection="1">
      <alignment horizontal="right"/>
      <protection locked="0"/>
    </xf>
    <xf numFmtId="41" fontId="9" fillId="0" borderId="42" xfId="0" applyNumberFormat="1" applyFont="1" applyFill="1" applyBorder="1" applyAlignment="1">
      <alignment horizontal="right"/>
    </xf>
    <xf numFmtId="6" fontId="10" fillId="0" borderId="44" xfId="0" applyNumberFormat="1" applyFont="1" applyFill="1" applyBorder="1" applyAlignment="1"/>
    <xf numFmtId="6" fontId="10" fillId="0" borderId="42" xfId="0" applyNumberFormat="1" applyFont="1" applyFill="1" applyBorder="1" applyAlignment="1"/>
    <xf numFmtId="41" fontId="10" fillId="0" borderId="42" xfId="0" applyNumberFormat="1" applyFont="1" applyFill="1" applyBorder="1" applyAlignment="1"/>
    <xf numFmtId="166" fontId="7" fillId="0" borderId="1" xfId="0" applyNumberFormat="1" applyFont="1" applyFill="1" applyBorder="1" applyAlignment="1"/>
    <xf numFmtId="166" fontId="10" fillId="0" borderId="45" xfId="0" applyNumberFormat="1" applyFont="1" applyFill="1" applyBorder="1" applyAlignment="1"/>
    <xf numFmtId="6" fontId="10" fillId="0" borderId="48" xfId="0" applyNumberFormat="1" applyFont="1" applyFill="1" applyBorder="1" applyAlignme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indent="1"/>
    </xf>
    <xf numFmtId="0" fontId="17" fillId="0" borderId="0" xfId="0" applyFont="1"/>
    <xf numFmtId="164" fontId="15" fillId="0" borderId="0" xfId="0" applyNumberFormat="1" applyFont="1"/>
    <xf numFmtId="165" fontId="15" fillId="0" borderId="0" xfId="0" applyNumberFormat="1" applyFont="1"/>
    <xf numFmtId="165" fontId="15" fillId="0" borderId="2" xfId="0" applyNumberFormat="1" applyFont="1" applyBorder="1"/>
    <xf numFmtId="164" fontId="15" fillId="0" borderId="3" xfId="0" applyNumberFormat="1" applyFont="1" applyBorder="1"/>
    <xf numFmtId="0" fontId="15" fillId="0" borderId="2" xfId="0" applyFont="1" applyBorder="1"/>
    <xf numFmtId="0" fontId="15" fillId="0" borderId="4" xfId="0" applyFont="1" applyBorder="1"/>
    <xf numFmtId="0" fontId="16" fillId="0" borderId="0" xfId="0" applyFont="1"/>
    <xf numFmtId="164" fontId="16" fillId="0" borderId="5" xfId="0" applyNumberFormat="1" applyFont="1" applyBorder="1"/>
    <xf numFmtId="0" fontId="15" fillId="0" borderId="4" xfId="0" applyFont="1" applyBorder="1" applyAlignment="1">
      <alignment horizontal="left"/>
    </xf>
    <xf numFmtId="0" fontId="15" fillId="0" borderId="7" xfId="0" applyFont="1" applyBorder="1" applyAlignment="1">
      <alignment horizontal="left" indent="1"/>
    </xf>
    <xf numFmtId="42" fontId="15" fillId="0" borderId="2" xfId="1" applyNumberFormat="1" applyFont="1" applyBorder="1" applyAlignment="1"/>
    <xf numFmtId="0" fontId="15" fillId="0" borderId="2" xfId="0" applyNumberFormat="1" applyFont="1" applyBorder="1" applyAlignment="1"/>
    <xf numFmtId="0" fontId="15" fillId="0" borderId="8" xfId="0" applyNumberFormat="1" applyFont="1" applyBorder="1" applyAlignment="1"/>
    <xf numFmtId="0" fontId="15" fillId="0" borderId="9" xfId="0" applyFont="1" applyBorder="1" applyAlignment="1">
      <alignment horizontal="left"/>
    </xf>
    <xf numFmtId="0" fontId="15" fillId="0" borderId="10" xfId="0" applyNumberFormat="1" applyFont="1" applyBorder="1" applyAlignment="1">
      <alignment horizontal="left" indent="1"/>
    </xf>
    <xf numFmtId="0" fontId="15" fillId="0" borderId="0" xfId="0" applyFont="1" applyBorder="1"/>
    <xf numFmtId="42" fontId="15" fillId="0" borderId="0" xfId="1" applyNumberFormat="1" applyFont="1" applyBorder="1" applyAlignment="1"/>
    <xf numFmtId="0" fontId="15" fillId="0" borderId="0" xfId="0" applyNumberFormat="1" applyFont="1" applyBorder="1" applyAlignment="1"/>
    <xf numFmtId="0" fontId="15" fillId="0" borderId="11" xfId="0" applyFont="1" applyBorder="1"/>
    <xf numFmtId="0" fontId="15" fillId="0" borderId="12" xfId="0" applyNumberFormat="1" applyFont="1" applyBorder="1" applyAlignment="1"/>
    <xf numFmtId="0" fontId="15" fillId="0" borderId="1" xfId="0" applyFont="1" applyBorder="1"/>
    <xf numFmtId="0" fontId="15" fillId="0" borderId="1" xfId="0" applyNumberFormat="1" applyFont="1" applyBorder="1" applyAlignment="1"/>
    <xf numFmtId="42" fontId="15" fillId="0" borderId="13" xfId="1" applyNumberFormat="1" applyFont="1" applyBorder="1" applyAlignment="1"/>
    <xf numFmtId="0" fontId="15" fillId="0" borderId="4" xfId="0" applyNumberFormat="1" applyFont="1" applyBorder="1" applyAlignment="1"/>
    <xf numFmtId="0" fontId="15" fillId="0" borderId="7" xfId="0" applyNumberFormat="1" applyFont="1" applyBorder="1" applyAlignment="1"/>
    <xf numFmtId="0" fontId="15" fillId="0" borderId="9" xfId="0" applyNumberFormat="1" applyFont="1" applyBorder="1" applyAlignment="1"/>
    <xf numFmtId="0" fontId="15" fillId="0" borderId="10" xfId="0" applyNumberFormat="1" applyFont="1" applyBorder="1" applyAlignment="1">
      <alignment horizontal="centerContinuous"/>
    </xf>
    <xf numFmtId="0" fontId="15" fillId="0" borderId="11" xfId="0" applyNumberFormat="1" applyFont="1" applyBorder="1" applyAlignment="1">
      <alignment horizontal="centerContinuous"/>
    </xf>
    <xf numFmtId="0" fontId="15" fillId="0" borderId="9" xfId="0" applyNumberFormat="1" applyFont="1" applyBorder="1" applyAlignment="1">
      <alignment horizontal="center"/>
    </xf>
    <xf numFmtId="42" fontId="15" fillId="0" borderId="10" xfId="1" applyNumberFormat="1" applyFont="1" applyBorder="1" applyAlignment="1"/>
    <xf numFmtId="9" fontId="15" fillId="0" borderId="11" xfId="1" applyNumberFormat="1" applyFont="1" applyBorder="1" applyAlignment="1"/>
    <xf numFmtId="42" fontId="15" fillId="0" borderId="9" xfId="1" applyNumberFormat="1" applyFont="1" applyBorder="1" applyAlignment="1"/>
    <xf numFmtId="166" fontId="15" fillId="0" borderId="10" xfId="1" applyNumberFormat="1" applyFont="1" applyBorder="1" applyAlignment="1"/>
    <xf numFmtId="166" fontId="15" fillId="0" borderId="9" xfId="1" applyNumberFormat="1" applyFont="1" applyBorder="1" applyAlignment="1"/>
    <xf numFmtId="43" fontId="15" fillId="0" borderId="9" xfId="1" applyFont="1" applyBorder="1" applyAlignment="1"/>
    <xf numFmtId="166" fontId="15" fillId="0" borderId="14" xfId="1" applyNumberFormat="1" applyFont="1" applyBorder="1" applyAlignment="1"/>
    <xf numFmtId="166" fontId="15" fillId="0" borderId="11" xfId="1" applyNumberFormat="1" applyFont="1" applyBorder="1" applyAlignment="1"/>
    <xf numFmtId="166" fontId="15" fillId="0" borderId="15" xfId="1" applyNumberFormat="1" applyFont="1" applyBorder="1" applyAlignment="1"/>
    <xf numFmtId="0" fontId="15" fillId="0" borderId="6" xfId="0" applyFont="1" applyBorder="1" applyAlignment="1">
      <alignment horizontal="left"/>
    </xf>
    <xf numFmtId="0" fontId="15" fillId="0" borderId="6" xfId="0" applyFont="1" applyBorder="1"/>
    <xf numFmtId="0" fontId="15" fillId="0" borderId="12" xfId="0" applyFont="1" applyBorder="1"/>
    <xf numFmtId="0" fontId="15" fillId="0" borderId="13" xfId="0" applyFont="1" applyBorder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5" applyFont="1" applyFill="1" applyBorder="1" applyAlignment="1">
      <alignment horizontal="left" vertical="top"/>
    </xf>
    <xf numFmtId="10" fontId="18" fillId="0" borderId="0" xfId="5" applyNumberFormat="1" applyFont="1" applyFill="1" applyBorder="1" applyAlignment="1">
      <alignment horizontal="right" vertical="top"/>
    </xf>
    <xf numFmtId="43" fontId="18" fillId="0" borderId="0" xfId="1" applyFont="1" applyFill="1" applyBorder="1" applyAlignment="1">
      <alignment horizontal="left" vertical="top"/>
    </xf>
    <xf numFmtId="0" fontId="18" fillId="0" borderId="0" xfId="5" applyFont="1" applyFill="1" applyBorder="1" applyAlignment="1">
      <alignment horizontal="right" vertical="top"/>
    </xf>
    <xf numFmtId="0" fontId="19" fillId="3" borderId="20" xfId="5" applyFont="1" applyFill="1" applyBorder="1" applyAlignment="1">
      <alignment horizontal="left" vertical="center" wrapText="1"/>
    </xf>
    <xf numFmtId="0" fontId="19" fillId="3" borderId="21" xfId="5" applyFont="1" applyFill="1" applyBorder="1" applyAlignment="1">
      <alignment horizontal="center" wrapText="1"/>
    </xf>
    <xf numFmtId="0" fontId="19" fillId="3" borderId="22" xfId="5" applyFont="1" applyFill="1" applyBorder="1" applyAlignment="1">
      <alignment horizontal="center" wrapText="1"/>
    </xf>
    <xf numFmtId="0" fontId="19" fillId="3" borderId="23" xfId="5" applyFont="1" applyFill="1" applyBorder="1" applyAlignment="1">
      <alignment horizontal="center" wrapText="1"/>
    </xf>
    <xf numFmtId="0" fontId="19" fillId="3" borderId="24" xfId="5" applyFont="1" applyFill="1" applyBorder="1" applyAlignment="1">
      <alignment horizontal="center" wrapText="1"/>
    </xf>
    <xf numFmtId="0" fontId="18" fillId="0" borderId="25" xfId="5" applyNumberFormat="1" applyFont="1" applyFill="1" applyBorder="1" applyAlignment="1">
      <alignment horizontal="left" vertical="top" wrapText="1"/>
    </xf>
    <xf numFmtId="0" fontId="18" fillId="0" borderId="25" xfId="5" applyFont="1" applyFill="1" applyBorder="1" applyAlignment="1">
      <alignment horizontal="left" vertical="top" wrapText="1"/>
    </xf>
    <xf numFmtId="0" fontId="21" fillId="0" borderId="26" xfId="5" applyFont="1" applyFill="1" applyBorder="1" applyAlignment="1">
      <alignment horizontal="left" vertical="top" wrapText="1"/>
    </xf>
    <xf numFmtId="167" fontId="18" fillId="0" borderId="27" xfId="2" applyNumberFormat="1" applyFont="1" applyFill="1" applyBorder="1" applyAlignment="1">
      <alignment horizontal="right" vertical="top" wrapText="1"/>
    </xf>
    <xf numFmtId="167" fontId="18" fillId="0" borderId="20" xfId="2" applyNumberFormat="1" applyFont="1" applyFill="1" applyBorder="1" applyAlignment="1">
      <alignment horizontal="right" vertical="top" wrapText="1"/>
    </xf>
    <xf numFmtId="167" fontId="18" fillId="0" borderId="28" xfId="2" applyNumberFormat="1" applyFont="1" applyFill="1" applyBorder="1" applyAlignment="1">
      <alignment horizontal="right" vertical="top" wrapText="1"/>
    </xf>
    <xf numFmtId="44" fontId="18" fillId="0" borderId="0" xfId="5" applyNumberFormat="1" applyFont="1" applyFill="1" applyBorder="1" applyAlignment="1">
      <alignment horizontal="left" vertical="top"/>
    </xf>
    <xf numFmtId="0" fontId="19" fillId="4" borderId="29" xfId="5" applyNumberFormat="1" applyFont="1" applyFill="1" applyBorder="1" applyAlignment="1">
      <alignment horizontal="left" vertical="top" wrapText="1"/>
    </xf>
    <xf numFmtId="0" fontId="19" fillId="4" borderId="29" xfId="5" applyFont="1" applyFill="1" applyBorder="1" applyAlignment="1">
      <alignment horizontal="centerContinuous" vertical="top" wrapText="1"/>
    </xf>
    <xf numFmtId="0" fontId="19" fillId="4" borderId="30" xfId="5" applyFont="1" applyFill="1" applyBorder="1" applyAlignment="1">
      <alignment horizontal="centerContinuous" vertical="top" wrapText="1"/>
    </xf>
    <xf numFmtId="0" fontId="19" fillId="4" borderId="31" xfId="5" applyFont="1" applyFill="1" applyBorder="1" applyAlignment="1">
      <alignment horizontal="centerContinuous" vertical="top" wrapText="1"/>
    </xf>
    <xf numFmtId="0" fontId="19" fillId="4" borderId="32" xfId="5" applyFont="1" applyFill="1" applyBorder="1" applyAlignment="1">
      <alignment horizontal="centerContinuous" vertical="top" wrapText="1"/>
    </xf>
    <xf numFmtId="0" fontId="18" fillId="0" borderId="23" xfId="5" applyNumberFormat="1" applyFont="1" applyFill="1" applyBorder="1" applyAlignment="1">
      <alignment horizontal="left" vertical="top" wrapText="1"/>
    </xf>
    <xf numFmtId="2" fontId="18" fillId="0" borderId="23" xfId="5" applyNumberFormat="1" applyFont="1" applyFill="1" applyBorder="1" applyAlignment="1">
      <alignment horizontal="right" vertical="top" wrapText="1"/>
    </xf>
    <xf numFmtId="0" fontId="21" fillId="0" borderId="33" xfId="5" applyFont="1" applyFill="1" applyBorder="1" applyAlignment="1">
      <alignment horizontal="left" vertical="top" wrapText="1"/>
    </xf>
    <xf numFmtId="0" fontId="18" fillId="0" borderId="20" xfId="5" applyNumberFormat="1" applyFont="1" applyFill="1" applyBorder="1" applyAlignment="1">
      <alignment horizontal="left" vertical="top" wrapText="1"/>
    </xf>
    <xf numFmtId="2" fontId="18" fillId="0" borderId="20" xfId="5" applyNumberFormat="1" applyFont="1" applyFill="1" applyBorder="1" applyAlignment="1">
      <alignment horizontal="right" vertical="top" wrapText="1"/>
    </xf>
    <xf numFmtId="0" fontId="21" fillId="0" borderId="21" xfId="5" applyFont="1" applyFill="1" applyBorder="1" applyAlignment="1">
      <alignment horizontal="left" vertical="top" wrapText="1"/>
    </xf>
    <xf numFmtId="0" fontId="21" fillId="0" borderId="20" xfId="5" applyNumberFormat="1" applyFont="1" applyFill="1" applyBorder="1" applyAlignment="1">
      <alignment horizontal="left" vertical="top" wrapText="1"/>
    </xf>
    <xf numFmtId="0" fontId="21" fillId="0" borderId="20" xfId="5" applyFont="1" applyFill="1" applyBorder="1" applyAlignment="1">
      <alignment horizontal="left" vertical="top" wrapText="1"/>
    </xf>
    <xf numFmtId="0" fontId="18" fillId="4" borderId="20" xfId="5" applyNumberFormat="1" applyFont="1" applyFill="1" applyBorder="1" applyAlignment="1">
      <alignment horizontal="left" vertical="top" wrapText="1"/>
    </xf>
    <xf numFmtId="0" fontId="18" fillId="4" borderId="20" xfId="5" applyFont="1" applyFill="1" applyBorder="1" applyAlignment="1">
      <alignment horizontal="left" vertical="top" wrapText="1"/>
    </xf>
    <xf numFmtId="0" fontId="22" fillId="4" borderId="21" xfId="5" applyFont="1" applyFill="1" applyBorder="1" applyAlignment="1">
      <alignment horizontal="left" vertical="top" wrapText="1"/>
    </xf>
    <xf numFmtId="167" fontId="18" fillId="4" borderId="27" xfId="2" applyNumberFormat="1" applyFont="1" applyFill="1" applyBorder="1" applyAlignment="1">
      <alignment horizontal="right" vertical="top" wrapText="1"/>
    </xf>
    <xf numFmtId="167" fontId="18" fillId="4" borderId="20" xfId="2" applyNumberFormat="1" applyFont="1" applyFill="1" applyBorder="1" applyAlignment="1">
      <alignment horizontal="right" vertical="top" wrapText="1"/>
    </xf>
    <xf numFmtId="167" fontId="18" fillId="4" borderId="28" xfId="2" applyNumberFormat="1" applyFont="1" applyFill="1" applyBorder="1" applyAlignment="1">
      <alignment horizontal="right" vertical="top" wrapText="1"/>
    </xf>
    <xf numFmtId="167" fontId="23" fillId="4" borderId="27" xfId="2" applyNumberFormat="1" applyFont="1" applyFill="1" applyBorder="1" applyAlignment="1">
      <alignment horizontal="right" vertical="top" wrapText="1"/>
    </xf>
    <xf numFmtId="167" fontId="23" fillId="4" borderId="20" xfId="2" applyNumberFormat="1" applyFont="1" applyFill="1" applyBorder="1" applyAlignment="1">
      <alignment horizontal="right" vertical="top" wrapText="1"/>
    </xf>
    <xf numFmtId="167" fontId="23" fillId="4" borderId="28" xfId="2" applyNumberFormat="1" applyFont="1" applyFill="1" applyBorder="1" applyAlignment="1">
      <alignment horizontal="right" vertical="top" wrapText="1"/>
    </xf>
    <xf numFmtId="0" fontId="18" fillId="0" borderId="20" xfId="5" applyFont="1" applyFill="1" applyBorder="1" applyAlignment="1">
      <alignment horizontal="left" vertical="top" wrapText="1"/>
    </xf>
    <xf numFmtId="0" fontId="18" fillId="5" borderId="20" xfId="5" applyNumberFormat="1" applyFont="1" applyFill="1" applyBorder="1" applyAlignment="1">
      <alignment horizontal="left" vertical="top" wrapText="1"/>
    </xf>
    <xf numFmtId="0" fontId="18" fillId="5" borderId="20" xfId="5" applyFont="1" applyFill="1" applyBorder="1" applyAlignment="1">
      <alignment horizontal="left" vertical="top" wrapText="1"/>
    </xf>
    <xf numFmtId="0" fontId="22" fillId="5" borderId="21" xfId="5" applyFont="1" applyFill="1" applyBorder="1" applyAlignment="1">
      <alignment horizontal="left" vertical="top" wrapText="1"/>
    </xf>
    <xf numFmtId="167" fontId="24" fillId="5" borderId="35" xfId="2" applyNumberFormat="1" applyFont="1" applyFill="1" applyBorder="1" applyAlignment="1">
      <alignment horizontal="left" vertical="top" wrapText="1" indent="2"/>
    </xf>
    <xf numFmtId="167" fontId="24" fillId="5" borderId="36" xfId="2" applyNumberFormat="1" applyFont="1" applyFill="1" applyBorder="1" applyAlignment="1">
      <alignment horizontal="left" vertical="top" wrapText="1" indent="2"/>
    </xf>
    <xf numFmtId="167" fontId="24" fillId="5" borderId="37" xfId="2" applyNumberFormat="1" applyFont="1" applyFill="1" applyBorder="1" applyAlignment="1">
      <alignment horizontal="left" vertical="top" wrapText="1" indent="2"/>
    </xf>
    <xf numFmtId="42" fontId="18" fillId="0" borderId="0" xfId="5" applyNumberFormat="1" applyFont="1" applyFill="1" applyBorder="1" applyAlignment="1">
      <alignment horizontal="left" vertical="top"/>
    </xf>
    <xf numFmtId="0" fontId="19" fillId="3" borderId="20" xfId="5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/>
    <xf numFmtId="14" fontId="13" fillId="0" borderId="0" xfId="0" applyNumberFormat="1" applyFont="1" applyFill="1" applyAlignment="1"/>
    <xf numFmtId="0" fontId="20" fillId="0" borderId="0" xfId="0" applyNumberFormat="1" applyFont="1" applyFill="1" applyAlignment="1"/>
    <xf numFmtId="0" fontId="20" fillId="0" borderId="38" xfId="0" applyNumberFormat="1" applyFont="1" applyFill="1" applyBorder="1" applyAlignment="1"/>
    <xf numFmtId="0" fontId="20" fillId="0" borderId="41" xfId="0" applyNumberFormat="1" applyFont="1" applyFill="1" applyBorder="1" applyAlignment="1"/>
    <xf numFmtId="0" fontId="20" fillId="0" borderId="41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>
      <alignment horizontal="center"/>
    </xf>
    <xf numFmtId="0" fontId="25" fillId="0" borderId="43" xfId="0" applyNumberFormat="1" applyFont="1" applyFill="1" applyBorder="1" applyAlignment="1"/>
    <xf numFmtId="6" fontId="14" fillId="0" borderId="0" xfId="0" applyNumberFormat="1" applyFont="1" applyFill="1" applyAlignment="1"/>
    <xf numFmtId="0" fontId="25" fillId="0" borderId="41" xfId="0" applyNumberFormat="1" applyFont="1" applyFill="1" applyBorder="1" applyAlignment="1"/>
    <xf numFmtId="0" fontId="26" fillId="0" borderId="0" xfId="4" applyNumberFormat="1" applyFont="1" applyFill="1" applyAlignment="1"/>
    <xf numFmtId="166" fontId="26" fillId="0" borderId="0" xfId="4" applyNumberFormat="1" applyFont="1" applyFill="1" applyAlignment="1"/>
    <xf numFmtId="0" fontId="25" fillId="0" borderId="0" xfId="0" applyNumberFormat="1" applyFont="1" applyFill="1" applyBorder="1" applyAlignment="1"/>
    <xf numFmtId="0" fontId="25" fillId="0" borderId="42" xfId="0" applyNumberFormat="1" applyFont="1" applyFill="1" applyBorder="1" applyAlignment="1"/>
    <xf numFmtId="166" fontId="26" fillId="0" borderId="0" xfId="1" applyNumberFormat="1" applyFont="1" applyFill="1" applyAlignment="1"/>
    <xf numFmtId="0" fontId="13" fillId="0" borderId="0" xfId="0" applyFont="1" applyFill="1"/>
    <xf numFmtId="2" fontId="13" fillId="0" borderId="0" xfId="0" applyNumberFormat="1" applyFont="1" applyFill="1" applyAlignment="1">
      <alignment horizontal="center"/>
    </xf>
    <xf numFmtId="1" fontId="13" fillId="0" borderId="49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14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42" fontId="13" fillId="0" borderId="0" xfId="0" applyNumberFormat="1" applyFont="1" applyFill="1" applyAlignment="1">
      <alignment horizontal="center"/>
    </xf>
    <xf numFmtId="6" fontId="13" fillId="0" borderId="0" xfId="0" applyNumberFormat="1" applyFont="1" applyFill="1" applyAlignment="1">
      <alignment horizontal="center"/>
    </xf>
    <xf numFmtId="42" fontId="13" fillId="0" borderId="50" xfId="0" applyNumberFormat="1" applyFont="1" applyFill="1" applyBorder="1" applyAlignment="1">
      <alignment horizontal="center"/>
    </xf>
    <xf numFmtId="42" fontId="25" fillId="0" borderId="0" xfId="0" applyNumberFormat="1" applyFont="1" applyFill="1"/>
    <xf numFmtId="41" fontId="13" fillId="0" borderId="0" xfId="0" applyNumberFormat="1" applyFont="1" applyFill="1" applyAlignment="1">
      <alignment horizontal="center"/>
    </xf>
    <xf numFmtId="41" fontId="13" fillId="0" borderId="51" xfId="0" applyNumberFormat="1" applyFont="1" applyFill="1" applyBorder="1" applyAlignment="1">
      <alignment horizontal="center"/>
    </xf>
    <xf numFmtId="41" fontId="13" fillId="0" borderId="2" xfId="0" applyNumberFormat="1" applyFont="1" applyFill="1" applyBorder="1"/>
    <xf numFmtId="41" fontId="13" fillId="0" borderId="52" xfId="0" applyNumberFormat="1" applyFont="1" applyFill="1" applyBorder="1"/>
    <xf numFmtId="0" fontId="25" fillId="0" borderId="2" xfId="0" applyFont="1" applyFill="1" applyBorder="1"/>
    <xf numFmtId="42" fontId="13" fillId="0" borderId="3" xfId="0" applyNumberFormat="1" applyFont="1" applyFill="1" applyBorder="1" applyAlignment="1">
      <alignment horizontal="center"/>
    </xf>
    <xf numFmtId="42" fontId="13" fillId="0" borderId="53" xfId="0" applyNumberFormat="1" applyFont="1" applyFill="1" applyBorder="1" applyAlignment="1">
      <alignment horizontal="center"/>
    </xf>
    <xf numFmtId="42" fontId="25" fillId="0" borderId="3" xfId="0" applyNumberFormat="1" applyFont="1" applyFill="1" applyBorder="1" applyAlignment="1">
      <alignment horizontal="center"/>
    </xf>
    <xf numFmtId="44" fontId="13" fillId="0" borderId="0" xfId="0" applyNumberFormat="1" applyFont="1" applyFill="1" applyAlignment="1"/>
    <xf numFmtId="10" fontId="13" fillId="0" borderId="0" xfId="0" applyNumberFormat="1" applyFont="1"/>
    <xf numFmtId="9" fontId="13" fillId="0" borderId="0" xfId="0" applyNumberFormat="1" applyFont="1"/>
    <xf numFmtId="42" fontId="13" fillId="0" borderId="0" xfId="0" applyNumberFormat="1" applyFont="1"/>
    <xf numFmtId="41" fontId="13" fillId="0" borderId="0" xfId="0" applyNumberFormat="1" applyFont="1"/>
    <xf numFmtId="0" fontId="13" fillId="0" borderId="0" xfId="0" applyFont="1" applyAlignment="1">
      <alignment horizontal="left" indent="2"/>
    </xf>
    <xf numFmtId="41" fontId="13" fillId="0" borderId="2" xfId="0" applyNumberFormat="1" applyFont="1" applyBorder="1"/>
    <xf numFmtId="42" fontId="13" fillId="0" borderId="3" xfId="0" applyNumberFormat="1" applyFont="1" applyBorder="1"/>
    <xf numFmtId="10" fontId="13" fillId="0" borderId="0" xfId="3" applyNumberFormat="1" applyFont="1"/>
    <xf numFmtId="10" fontId="13" fillId="0" borderId="54" xfId="0" applyNumberFormat="1" applyFont="1" applyBorder="1"/>
    <xf numFmtId="10" fontId="13" fillId="0" borderId="0" xfId="0" applyNumberFormat="1" applyFont="1" applyBorder="1"/>
    <xf numFmtId="44" fontId="13" fillId="0" borderId="0" xfId="0" applyNumberFormat="1" applyFont="1"/>
    <xf numFmtId="0" fontId="19" fillId="0" borderId="16" xfId="5" applyFont="1" applyFill="1" applyBorder="1" applyAlignment="1">
      <alignment horizontal="left" vertical="top" wrapText="1"/>
    </xf>
    <xf numFmtId="0" fontId="21" fillId="0" borderId="17" xfId="5" applyFont="1" applyFill="1" applyBorder="1" applyAlignment="1">
      <alignment horizontal="center" vertical="top" wrapText="1"/>
    </xf>
    <xf numFmtId="0" fontId="21" fillId="0" borderId="18" xfId="5" applyFont="1" applyFill="1" applyBorder="1" applyAlignment="1">
      <alignment horizontal="center" vertical="top" wrapText="1"/>
    </xf>
    <xf numFmtId="0" fontId="21" fillId="0" borderId="19" xfId="5" applyFont="1" applyFill="1" applyBorder="1" applyAlignment="1">
      <alignment horizontal="center" vertical="top" wrapText="1"/>
    </xf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 2" xfId="5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0%20PCORC\Support\Need\2020%20Q3%20SOX%20KC%20604%20Earnings%20Sharing%20-%20FINAL%20with%20E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pr New Rev w Curr UnderErgs"/>
      <sheetName val="New Revenues"/>
      <sheetName val="19GRC E Compl Filing"/>
      <sheetName val="Change in Dep Exp"/>
      <sheetName val="Erngs Shrg Aug-20"/>
      <sheetName val="Electric Lead"/>
      <sheetName val="E Feed"/>
      <sheetName val="paste to lead"/>
      <sheetName val="ZRW_Z012 from SAP"/>
      <sheetName val="Jan 2020"/>
      <sheetName val="Feb 2020"/>
      <sheetName val="Mar 2020"/>
      <sheetName val="Apr 2020"/>
      <sheetName val="May 2020"/>
      <sheetName val="Jun 2020"/>
      <sheetName val="Jul 2020"/>
      <sheetName val="Aug 2020"/>
      <sheetName val="COC CFs"/>
      <sheetName val="SOE"/>
      <sheetName val="2020 Pwr Cost Detail"/>
      <sheetName val="PCA_Schedule_B"/>
      <sheetName val="PCA_Actuals"/>
      <sheetName val="ARAM"/>
      <sheetName val="Other=&gt;"/>
      <sheetName val="Electric Sha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8"/>
  <sheetViews>
    <sheetView tabSelected="1" workbookViewId="0">
      <selection activeCell="B8" sqref="B8"/>
    </sheetView>
  </sheetViews>
  <sheetFormatPr defaultRowHeight="15.6" x14ac:dyDescent="0.3"/>
  <cols>
    <col min="1" max="1" width="4.6640625" style="89" bestFit="1" customWidth="1"/>
    <col min="2" max="2" width="67.33203125" style="89" bestFit="1" customWidth="1"/>
    <col min="3" max="3" width="11.6640625" style="89" bestFit="1" customWidth="1"/>
    <col min="4" max="16384" width="8.88671875" style="89"/>
  </cols>
  <sheetData>
    <row r="3" spans="1:3" x14ac:dyDescent="0.3">
      <c r="B3" s="90" t="s">
        <v>0</v>
      </c>
    </row>
    <row r="6" spans="1:3" x14ac:dyDescent="0.3">
      <c r="A6" s="91" t="s">
        <v>1</v>
      </c>
      <c r="B6" s="91" t="s">
        <v>2</v>
      </c>
      <c r="C6" s="91" t="s">
        <v>3</v>
      </c>
    </row>
    <row r="7" spans="1:3" x14ac:dyDescent="0.3">
      <c r="C7" s="92" t="s">
        <v>4</v>
      </c>
    </row>
    <row r="9" spans="1:3" x14ac:dyDescent="0.3">
      <c r="A9" s="93">
        <f>ROW()</f>
        <v>9</v>
      </c>
      <c r="B9" s="94" t="s">
        <v>5</v>
      </c>
    </row>
    <row r="10" spans="1:3" x14ac:dyDescent="0.3">
      <c r="A10" s="93">
        <f>ROW()</f>
        <v>10</v>
      </c>
    </row>
    <row r="11" spans="1:3" x14ac:dyDescent="0.3">
      <c r="A11" s="93">
        <f>ROW()</f>
        <v>11</v>
      </c>
      <c r="B11" s="93" t="s">
        <v>6</v>
      </c>
      <c r="C11" s="95">
        <f>'SEF-11 p6'!C45/1000000</f>
        <v>-46.257615615547849</v>
      </c>
    </row>
    <row r="12" spans="1:3" x14ac:dyDescent="0.3">
      <c r="A12" s="93">
        <f>ROW()</f>
        <v>12</v>
      </c>
      <c r="B12" s="93"/>
      <c r="C12" s="96"/>
    </row>
    <row r="13" spans="1:3" x14ac:dyDescent="0.3">
      <c r="A13" s="93">
        <f>ROW()</f>
        <v>13</v>
      </c>
      <c r="B13" s="93" t="s">
        <v>7</v>
      </c>
      <c r="C13" s="96">
        <f>'SEF-11 p3'!C14</f>
        <v>20.419456337442462</v>
      </c>
    </row>
    <row r="14" spans="1:3" x14ac:dyDescent="0.3">
      <c r="A14" s="93">
        <f>ROW()</f>
        <v>14</v>
      </c>
      <c r="B14" s="93"/>
      <c r="C14" s="97"/>
    </row>
    <row r="15" spans="1:3" ht="16.2" thickBot="1" x14ac:dyDescent="0.35">
      <c r="A15" s="93">
        <f>ROW()</f>
        <v>15</v>
      </c>
      <c r="B15" s="93" t="s">
        <v>8</v>
      </c>
      <c r="C15" s="98">
        <f>SUM(C11:C14)</f>
        <v>-25.838159278105387</v>
      </c>
    </row>
    <row r="16" spans="1:3" ht="16.2" thickTop="1" x14ac:dyDescent="0.3">
      <c r="A16" s="93">
        <f>ROW()</f>
        <v>16</v>
      </c>
    </row>
    <row r="17" spans="1:3" x14ac:dyDescent="0.3">
      <c r="A17" s="93">
        <f>ROW()</f>
        <v>17</v>
      </c>
    </row>
    <row r="18" spans="1:3" x14ac:dyDescent="0.3">
      <c r="A18" s="93">
        <f>ROW()</f>
        <v>18</v>
      </c>
      <c r="B18" s="94" t="s">
        <v>9</v>
      </c>
    </row>
    <row r="19" spans="1:3" x14ac:dyDescent="0.3">
      <c r="A19" s="93">
        <f>ROW()</f>
        <v>19</v>
      </c>
    </row>
    <row r="20" spans="1:3" x14ac:dyDescent="0.3">
      <c r="A20" s="93">
        <f>ROW()</f>
        <v>20</v>
      </c>
      <c r="B20" s="93" t="s">
        <v>10</v>
      </c>
      <c r="C20" s="95">
        <f>'SEF-11 p2'!C11/1000000</f>
        <v>33.338783459194481</v>
      </c>
    </row>
    <row r="21" spans="1:3" x14ac:dyDescent="0.3">
      <c r="A21" s="93">
        <f>ROW()</f>
        <v>21</v>
      </c>
      <c r="B21" s="93"/>
    </row>
    <row r="22" spans="1:3" x14ac:dyDescent="0.3">
      <c r="A22" s="93">
        <f>ROW()</f>
        <v>22</v>
      </c>
      <c r="B22" s="93" t="s">
        <v>11</v>
      </c>
      <c r="C22" s="96">
        <v>-9.8821142461372595</v>
      </c>
    </row>
    <row r="23" spans="1:3" x14ac:dyDescent="0.3">
      <c r="A23" s="93">
        <f>ROW()</f>
        <v>23</v>
      </c>
      <c r="B23" s="93"/>
      <c r="C23" s="99"/>
    </row>
    <row r="24" spans="1:3" ht="16.2" thickBot="1" x14ac:dyDescent="0.35">
      <c r="A24" s="93">
        <f>ROW()</f>
        <v>24</v>
      </c>
      <c r="B24" s="93" t="s">
        <v>9</v>
      </c>
      <c r="C24" s="98">
        <f>SUM(C20:C23)</f>
        <v>23.456669213057221</v>
      </c>
    </row>
    <row r="25" spans="1:3" ht="16.2" thickTop="1" x14ac:dyDescent="0.3">
      <c r="A25" s="93">
        <f>ROW()</f>
        <v>25</v>
      </c>
    </row>
    <row r="26" spans="1:3" x14ac:dyDescent="0.3">
      <c r="A26" s="93">
        <f>ROW()</f>
        <v>26</v>
      </c>
      <c r="C26" s="100"/>
    </row>
    <row r="27" spans="1:3" ht="16.2" thickBot="1" x14ac:dyDescent="0.35">
      <c r="A27" s="93">
        <f>ROW()</f>
        <v>27</v>
      </c>
      <c r="B27" s="101" t="s">
        <v>12</v>
      </c>
      <c r="C27" s="102">
        <f>C15+C24</f>
        <v>-2.3814900650481654</v>
      </c>
    </row>
    <row r="28" spans="1:3" ht="16.2" thickTop="1" x14ac:dyDescent="0.3">
      <c r="A28" s="93"/>
    </row>
  </sheetData>
  <printOptions horizontalCentered="1"/>
  <pageMargins left="0.7" right="0.7" top="0.75" bottom="0.75" header="0.3" footer="0.3"/>
  <pageSetup orientation="portrait" r:id="rId1"/>
  <headerFooter scaleWithDoc="0" alignWithMargins="0">
    <oddFooter>&amp;R&amp;"Times New Roman,Regular"&amp;12Exh. SEF-11
Page 1 of 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2"/>
  <sheetViews>
    <sheetView workbookViewId="0">
      <selection activeCell="C13" sqref="C13"/>
    </sheetView>
  </sheetViews>
  <sheetFormatPr defaultRowHeight="15.6" x14ac:dyDescent="0.3"/>
  <cols>
    <col min="1" max="1" width="3.21875" style="89" bestFit="1" customWidth="1"/>
    <col min="2" max="2" width="14.21875" style="89" customWidth="1"/>
    <col min="3" max="3" width="13.77734375" style="89" bestFit="1" customWidth="1"/>
    <col min="4" max="4" width="6.21875" style="89" bestFit="1" customWidth="1"/>
    <col min="5" max="5" width="13.77734375" style="89" bestFit="1" customWidth="1"/>
    <col min="6" max="6" width="5.109375" style="89" bestFit="1" customWidth="1"/>
    <col min="7" max="7" width="13.77734375" style="89" bestFit="1" customWidth="1"/>
    <col min="8" max="16384" width="8.88671875" style="89"/>
  </cols>
  <sheetData>
    <row r="2" spans="1:7" x14ac:dyDescent="0.3">
      <c r="A2" s="92"/>
    </row>
    <row r="3" spans="1:7" x14ac:dyDescent="0.3">
      <c r="A3" s="103">
        <f>ROW()</f>
        <v>3</v>
      </c>
      <c r="B3" s="104" t="s">
        <v>13</v>
      </c>
      <c r="C3" s="99"/>
      <c r="D3" s="105"/>
      <c r="E3" s="106"/>
      <c r="F3" s="106"/>
      <c r="G3" s="107"/>
    </row>
    <row r="4" spans="1:7" x14ac:dyDescent="0.3">
      <c r="A4" s="108">
        <f>ROW()</f>
        <v>4</v>
      </c>
      <c r="B4" s="109" t="s">
        <v>14</v>
      </c>
      <c r="C4" s="110"/>
      <c r="D4" s="110"/>
      <c r="E4" s="111">
        <v>88387834.591944814</v>
      </c>
      <c r="F4" s="112"/>
      <c r="G4" s="113"/>
    </row>
    <row r="5" spans="1:7" x14ac:dyDescent="0.3">
      <c r="A5" s="108">
        <f>ROW()</f>
        <v>5</v>
      </c>
      <c r="B5" s="114"/>
      <c r="C5" s="115"/>
      <c r="D5" s="115"/>
      <c r="E5" s="116"/>
      <c r="F5" s="116"/>
      <c r="G5" s="117"/>
    </row>
    <row r="6" spans="1:7" x14ac:dyDescent="0.3">
      <c r="A6" s="108">
        <f>ROW()</f>
        <v>6</v>
      </c>
      <c r="B6" s="118"/>
      <c r="C6" s="119"/>
      <c r="D6" s="107"/>
      <c r="E6" s="119"/>
      <c r="F6" s="107"/>
      <c r="G6" s="118"/>
    </row>
    <row r="7" spans="1:7" x14ac:dyDescent="0.3">
      <c r="A7" s="108">
        <f>ROW()</f>
        <v>7</v>
      </c>
      <c r="B7" s="120"/>
      <c r="C7" s="121" t="s">
        <v>15</v>
      </c>
      <c r="D7" s="122"/>
      <c r="E7" s="121" t="s">
        <v>16</v>
      </c>
      <c r="F7" s="122"/>
      <c r="G7" s="123" t="s">
        <v>17</v>
      </c>
    </row>
    <row r="8" spans="1:7" x14ac:dyDescent="0.3">
      <c r="A8" s="108">
        <f>ROW()</f>
        <v>8</v>
      </c>
      <c r="B8" s="120" t="s">
        <v>18</v>
      </c>
      <c r="C8" s="124">
        <v>17000000</v>
      </c>
      <c r="D8" s="125">
        <v>1</v>
      </c>
      <c r="E8" s="124"/>
      <c r="F8" s="125">
        <v>0</v>
      </c>
      <c r="G8" s="126">
        <f>C8+E8</f>
        <v>17000000</v>
      </c>
    </row>
    <row r="9" spans="1:7" x14ac:dyDescent="0.3">
      <c r="A9" s="108">
        <f>ROW()</f>
        <v>9</v>
      </c>
      <c r="B9" s="120" t="s">
        <v>19</v>
      </c>
      <c r="C9" s="127">
        <f>23000000*D9</f>
        <v>11500000</v>
      </c>
      <c r="D9" s="125">
        <v>0.5</v>
      </c>
      <c r="E9" s="127">
        <f>23000000*F9</f>
        <v>11500000</v>
      </c>
      <c r="F9" s="125">
        <v>0.5</v>
      </c>
      <c r="G9" s="128">
        <f>C9+E9</f>
        <v>23000000</v>
      </c>
    </row>
    <row r="10" spans="1:7" x14ac:dyDescent="0.3">
      <c r="A10" s="108">
        <f>ROW()</f>
        <v>10</v>
      </c>
      <c r="B10" s="120" t="s">
        <v>20</v>
      </c>
      <c r="C10" s="127">
        <f>(+E4-SUM(C8:C9,E8:E9))*D10</f>
        <v>4838783.4591944814</v>
      </c>
      <c r="D10" s="125">
        <v>0.1</v>
      </c>
      <c r="E10" s="127">
        <f>(+E4-SUM(C8:C9,E8:E9))*F10</f>
        <v>43549051.132750332</v>
      </c>
      <c r="F10" s="125">
        <v>0.9</v>
      </c>
      <c r="G10" s="128">
        <f>C10+E10</f>
        <v>48387834.591944814</v>
      </c>
    </row>
    <row r="11" spans="1:7" ht="16.2" thickBot="1" x14ac:dyDescent="0.35">
      <c r="A11" s="108">
        <f>ROW()</f>
        <v>11</v>
      </c>
      <c r="B11" s="129" t="s">
        <v>21</v>
      </c>
      <c r="C11" s="130">
        <f t="shared" ref="C11:G11" si="0">SUM(C8:C10)</f>
        <v>33338783.459194481</v>
      </c>
      <c r="D11" s="131"/>
      <c r="E11" s="130">
        <f t="shared" si="0"/>
        <v>55049051.132750332</v>
      </c>
      <c r="F11" s="131"/>
      <c r="G11" s="132">
        <f t="shared" si="0"/>
        <v>88387834.591944814</v>
      </c>
    </row>
    <row r="12" spans="1:7" ht="16.2" thickTop="1" x14ac:dyDescent="0.3">
      <c r="A12" s="133">
        <f>ROW()</f>
        <v>12</v>
      </c>
      <c r="B12" s="134"/>
      <c r="C12" s="135"/>
      <c r="D12" s="136"/>
      <c r="E12" s="135"/>
      <c r="F12" s="136"/>
      <c r="G12" s="134"/>
    </row>
  </sheetData>
  <printOptions horizontalCentered="1"/>
  <pageMargins left="0.7" right="0.7" top="0.75" bottom="0.75" header="0.3" footer="0.3"/>
  <pageSetup orientation="portrait" horizontalDpi="1200" verticalDpi="1200" r:id="rId1"/>
  <headerFooter scaleWithDoc="0" alignWithMargins="0">
    <oddFooter>&amp;R&amp;"Times New Roman,Regular"&amp;12Exh. SEF-11
Page 2 of 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6"/>
  <sheetViews>
    <sheetView workbookViewId="0">
      <selection activeCell="F12" sqref="F12"/>
    </sheetView>
  </sheetViews>
  <sheetFormatPr defaultRowHeight="14.4" x14ac:dyDescent="0.3"/>
  <cols>
    <col min="1" max="1" width="5.21875" bestFit="1" customWidth="1"/>
    <col min="2" max="2" width="60.21875" bestFit="1" customWidth="1"/>
    <col min="3" max="3" width="12" bestFit="1" customWidth="1"/>
  </cols>
  <sheetData>
    <row r="3" spans="1:4" ht="15.6" x14ac:dyDescent="0.3">
      <c r="A3" s="89"/>
      <c r="B3" s="89"/>
      <c r="C3" s="89"/>
      <c r="D3" s="89"/>
    </row>
    <row r="4" spans="1:4" ht="15.6" x14ac:dyDescent="0.3">
      <c r="A4" s="91" t="s">
        <v>1</v>
      </c>
      <c r="B4" s="91" t="s">
        <v>2</v>
      </c>
      <c r="C4" s="91" t="s">
        <v>3</v>
      </c>
      <c r="D4" s="89"/>
    </row>
    <row r="5" spans="1:4" ht="15.6" x14ac:dyDescent="0.3">
      <c r="A5" s="89"/>
      <c r="B5" s="89"/>
      <c r="C5" s="92" t="s">
        <v>4</v>
      </c>
      <c r="D5" s="89"/>
    </row>
    <row r="6" spans="1:4" ht="15.6" x14ac:dyDescent="0.3">
      <c r="A6" s="89"/>
      <c r="B6" s="89"/>
      <c r="C6" s="89"/>
      <c r="D6" s="89"/>
    </row>
    <row r="7" spans="1:4" ht="15.6" x14ac:dyDescent="0.3">
      <c r="A7" s="93">
        <f>ROW()</f>
        <v>7</v>
      </c>
      <c r="B7" s="89" t="s">
        <v>22</v>
      </c>
      <c r="C7" s="95">
        <f>'SEF-11 p4'!I71/1000000</f>
        <v>56.526873110649049</v>
      </c>
      <c r="D7" s="89"/>
    </row>
    <row r="8" spans="1:4" ht="15.6" x14ac:dyDescent="0.3">
      <c r="A8" s="93">
        <f>ROW()</f>
        <v>8</v>
      </c>
      <c r="B8" s="89"/>
      <c r="C8" s="96"/>
      <c r="D8" s="89"/>
    </row>
    <row r="9" spans="1:4" ht="15.6" x14ac:dyDescent="0.3">
      <c r="A9" s="93">
        <f>ROW()</f>
        <v>9</v>
      </c>
      <c r="B9" s="89" t="s">
        <v>23</v>
      </c>
      <c r="C9" s="96"/>
      <c r="D9" s="89"/>
    </row>
    <row r="10" spans="1:4" ht="15.6" x14ac:dyDescent="0.3">
      <c r="A10" s="93">
        <f>ROW()</f>
        <v>10</v>
      </c>
      <c r="B10" s="93" t="s">
        <v>24</v>
      </c>
      <c r="C10" s="96">
        <f>'SEF-11 p4'!G46/'SEF-11 p4'!$I$2/1000000</f>
        <v>-8.19149110758506</v>
      </c>
      <c r="D10" s="89"/>
    </row>
    <row r="11" spans="1:4" ht="15.6" x14ac:dyDescent="0.3">
      <c r="A11" s="93">
        <f>ROW()</f>
        <v>11</v>
      </c>
      <c r="B11" s="93" t="s">
        <v>25</v>
      </c>
      <c r="C11" s="96">
        <f>'SEF-11 p4'!G48/'SEF-11 p4'!$I$2/1000000</f>
        <v>-16.683132589085488</v>
      </c>
      <c r="D11" s="89"/>
    </row>
    <row r="12" spans="1:4" ht="15.6" x14ac:dyDescent="0.3">
      <c r="A12" s="93">
        <f>ROW()</f>
        <v>12</v>
      </c>
      <c r="B12" s="93" t="s">
        <v>26</v>
      </c>
      <c r="C12" s="96">
        <f>-'SEF-11 p5'!E71/1000000/(1-'SEF-11 p6'!C3)</f>
        <v>-11.232793076536042</v>
      </c>
      <c r="D12" s="89"/>
    </row>
    <row r="13" spans="1:4" ht="15.6" x14ac:dyDescent="0.3">
      <c r="A13" s="93">
        <f>ROW()</f>
        <v>13</v>
      </c>
      <c r="B13" s="89"/>
      <c r="C13" s="97"/>
      <c r="D13" s="89"/>
    </row>
    <row r="14" spans="1:4" ht="16.2" thickBot="1" x14ac:dyDescent="0.35">
      <c r="A14" s="93">
        <f>ROW()</f>
        <v>14</v>
      </c>
      <c r="B14" s="138" t="s">
        <v>27</v>
      </c>
      <c r="C14" s="98">
        <f>SUM(C7:C13)</f>
        <v>20.419456337442462</v>
      </c>
      <c r="D14" s="89"/>
    </row>
    <row r="15" spans="1:4" ht="16.2" thickTop="1" x14ac:dyDescent="0.3">
      <c r="A15" s="89"/>
      <c r="B15" s="89"/>
      <c r="C15" s="89"/>
      <c r="D15" s="89"/>
    </row>
    <row r="16" spans="1:4" ht="15.6" x14ac:dyDescent="0.3">
      <c r="A16" s="89"/>
      <c r="B16" s="89"/>
      <c r="C16" s="89"/>
      <c r="D16" s="89"/>
    </row>
  </sheetData>
  <printOptions horizontalCentered="1"/>
  <pageMargins left="0.7" right="0.7" top="0.75" bottom="0.75" header="0.3" footer="0.3"/>
  <pageSetup orientation="portrait" horizontalDpi="1200" verticalDpi="1200" r:id="rId1"/>
  <headerFooter scaleWithDoc="0" alignWithMargins="0">
    <oddFooter>&amp;R&amp;"Times New Roman,Regular"&amp;12Exh. SEF-11
Page 3 of 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8"/>
  <sheetViews>
    <sheetView zoomScale="88" zoomScaleNormal="88" workbookViewId="0">
      <pane xSplit="3" ySplit="5" topLeftCell="D58" activePane="bottomRight" state="frozen"/>
      <selection activeCell="E4" sqref="E4"/>
      <selection pane="topRight" activeCell="E4" sqref="E4"/>
      <selection pane="bottomLeft" activeCell="E4" sqref="E4"/>
      <selection pane="bottomRight" activeCell="C5" sqref="C5"/>
    </sheetView>
  </sheetViews>
  <sheetFormatPr defaultColWidth="9.109375" defaultRowHeight="13.8" x14ac:dyDescent="0.3"/>
  <cols>
    <col min="1" max="1" width="4.88671875" style="139" bestFit="1" customWidth="1"/>
    <col min="2" max="2" width="7.44140625" style="139" bestFit="1" customWidth="1"/>
    <col min="3" max="3" width="36.44140625" style="139" customWidth="1"/>
    <col min="4" max="12" width="18.33203125" style="139" customWidth="1"/>
    <col min="13" max="13" width="9.109375" style="139"/>
    <col min="14" max="14" width="15.5546875" style="141" bestFit="1" customWidth="1"/>
    <col min="15" max="16384" width="9.109375" style="139"/>
  </cols>
  <sheetData>
    <row r="1" spans="1:15" x14ac:dyDescent="0.3">
      <c r="H1" s="139" t="s">
        <v>28</v>
      </c>
      <c r="I1" s="140">
        <v>7.3899999999999993E-2</v>
      </c>
      <c r="L1" s="140"/>
    </row>
    <row r="2" spans="1:15" x14ac:dyDescent="0.3">
      <c r="H2" s="139" t="s">
        <v>29</v>
      </c>
      <c r="I2" s="142">
        <v>0.75138099999999997</v>
      </c>
      <c r="L2" s="142"/>
    </row>
    <row r="3" spans="1:15" ht="14.4" thickBot="1" x14ac:dyDescent="0.35"/>
    <row r="4" spans="1:15" ht="15" customHeight="1" x14ac:dyDescent="0.3">
      <c r="B4" s="234" t="s">
        <v>192</v>
      </c>
      <c r="C4" s="234"/>
      <c r="D4" s="235" t="s">
        <v>30</v>
      </c>
      <c r="E4" s="236"/>
      <c r="F4" s="237"/>
      <c r="G4" s="235" t="s">
        <v>31</v>
      </c>
      <c r="H4" s="236"/>
      <c r="I4" s="237"/>
      <c r="J4" s="235" t="s">
        <v>32</v>
      </c>
      <c r="K4" s="236"/>
      <c r="L4" s="237"/>
    </row>
    <row r="5" spans="1:15" ht="27.6" x14ac:dyDescent="0.25">
      <c r="A5" s="143" t="s">
        <v>1</v>
      </c>
      <c r="B5" s="185" t="s">
        <v>193</v>
      </c>
      <c r="C5" s="144" t="s">
        <v>33</v>
      </c>
      <c r="D5" s="145" t="s">
        <v>34</v>
      </c>
      <c r="E5" s="146" t="s">
        <v>35</v>
      </c>
      <c r="F5" s="147" t="s">
        <v>194</v>
      </c>
      <c r="G5" s="145" t="s">
        <v>34</v>
      </c>
      <c r="H5" s="146" t="s">
        <v>35</v>
      </c>
      <c r="I5" s="147" t="s">
        <v>194</v>
      </c>
      <c r="J5" s="145" t="s">
        <v>34</v>
      </c>
      <c r="K5" s="146" t="s">
        <v>35</v>
      </c>
      <c r="L5" s="147" t="s">
        <v>194</v>
      </c>
    </row>
    <row r="6" spans="1:15" x14ac:dyDescent="0.3">
      <c r="A6" s="148">
        <f>ROW()</f>
        <v>6</v>
      </c>
      <c r="B6" s="149"/>
      <c r="C6" s="150" t="s">
        <v>36</v>
      </c>
      <c r="D6" s="151">
        <v>391140691</v>
      </c>
      <c r="E6" s="152">
        <v>5208778506</v>
      </c>
      <c r="F6" s="153">
        <f>(E6*I$1-D6)/I$2</f>
        <v>-8267389.5222264845</v>
      </c>
      <c r="G6" s="151">
        <v>391140691.10000062</v>
      </c>
      <c r="H6" s="152">
        <v>5208778506.3049917</v>
      </c>
      <c r="I6" s="153">
        <f>(H6*I$1-G6)/I$2</f>
        <v>-8267389.62531895</v>
      </c>
      <c r="J6" s="151">
        <f>G6-D6</f>
        <v>0.10000061988830566</v>
      </c>
      <c r="K6" s="152">
        <f t="shared" ref="K6:L6" si="0">H6-E6</f>
        <v>0.30499172210693359</v>
      </c>
      <c r="L6" s="153">
        <f t="shared" si="0"/>
        <v>-0.10309246554970741</v>
      </c>
      <c r="O6" s="154"/>
    </row>
    <row r="7" spans="1:15" ht="15" customHeight="1" x14ac:dyDescent="0.3">
      <c r="A7" s="155">
        <f>ROW()</f>
        <v>7</v>
      </c>
      <c r="B7" s="156" t="s">
        <v>37</v>
      </c>
      <c r="C7" s="157"/>
      <c r="D7" s="158"/>
      <c r="E7" s="157"/>
      <c r="F7" s="159"/>
      <c r="G7" s="158"/>
      <c r="H7" s="157"/>
      <c r="I7" s="159"/>
      <c r="J7" s="158"/>
      <c r="K7" s="157"/>
      <c r="L7" s="159"/>
    </row>
    <row r="8" spans="1:15" x14ac:dyDescent="0.25">
      <c r="A8" s="160">
        <f>ROW()</f>
        <v>8</v>
      </c>
      <c r="B8" s="161">
        <v>6.01</v>
      </c>
      <c r="C8" s="162" t="s">
        <v>38</v>
      </c>
      <c r="D8" s="151">
        <v>8327800</v>
      </c>
      <c r="E8" s="152"/>
      <c r="F8" s="153">
        <f t="shared" ref="F8:F33" si="1">(E8*I$1-D8)/I$2</f>
        <v>-11083325.237130031</v>
      </c>
      <c r="G8" s="151">
        <v>8327800.1577338427</v>
      </c>
      <c r="H8" s="152">
        <v>0</v>
      </c>
      <c r="I8" s="153">
        <f t="shared" ref="I8:I33" si="2">(H8*I$1-G8)/I$2</f>
        <v>-11083325.44705528</v>
      </c>
      <c r="J8" s="151">
        <f t="shared" ref="J8:L33" si="3">G8-D8</f>
        <v>0.15773384273052216</v>
      </c>
      <c r="K8" s="152">
        <f t="shared" si="3"/>
        <v>0</v>
      </c>
      <c r="L8" s="153">
        <f t="shared" si="3"/>
        <v>-0.20992524921894073</v>
      </c>
      <c r="M8" s="1"/>
      <c r="N8" s="2"/>
      <c r="O8" s="2"/>
    </row>
    <row r="9" spans="1:15" x14ac:dyDescent="0.25">
      <c r="A9" s="163">
        <f>ROW()</f>
        <v>9</v>
      </c>
      <c r="B9" s="164">
        <v>6.02</v>
      </c>
      <c r="C9" s="165" t="s">
        <v>39</v>
      </c>
      <c r="D9" s="151">
        <v>4922913</v>
      </c>
      <c r="E9" s="152"/>
      <c r="F9" s="153">
        <f t="shared" si="1"/>
        <v>-6551819.9155954169</v>
      </c>
      <c r="G9" s="151">
        <v>4922912.8320278507</v>
      </c>
      <c r="H9" s="152">
        <v>0</v>
      </c>
      <c r="I9" s="153">
        <f t="shared" si="2"/>
        <v>-6551819.6920441836</v>
      </c>
      <c r="J9" s="151">
        <f t="shared" si="3"/>
        <v>-0.16797214932739735</v>
      </c>
      <c r="K9" s="152">
        <f t="shared" si="3"/>
        <v>0</v>
      </c>
      <c r="L9" s="153">
        <f t="shared" si="3"/>
        <v>0.22355123329907656</v>
      </c>
      <c r="M9" s="1"/>
      <c r="N9" s="2"/>
      <c r="O9" s="2"/>
    </row>
    <row r="10" spans="1:15" x14ac:dyDescent="0.25">
      <c r="A10" s="163">
        <f>ROW()</f>
        <v>10</v>
      </c>
      <c r="B10" s="164">
        <v>6.03</v>
      </c>
      <c r="C10" s="165" t="s">
        <v>40</v>
      </c>
      <c r="D10" s="151">
        <v>-38397755</v>
      </c>
      <c r="E10" s="152"/>
      <c r="F10" s="153">
        <f t="shared" si="1"/>
        <v>51102909.176569544</v>
      </c>
      <c r="G10" s="151">
        <v>-38397754.446827501</v>
      </c>
      <c r="H10" s="152">
        <v>0</v>
      </c>
      <c r="I10" s="153">
        <f t="shared" si="2"/>
        <v>51102908.44036182</v>
      </c>
      <c r="J10" s="151">
        <f t="shared" si="3"/>
        <v>0.55317249894142151</v>
      </c>
      <c r="K10" s="152">
        <f t="shared" si="3"/>
        <v>0</v>
      </c>
      <c r="L10" s="153">
        <f t="shared" si="3"/>
        <v>-0.73620772361755371</v>
      </c>
      <c r="M10" s="1"/>
      <c r="N10" s="2"/>
      <c r="O10" s="3"/>
    </row>
    <row r="11" spans="1:15" x14ac:dyDescent="0.25">
      <c r="A11" s="163">
        <f>ROW()</f>
        <v>11</v>
      </c>
      <c r="B11" s="164">
        <v>6.04</v>
      </c>
      <c r="C11" s="165" t="s">
        <v>41</v>
      </c>
      <c r="D11" s="151">
        <v>33059305</v>
      </c>
      <c r="E11" s="152"/>
      <c r="F11" s="153">
        <f t="shared" si="1"/>
        <v>-43998058.242090233</v>
      </c>
      <c r="G11" s="151">
        <v>33059305.120834243</v>
      </c>
      <c r="H11" s="152">
        <v>0</v>
      </c>
      <c r="I11" s="153">
        <f t="shared" si="2"/>
        <v>-43998058.40290644</v>
      </c>
      <c r="J11" s="151">
        <f t="shared" si="3"/>
        <v>0.12083424255251884</v>
      </c>
      <c r="K11" s="152">
        <f t="shared" si="3"/>
        <v>0</v>
      </c>
      <c r="L11" s="153">
        <f t="shared" si="3"/>
        <v>-0.16081620752811432</v>
      </c>
      <c r="M11" s="1"/>
      <c r="N11" s="2"/>
      <c r="O11" s="3"/>
    </row>
    <row r="12" spans="1:15" x14ac:dyDescent="0.25">
      <c r="A12" s="163">
        <f>ROW()</f>
        <v>12</v>
      </c>
      <c r="B12" s="164">
        <v>6.05</v>
      </c>
      <c r="C12" s="165" t="s">
        <v>42</v>
      </c>
      <c r="D12" s="151">
        <v>-1955986</v>
      </c>
      <c r="E12" s="152"/>
      <c r="F12" s="153">
        <f t="shared" si="1"/>
        <v>2603187.9965024404</v>
      </c>
      <c r="G12" s="151">
        <v>-1955986.2286396027</v>
      </c>
      <c r="H12" s="152">
        <v>0</v>
      </c>
      <c r="I12" s="153">
        <f t="shared" si="2"/>
        <v>2603188.30079494</v>
      </c>
      <c r="J12" s="151">
        <f t="shared" si="3"/>
        <v>-0.22863960266113281</v>
      </c>
      <c r="K12" s="152">
        <f t="shared" si="3"/>
        <v>0</v>
      </c>
      <c r="L12" s="153">
        <f t="shared" si="3"/>
        <v>0.3042924995534122</v>
      </c>
      <c r="M12" s="1"/>
      <c r="N12" s="2"/>
      <c r="O12" s="2"/>
    </row>
    <row r="13" spans="1:15" x14ac:dyDescent="0.25">
      <c r="A13" s="163">
        <f>ROW()</f>
        <v>13</v>
      </c>
      <c r="B13" s="164">
        <v>6.06</v>
      </c>
      <c r="C13" s="165" t="s">
        <v>43</v>
      </c>
      <c r="D13" s="151">
        <v>66597</v>
      </c>
      <c r="E13" s="152"/>
      <c r="F13" s="153">
        <f t="shared" si="1"/>
        <v>-88632.797475581639</v>
      </c>
      <c r="G13" s="151">
        <v>66597.374865170947</v>
      </c>
      <c r="H13" s="152">
        <v>0</v>
      </c>
      <c r="I13" s="153">
        <f t="shared" si="2"/>
        <v>-88633.296377165447</v>
      </c>
      <c r="J13" s="151">
        <f t="shared" si="3"/>
        <v>0.37486517094657756</v>
      </c>
      <c r="K13" s="152">
        <f t="shared" si="3"/>
        <v>0</v>
      </c>
      <c r="L13" s="153">
        <f t="shared" si="3"/>
        <v>-0.49890158380731009</v>
      </c>
      <c r="M13" s="1"/>
      <c r="N13" s="2"/>
      <c r="O13" s="2"/>
    </row>
    <row r="14" spans="1:15" x14ac:dyDescent="0.25">
      <c r="A14" s="163">
        <f>ROW()</f>
        <v>14</v>
      </c>
      <c r="B14" s="164">
        <v>6.07</v>
      </c>
      <c r="C14" s="165" t="s">
        <v>44</v>
      </c>
      <c r="D14" s="151">
        <v>303154</v>
      </c>
      <c r="E14" s="152"/>
      <c r="F14" s="153">
        <f t="shared" si="1"/>
        <v>-403462.42452231294</v>
      </c>
      <c r="G14" s="151">
        <v>303153.75903630909</v>
      </c>
      <c r="H14" s="152">
        <v>0</v>
      </c>
      <c r="I14" s="153">
        <f t="shared" si="2"/>
        <v>-403462.10382789705</v>
      </c>
      <c r="J14" s="151">
        <f t="shared" si="3"/>
        <v>-0.24096369091421366</v>
      </c>
      <c r="K14" s="152">
        <f t="shared" si="3"/>
        <v>0</v>
      </c>
      <c r="L14" s="153">
        <f t="shared" si="3"/>
        <v>0.3206944158882834</v>
      </c>
      <c r="M14" s="1"/>
      <c r="N14" s="4"/>
      <c r="O14" s="4"/>
    </row>
    <row r="15" spans="1:15" x14ac:dyDescent="0.25">
      <c r="A15" s="163">
        <f>ROW()</f>
        <v>15</v>
      </c>
      <c r="B15" s="164">
        <v>6.08</v>
      </c>
      <c r="C15" s="165" t="s">
        <v>45</v>
      </c>
      <c r="D15" s="151">
        <v>184145</v>
      </c>
      <c r="E15" s="152"/>
      <c r="F15" s="153">
        <f t="shared" si="1"/>
        <v>-245075.40116132828</v>
      </c>
      <c r="G15" s="151">
        <v>184145.16401528011</v>
      </c>
      <c r="H15" s="152">
        <v>0</v>
      </c>
      <c r="I15" s="153">
        <f t="shared" si="2"/>
        <v>-245075.6194464328</v>
      </c>
      <c r="J15" s="151">
        <f t="shared" si="3"/>
        <v>0.16401528011192568</v>
      </c>
      <c r="K15" s="152">
        <f t="shared" si="3"/>
        <v>0</v>
      </c>
      <c r="L15" s="153">
        <f t="shared" si="3"/>
        <v>-0.21828510452178307</v>
      </c>
      <c r="M15" s="1"/>
      <c r="N15" s="2"/>
      <c r="O15" s="2"/>
    </row>
    <row r="16" spans="1:15" x14ac:dyDescent="0.25">
      <c r="A16" s="163">
        <f>ROW()</f>
        <v>16</v>
      </c>
      <c r="B16" s="164">
        <v>6.09</v>
      </c>
      <c r="C16" s="165" t="s">
        <v>46</v>
      </c>
      <c r="D16" s="151">
        <v>71835</v>
      </c>
      <c r="E16" s="152"/>
      <c r="F16" s="153">
        <f t="shared" si="1"/>
        <v>-95603.961239371245</v>
      </c>
      <c r="G16" s="151">
        <v>71834.764841626398</v>
      </c>
      <c r="H16" s="152">
        <v>0</v>
      </c>
      <c r="I16" s="153">
        <f t="shared" si="2"/>
        <v>-95603.64827115192</v>
      </c>
      <c r="J16" s="151">
        <f t="shared" si="3"/>
        <v>-0.23515837360173464</v>
      </c>
      <c r="K16" s="152">
        <f t="shared" si="3"/>
        <v>0</v>
      </c>
      <c r="L16" s="153">
        <f t="shared" si="3"/>
        <v>0.31296821932482999</v>
      </c>
      <c r="M16" s="1"/>
      <c r="N16" s="2"/>
      <c r="O16" s="3"/>
    </row>
    <row r="17" spans="1:15" x14ac:dyDescent="0.25">
      <c r="A17" s="163">
        <f>ROW()</f>
        <v>17</v>
      </c>
      <c r="B17" s="164">
        <v>6.1</v>
      </c>
      <c r="C17" s="165" t="s">
        <v>47</v>
      </c>
      <c r="D17" s="151">
        <v>5301</v>
      </c>
      <c r="E17" s="152"/>
      <c r="F17" s="153">
        <f t="shared" si="1"/>
        <v>-7055.0093760688651</v>
      </c>
      <c r="G17" s="151">
        <v>5301.3344264041589</v>
      </c>
      <c r="H17" s="152">
        <v>0</v>
      </c>
      <c r="I17" s="153">
        <f t="shared" si="2"/>
        <v>-7055.4544583961524</v>
      </c>
      <c r="J17" s="151">
        <f t="shared" si="3"/>
        <v>0.33442640415887581</v>
      </c>
      <c r="K17" s="152">
        <f t="shared" si="3"/>
        <v>0</v>
      </c>
      <c r="L17" s="153">
        <f t="shared" si="3"/>
        <v>-0.44508232728730945</v>
      </c>
      <c r="M17" s="1"/>
      <c r="N17" s="2"/>
      <c r="O17" s="3"/>
    </row>
    <row r="18" spans="1:15" x14ac:dyDescent="0.25">
      <c r="A18" s="163">
        <f>ROW()</f>
        <v>18</v>
      </c>
      <c r="B18" s="164">
        <v>6.11</v>
      </c>
      <c r="C18" s="165" t="s">
        <v>48</v>
      </c>
      <c r="D18" s="151">
        <v>-803909</v>
      </c>
      <c r="E18" s="152"/>
      <c r="F18" s="153">
        <f t="shared" si="1"/>
        <v>1069908.6082826157</v>
      </c>
      <c r="G18" s="151">
        <v>-803909.33835699933</v>
      </c>
      <c r="H18" s="152">
        <v>0</v>
      </c>
      <c r="I18" s="153">
        <f t="shared" si="2"/>
        <v>1069909.0585961042</v>
      </c>
      <c r="J18" s="151">
        <f t="shared" si="3"/>
        <v>-0.33835699933115393</v>
      </c>
      <c r="K18" s="152">
        <f t="shared" si="3"/>
        <v>0</v>
      </c>
      <c r="L18" s="153">
        <f t="shared" si="3"/>
        <v>0.45031348848715425</v>
      </c>
      <c r="M18" s="1"/>
      <c r="N18" s="2"/>
      <c r="O18" s="3"/>
    </row>
    <row r="19" spans="1:15" x14ac:dyDescent="0.25">
      <c r="A19" s="163">
        <f>ROW()</f>
        <v>19</v>
      </c>
      <c r="B19" s="164">
        <v>6.12</v>
      </c>
      <c r="C19" s="165" t="s">
        <v>49</v>
      </c>
      <c r="D19" s="151">
        <v>-496558</v>
      </c>
      <c r="E19" s="152"/>
      <c r="F19" s="153">
        <f t="shared" si="1"/>
        <v>660860.46892322274</v>
      </c>
      <c r="G19" s="151">
        <v>-496557.58700637007</v>
      </c>
      <c r="H19" s="152">
        <v>0</v>
      </c>
      <c r="I19" s="153">
        <f t="shared" si="2"/>
        <v>660859.91927713121</v>
      </c>
      <c r="J19" s="151">
        <f t="shared" si="3"/>
        <v>0.41299362992867827</v>
      </c>
      <c r="K19" s="152">
        <f t="shared" si="3"/>
        <v>0</v>
      </c>
      <c r="L19" s="153">
        <f t="shared" si="3"/>
        <v>-0.54964609153103083</v>
      </c>
      <c r="M19" s="1"/>
      <c r="N19" s="2"/>
      <c r="O19" s="2"/>
    </row>
    <row r="20" spans="1:15" x14ac:dyDescent="0.25">
      <c r="A20" s="163">
        <f>ROW()</f>
        <v>20</v>
      </c>
      <c r="B20" s="164">
        <v>6.13</v>
      </c>
      <c r="C20" s="165" t="s">
        <v>50</v>
      </c>
      <c r="D20" s="151">
        <v>-1726149</v>
      </c>
      <c r="E20" s="152"/>
      <c r="F20" s="153">
        <f t="shared" si="1"/>
        <v>2297301.9014321631</v>
      </c>
      <c r="G20" s="151">
        <v>-1726149.211916219</v>
      </c>
      <c r="H20" s="152">
        <v>0</v>
      </c>
      <c r="I20" s="153">
        <f t="shared" si="2"/>
        <v>2297302.1834678003</v>
      </c>
      <c r="J20" s="151">
        <f t="shared" si="3"/>
        <v>-0.21191621897742152</v>
      </c>
      <c r="K20" s="152">
        <f t="shared" si="3"/>
        <v>0</v>
      </c>
      <c r="L20" s="153">
        <f t="shared" si="3"/>
        <v>0.28203563718125224</v>
      </c>
      <c r="M20" s="1"/>
      <c r="N20" s="2"/>
      <c r="O20" s="2"/>
    </row>
    <row r="21" spans="1:15" x14ac:dyDescent="0.25">
      <c r="A21" s="163">
        <f>ROW()</f>
        <v>21</v>
      </c>
      <c r="B21" s="164">
        <v>6.14</v>
      </c>
      <c r="C21" s="165" t="s">
        <v>51</v>
      </c>
      <c r="D21" s="151">
        <v>319951</v>
      </c>
      <c r="E21" s="152"/>
      <c r="F21" s="153">
        <f t="shared" si="1"/>
        <v>-425817.26181524422</v>
      </c>
      <c r="G21" s="151">
        <v>319951.38960871822</v>
      </c>
      <c r="H21" s="152">
        <v>0</v>
      </c>
      <c r="I21" s="153">
        <f t="shared" si="2"/>
        <v>-425817.78033876052</v>
      </c>
      <c r="J21" s="151">
        <f t="shared" si="3"/>
        <v>0.38960871822200716</v>
      </c>
      <c r="K21" s="152">
        <f t="shared" si="3"/>
        <v>0</v>
      </c>
      <c r="L21" s="153">
        <f t="shared" si="3"/>
        <v>-0.5185235163080506</v>
      </c>
      <c r="M21" s="1"/>
      <c r="N21" s="2"/>
      <c r="O21" s="2"/>
    </row>
    <row r="22" spans="1:15" x14ac:dyDescent="0.25">
      <c r="A22" s="163">
        <f>ROW()</f>
        <v>22</v>
      </c>
      <c r="B22" s="164">
        <v>6.15</v>
      </c>
      <c r="C22" s="165" t="s">
        <v>52</v>
      </c>
      <c r="D22" s="151">
        <v>-61810</v>
      </c>
      <c r="E22" s="152"/>
      <c r="F22" s="153">
        <f t="shared" si="1"/>
        <v>82261.861825092739</v>
      </c>
      <c r="G22" s="151">
        <v>-61810.425156236211</v>
      </c>
      <c r="H22" s="152">
        <v>0</v>
      </c>
      <c r="I22" s="153">
        <f t="shared" si="2"/>
        <v>82262.427658187007</v>
      </c>
      <c r="J22" s="151">
        <f t="shared" si="3"/>
        <v>-0.42515623621147824</v>
      </c>
      <c r="K22" s="152">
        <f t="shared" si="3"/>
        <v>0</v>
      </c>
      <c r="L22" s="153">
        <f t="shared" si="3"/>
        <v>0.56583309426787309</v>
      </c>
      <c r="M22" s="1"/>
      <c r="N22" s="2"/>
      <c r="O22" s="2"/>
    </row>
    <row r="23" spans="1:15" x14ac:dyDescent="0.25">
      <c r="A23" s="163">
        <f>ROW()</f>
        <v>23</v>
      </c>
      <c r="B23" s="164">
        <v>6.16</v>
      </c>
      <c r="C23" s="165" t="s">
        <v>53</v>
      </c>
      <c r="D23" s="151">
        <v>-13157</v>
      </c>
      <c r="E23" s="152"/>
      <c r="F23" s="153">
        <f t="shared" si="1"/>
        <v>17510.424139018687</v>
      </c>
      <c r="G23" s="151">
        <v>-13156.595940416744</v>
      </c>
      <c r="H23" s="152">
        <v>0</v>
      </c>
      <c r="I23" s="153">
        <f t="shared" si="2"/>
        <v>17509.886383095585</v>
      </c>
      <c r="J23" s="151">
        <f t="shared" si="3"/>
        <v>0.4040595832557301</v>
      </c>
      <c r="K23" s="152">
        <f t="shared" si="3"/>
        <v>0</v>
      </c>
      <c r="L23" s="153">
        <f t="shared" si="3"/>
        <v>-0.53775592310194043</v>
      </c>
      <c r="M23" s="1"/>
      <c r="N23" s="2"/>
      <c r="O23" s="2"/>
    </row>
    <row r="24" spans="1:15" x14ac:dyDescent="0.25">
      <c r="A24" s="163">
        <f>ROW()</f>
        <v>24</v>
      </c>
      <c r="B24" s="164">
        <v>6.17</v>
      </c>
      <c r="C24" s="165" t="s">
        <v>54</v>
      </c>
      <c r="D24" s="151">
        <v>-23850</v>
      </c>
      <c r="E24" s="152"/>
      <c r="F24" s="153">
        <f t="shared" si="1"/>
        <v>31741.553220004233</v>
      </c>
      <c r="G24" s="151">
        <v>-23850.252119969373</v>
      </c>
      <c r="H24" s="152">
        <v>0</v>
      </c>
      <c r="I24" s="153">
        <f t="shared" si="2"/>
        <v>31741.888762118517</v>
      </c>
      <c r="J24" s="151">
        <f t="shared" si="3"/>
        <v>-0.2521199693728704</v>
      </c>
      <c r="K24" s="152">
        <f t="shared" si="3"/>
        <v>0</v>
      </c>
      <c r="L24" s="153">
        <f t="shared" si="3"/>
        <v>0.33554211428418057</v>
      </c>
      <c r="M24" s="1"/>
      <c r="N24" s="2"/>
      <c r="O24" s="2"/>
    </row>
    <row r="25" spans="1:15" x14ac:dyDescent="0.25">
      <c r="A25" s="163">
        <f>ROW()</f>
        <v>25</v>
      </c>
      <c r="B25" s="164">
        <v>6.18</v>
      </c>
      <c r="C25" s="165" t="s">
        <v>55</v>
      </c>
      <c r="D25" s="151"/>
      <c r="E25" s="152">
        <v>182818242</v>
      </c>
      <c r="F25" s="153">
        <f t="shared" si="1"/>
        <v>17980582.532430284</v>
      </c>
      <c r="G25" s="151">
        <v>0</v>
      </c>
      <c r="H25" s="152">
        <v>182818242.10345364</v>
      </c>
      <c r="I25" s="153">
        <f t="shared" si="2"/>
        <v>17980582.54260518</v>
      </c>
      <c r="J25" s="151">
        <f t="shared" si="3"/>
        <v>0</v>
      </c>
      <c r="K25" s="152">
        <f t="shared" si="3"/>
        <v>0.10345363616943359</v>
      </c>
      <c r="L25" s="153">
        <f t="shared" si="3"/>
        <v>1.0174896568059921E-2</v>
      </c>
      <c r="M25" s="1"/>
      <c r="N25" s="2"/>
      <c r="O25" s="2"/>
    </row>
    <row r="26" spans="1:15" x14ac:dyDescent="0.25">
      <c r="A26" s="163">
        <f>ROW()</f>
        <v>26</v>
      </c>
      <c r="B26" s="164">
        <v>6.19</v>
      </c>
      <c r="C26" s="165" t="s">
        <v>56</v>
      </c>
      <c r="D26" s="151">
        <v>-16904953</v>
      </c>
      <c r="E26" s="152">
        <v>-16904953</v>
      </c>
      <c r="F26" s="153">
        <f t="shared" si="1"/>
        <v>20835870.182104688</v>
      </c>
      <c r="G26" s="151">
        <v>-16904953.479322143</v>
      </c>
      <c r="H26" s="152">
        <v>-16904953.479322143</v>
      </c>
      <c r="I26" s="153">
        <f t="shared" si="2"/>
        <v>20835870.772883847</v>
      </c>
      <c r="J26" s="151">
        <f t="shared" si="3"/>
        <v>-0.47932214289903641</v>
      </c>
      <c r="K26" s="152">
        <f t="shared" si="3"/>
        <v>-0.47932214289903641</v>
      </c>
      <c r="L26" s="153">
        <f t="shared" si="3"/>
        <v>0.59077915921807289</v>
      </c>
      <c r="M26" s="1"/>
      <c r="N26" s="2"/>
      <c r="O26" s="2"/>
    </row>
    <row r="27" spans="1:15" x14ac:dyDescent="0.25">
      <c r="A27" s="163">
        <f>ROW()</f>
        <v>27</v>
      </c>
      <c r="B27" s="164">
        <v>6.23</v>
      </c>
      <c r="C27" s="165" t="s">
        <v>57</v>
      </c>
      <c r="D27" s="151">
        <v>340893</v>
      </c>
      <c r="E27" s="152"/>
      <c r="F27" s="153">
        <f t="shared" si="1"/>
        <v>-453688.60804305674</v>
      </c>
      <c r="G27" s="151">
        <v>340892.94246068329</v>
      </c>
      <c r="H27" s="152">
        <v>0</v>
      </c>
      <c r="I27" s="153">
        <f t="shared" si="2"/>
        <v>-453688.53146497358</v>
      </c>
      <c r="J27" s="151">
        <f t="shared" si="3"/>
        <v>-5.7539316709153354E-2</v>
      </c>
      <c r="K27" s="152">
        <f t="shared" si="3"/>
        <v>0</v>
      </c>
      <c r="L27" s="153">
        <f t="shared" si="3"/>
        <v>7.6578083157073706E-2</v>
      </c>
      <c r="M27" s="1"/>
      <c r="N27" s="2"/>
      <c r="O27" s="2"/>
    </row>
    <row r="28" spans="1:15" x14ac:dyDescent="0.25">
      <c r="A28" s="163">
        <f>ROW()</f>
        <v>28</v>
      </c>
      <c r="B28" s="164">
        <v>7.01</v>
      </c>
      <c r="C28" s="165" t="s">
        <v>58</v>
      </c>
      <c r="D28" s="151">
        <v>-7589560</v>
      </c>
      <c r="E28" s="152"/>
      <c r="F28" s="153">
        <f t="shared" si="1"/>
        <v>10100814.367145296</v>
      </c>
      <c r="G28" s="151">
        <v>-7589560.1894254955</v>
      </c>
      <c r="H28" s="152">
        <v>0</v>
      </c>
      <c r="I28" s="153">
        <f t="shared" si="2"/>
        <v>10100814.619248418</v>
      </c>
      <c r="J28" s="151">
        <f t="shared" si="3"/>
        <v>-0.18942549545317888</v>
      </c>
      <c r="K28" s="152">
        <f t="shared" si="3"/>
        <v>0</v>
      </c>
      <c r="L28" s="153">
        <f t="shared" si="3"/>
        <v>0.25210312195122242</v>
      </c>
      <c r="M28" s="1"/>
      <c r="N28" s="2"/>
      <c r="O28" s="2"/>
    </row>
    <row r="29" spans="1:15" x14ac:dyDescent="0.25">
      <c r="A29" s="163">
        <f>ROW()</f>
        <v>29</v>
      </c>
      <c r="B29" s="164">
        <v>7.02</v>
      </c>
      <c r="C29" s="165" t="s">
        <v>59</v>
      </c>
      <c r="D29" s="151">
        <v>-68620</v>
      </c>
      <c r="E29" s="152"/>
      <c r="F29" s="153">
        <f t="shared" si="1"/>
        <v>91325.173247659986</v>
      </c>
      <c r="G29" s="151">
        <v>-68620.043849999958</v>
      </c>
      <c r="H29" s="152">
        <v>0</v>
      </c>
      <c r="I29" s="153">
        <f t="shared" si="2"/>
        <v>91325.231606867834</v>
      </c>
      <c r="J29" s="151">
        <f t="shared" si="3"/>
        <v>-4.3849999958183616E-2</v>
      </c>
      <c r="K29" s="152">
        <f t="shared" si="3"/>
        <v>0</v>
      </c>
      <c r="L29" s="153">
        <f t="shared" si="3"/>
        <v>5.8359207847388461E-2</v>
      </c>
      <c r="M29" s="1"/>
      <c r="N29" s="2"/>
      <c r="O29" s="2"/>
    </row>
    <row r="30" spans="1:15" x14ac:dyDescent="0.25">
      <c r="A30" s="163">
        <f>ROW()</f>
        <v>30</v>
      </c>
      <c r="B30" s="164">
        <v>7.03</v>
      </c>
      <c r="C30" s="165" t="s">
        <v>60</v>
      </c>
      <c r="D30" s="151">
        <v>167531</v>
      </c>
      <c r="E30" s="152">
        <v>-1615371</v>
      </c>
      <c r="F30" s="153">
        <f t="shared" si="1"/>
        <v>-381839.46213705168</v>
      </c>
      <c r="G30" s="151">
        <v>167530.56</v>
      </c>
      <c r="H30" s="152">
        <v>-1615371.4300000002</v>
      </c>
      <c r="I30" s="153">
        <f t="shared" si="2"/>
        <v>-381838.91884010908</v>
      </c>
      <c r="J30" s="151">
        <f t="shared" si="3"/>
        <v>-0.44000000000232831</v>
      </c>
      <c r="K30" s="152">
        <f t="shared" si="3"/>
        <v>-0.43000000016763806</v>
      </c>
      <c r="L30" s="153">
        <f t="shared" si="3"/>
        <v>0.54329694260377437</v>
      </c>
      <c r="M30" s="1"/>
      <c r="N30" s="2"/>
      <c r="O30" s="2"/>
    </row>
    <row r="31" spans="1:15" x14ac:dyDescent="0.25">
      <c r="A31" s="163">
        <f>ROW()</f>
        <v>31</v>
      </c>
      <c r="B31" s="164">
        <v>7.04</v>
      </c>
      <c r="C31" s="165" t="s">
        <v>61</v>
      </c>
      <c r="D31" s="151">
        <v>-32912586</v>
      </c>
      <c r="E31" s="152"/>
      <c r="F31" s="153">
        <f t="shared" si="1"/>
        <v>43802792.458153725</v>
      </c>
      <c r="G31" s="151">
        <v>-32912585.679400001</v>
      </c>
      <c r="H31" s="152">
        <v>0</v>
      </c>
      <c r="I31" s="153">
        <f t="shared" si="2"/>
        <v>43802792.03147272</v>
      </c>
      <c r="J31" s="151">
        <f t="shared" si="3"/>
        <v>0.3205999992787838</v>
      </c>
      <c r="K31" s="152">
        <f t="shared" si="3"/>
        <v>0</v>
      </c>
      <c r="L31" s="153">
        <f t="shared" si="3"/>
        <v>-0.42668100446462631</v>
      </c>
      <c r="M31" s="1"/>
      <c r="N31" s="2"/>
      <c r="O31" s="2"/>
    </row>
    <row r="32" spans="1:15" x14ac:dyDescent="0.25">
      <c r="A32" s="163">
        <f>ROW()</f>
        <v>32</v>
      </c>
      <c r="B32" s="164">
        <v>7.05</v>
      </c>
      <c r="C32" s="165" t="s">
        <v>62</v>
      </c>
      <c r="D32" s="151">
        <v>-11001</v>
      </c>
      <c r="E32" s="152"/>
      <c r="F32" s="153">
        <f t="shared" si="1"/>
        <v>14641.04096323969</v>
      </c>
      <c r="G32" s="151">
        <v>-11000.8474333339</v>
      </c>
      <c r="H32" s="152">
        <v>0</v>
      </c>
      <c r="I32" s="153">
        <f t="shared" si="2"/>
        <v>14640.837914897902</v>
      </c>
      <c r="J32" s="151">
        <f t="shared" si="3"/>
        <v>0.15256666610002867</v>
      </c>
      <c r="K32" s="152">
        <f t="shared" si="3"/>
        <v>0</v>
      </c>
      <c r="L32" s="153">
        <f t="shared" si="3"/>
        <v>-0.20304834178750752</v>
      </c>
      <c r="M32" s="1"/>
      <c r="N32" s="2"/>
      <c r="O32" s="2"/>
    </row>
    <row r="33" spans="1:15" x14ac:dyDescent="0.25">
      <c r="A33" s="163">
        <f>ROW()</f>
        <v>33</v>
      </c>
      <c r="B33" s="164">
        <v>7.07</v>
      </c>
      <c r="C33" s="165" t="s">
        <v>63</v>
      </c>
      <c r="D33" s="151">
        <v>1855595</v>
      </c>
      <c r="E33" s="152">
        <v>-12991853</v>
      </c>
      <c r="F33" s="153">
        <f t="shared" si="1"/>
        <v>-3747357.1153649082</v>
      </c>
      <c r="G33" s="151">
        <v>1855595.3143835207</v>
      </c>
      <c r="H33" s="152">
        <v>-12991852.662946209</v>
      </c>
      <c r="I33" s="153">
        <f t="shared" si="2"/>
        <v>-3747357.5006225142</v>
      </c>
      <c r="J33" s="151">
        <f t="shared" si="3"/>
        <v>0.31438352074474096</v>
      </c>
      <c r="K33" s="152">
        <f t="shared" si="3"/>
        <v>0.33705379068851471</v>
      </c>
      <c r="L33" s="153">
        <f t="shared" si="3"/>
        <v>-0.38525760592892766</v>
      </c>
      <c r="M33" s="1"/>
      <c r="N33" s="2"/>
      <c r="O33" s="2"/>
    </row>
    <row r="34" spans="1:15" ht="15" customHeight="1" x14ac:dyDescent="0.25">
      <c r="A34" s="155">
        <f>ROW()</f>
        <v>34</v>
      </c>
      <c r="B34" s="156" t="s">
        <v>64</v>
      </c>
      <c r="C34" s="157"/>
      <c r="D34" s="158"/>
      <c r="E34" s="157"/>
      <c r="F34" s="159"/>
      <c r="G34" s="158"/>
      <c r="H34" s="157"/>
      <c r="I34" s="159"/>
      <c r="J34" s="158"/>
      <c r="K34" s="157"/>
      <c r="L34" s="159"/>
      <c r="M34" s="1"/>
      <c r="N34" s="2"/>
      <c r="O34" s="5"/>
    </row>
    <row r="35" spans="1:15" x14ac:dyDescent="0.25">
      <c r="A35" s="163">
        <f>ROW()</f>
        <v>35</v>
      </c>
      <c r="B35" s="164">
        <v>6.01</v>
      </c>
      <c r="C35" s="165" t="s">
        <v>38</v>
      </c>
      <c r="D35" s="151">
        <v>-25679090</v>
      </c>
      <c r="E35" s="152"/>
      <c r="F35" s="153">
        <f t="shared" ref="F35:F60" si="4">(E35*I$1-D35)/I$2</f>
        <v>34175857.521017969</v>
      </c>
      <c r="G35" s="151">
        <v>-25679089.764345825</v>
      </c>
      <c r="H35" s="152">
        <v>0</v>
      </c>
      <c r="I35" s="153">
        <f t="shared" ref="I35:I66" si="5">(H35*I$1-G35)/I$2</f>
        <v>34175857.207389891</v>
      </c>
      <c r="J35" s="151">
        <f t="shared" ref="J35:L60" si="6">G35-D35</f>
        <v>0.23565417528152466</v>
      </c>
      <c r="K35" s="152">
        <f t="shared" si="6"/>
        <v>0</v>
      </c>
      <c r="L35" s="153">
        <f t="shared" si="6"/>
        <v>-0.31362807750701904</v>
      </c>
      <c r="M35" s="6"/>
      <c r="N35" s="7"/>
      <c r="O35" s="7"/>
    </row>
    <row r="36" spans="1:15" x14ac:dyDescent="0.25">
      <c r="A36" s="163">
        <f>ROW()</f>
        <v>36</v>
      </c>
      <c r="B36" s="164">
        <v>6.02</v>
      </c>
      <c r="C36" s="165" t="s">
        <v>39</v>
      </c>
      <c r="D36" s="151">
        <v>8570014</v>
      </c>
      <c r="E36" s="152"/>
      <c r="F36" s="153">
        <f t="shared" si="4"/>
        <v>-11405683.667806346</v>
      </c>
      <c r="G36" s="151">
        <v>8570014.0415130965</v>
      </c>
      <c r="H36" s="152">
        <v>0</v>
      </c>
      <c r="I36" s="153">
        <f t="shared" si="5"/>
        <v>-11405683.723055409</v>
      </c>
      <c r="J36" s="151">
        <f t="shared" si="6"/>
        <v>4.1513096541166306E-2</v>
      </c>
      <c r="K36" s="152">
        <f t="shared" si="6"/>
        <v>0</v>
      </c>
      <c r="L36" s="153">
        <f t="shared" si="6"/>
        <v>-5.5249063298106194E-2</v>
      </c>
      <c r="M36" s="1"/>
      <c r="N36" s="2"/>
      <c r="O36" s="2"/>
    </row>
    <row r="37" spans="1:15" x14ac:dyDescent="0.25">
      <c r="A37" s="163">
        <f>ROW()</f>
        <v>37</v>
      </c>
      <c r="B37" s="164">
        <v>6.04</v>
      </c>
      <c r="C37" s="165" t="s">
        <v>41</v>
      </c>
      <c r="D37" s="151">
        <v>-768317</v>
      </c>
      <c r="E37" s="152"/>
      <c r="F37" s="153">
        <f t="shared" si="4"/>
        <v>1022539.8299930395</v>
      </c>
      <c r="G37" s="151">
        <v>-1098853.4371975064</v>
      </c>
      <c r="H37" s="152">
        <v>0</v>
      </c>
      <c r="I37" s="153">
        <f t="shared" si="5"/>
        <v>1462445.0674125464</v>
      </c>
      <c r="J37" s="151">
        <f t="shared" si="6"/>
        <v>-330536.43719750643</v>
      </c>
      <c r="K37" s="152">
        <f t="shared" si="6"/>
        <v>0</v>
      </c>
      <c r="L37" s="153">
        <f t="shared" si="6"/>
        <v>439905.23741950688</v>
      </c>
      <c r="M37" s="8"/>
      <c r="N37" s="9"/>
      <c r="O37" s="9"/>
    </row>
    <row r="38" spans="1:15" x14ac:dyDescent="0.25">
      <c r="A38" s="163">
        <f>ROW()</f>
        <v>38</v>
      </c>
      <c r="B38" s="164">
        <v>6.09</v>
      </c>
      <c r="C38" s="165" t="s">
        <v>46</v>
      </c>
      <c r="D38" s="151"/>
      <c r="E38" s="152"/>
      <c r="F38" s="153">
        <f t="shared" si="4"/>
        <v>0</v>
      </c>
      <c r="G38" s="151">
        <v>0</v>
      </c>
      <c r="H38" s="152">
        <v>0</v>
      </c>
      <c r="I38" s="153">
        <f t="shared" si="5"/>
        <v>0</v>
      </c>
      <c r="J38" s="151">
        <f t="shared" si="6"/>
        <v>0</v>
      </c>
      <c r="K38" s="152">
        <f t="shared" si="6"/>
        <v>0</v>
      </c>
      <c r="L38" s="153">
        <f t="shared" si="6"/>
        <v>0</v>
      </c>
      <c r="M38" s="8"/>
      <c r="N38" s="9"/>
      <c r="O38" s="9"/>
    </row>
    <row r="39" spans="1:15" x14ac:dyDescent="0.25">
      <c r="A39" s="163">
        <f>ROW()</f>
        <v>39</v>
      </c>
      <c r="B39" s="164">
        <v>6.1</v>
      </c>
      <c r="C39" s="165" t="s">
        <v>47</v>
      </c>
      <c r="D39" s="151"/>
      <c r="E39" s="152"/>
      <c r="F39" s="153">
        <f t="shared" si="4"/>
        <v>0</v>
      </c>
      <c r="G39" s="151">
        <v>0</v>
      </c>
      <c r="H39" s="152">
        <v>0</v>
      </c>
      <c r="I39" s="153">
        <f t="shared" si="5"/>
        <v>0</v>
      </c>
      <c r="J39" s="151">
        <f t="shared" si="6"/>
        <v>0</v>
      </c>
      <c r="K39" s="152">
        <f t="shared" si="6"/>
        <v>0</v>
      </c>
      <c r="L39" s="153">
        <f t="shared" si="6"/>
        <v>0</v>
      </c>
      <c r="M39" s="10"/>
      <c r="N39" s="2"/>
      <c r="O39" s="2"/>
    </row>
    <row r="40" spans="1:15" x14ac:dyDescent="0.25">
      <c r="A40" s="163">
        <f>ROW()</f>
        <v>40</v>
      </c>
      <c r="B40" s="164">
        <v>6.14</v>
      </c>
      <c r="C40" s="165" t="s">
        <v>51</v>
      </c>
      <c r="D40" s="151">
        <v>-442588</v>
      </c>
      <c r="E40" s="152"/>
      <c r="F40" s="153">
        <f t="shared" si="4"/>
        <v>589032.72773732641</v>
      </c>
      <c r="G40" s="151">
        <v>-442588.00130389305</v>
      </c>
      <c r="H40" s="152">
        <v>0</v>
      </c>
      <c r="I40" s="153">
        <f t="shared" si="5"/>
        <v>589032.7294726551</v>
      </c>
      <c r="J40" s="151">
        <f t="shared" si="6"/>
        <v>-1.3038930483162403E-3</v>
      </c>
      <c r="K40" s="152">
        <f t="shared" si="6"/>
        <v>0</v>
      </c>
      <c r="L40" s="153">
        <f t="shared" si="6"/>
        <v>1.735328696668148E-3</v>
      </c>
      <c r="M40" s="10"/>
      <c r="N40" s="2"/>
      <c r="O40" s="2"/>
    </row>
    <row r="41" spans="1:15" x14ac:dyDescent="0.25">
      <c r="A41" s="163">
        <f>ROW()</f>
        <v>41</v>
      </c>
      <c r="B41" s="164">
        <v>6.15</v>
      </c>
      <c r="C41" s="165" t="s">
        <v>52</v>
      </c>
      <c r="D41" s="151">
        <v>-3003557</v>
      </c>
      <c r="E41" s="152"/>
      <c r="F41" s="153">
        <f t="shared" si="4"/>
        <v>3997382.1536610588</v>
      </c>
      <c r="G41" s="151">
        <v>-3003557.1583568119</v>
      </c>
      <c r="H41" s="152">
        <v>0</v>
      </c>
      <c r="I41" s="153">
        <f t="shared" si="5"/>
        <v>3997382.3644154058</v>
      </c>
      <c r="J41" s="151">
        <f t="shared" si="6"/>
        <v>-0.15835681185126305</v>
      </c>
      <c r="K41" s="152">
        <f t="shared" si="6"/>
        <v>0</v>
      </c>
      <c r="L41" s="153">
        <f t="shared" si="6"/>
        <v>0.21075434703379869</v>
      </c>
      <c r="M41" s="10"/>
      <c r="N41" s="2"/>
      <c r="O41" s="3"/>
    </row>
    <row r="42" spans="1:15" x14ac:dyDescent="0.25">
      <c r="A42" s="163">
        <f>ROW()</f>
        <v>42</v>
      </c>
      <c r="B42" s="164">
        <v>6.16</v>
      </c>
      <c r="C42" s="165" t="s">
        <v>53</v>
      </c>
      <c r="D42" s="151">
        <v>-208177</v>
      </c>
      <c r="E42" s="152"/>
      <c r="F42" s="153">
        <f t="shared" si="4"/>
        <v>277059.17503902817</v>
      </c>
      <c r="G42" s="151">
        <v>-208177.32402600534</v>
      </c>
      <c r="H42" s="152">
        <v>0</v>
      </c>
      <c r="I42" s="153">
        <f t="shared" si="5"/>
        <v>277059.60627964424</v>
      </c>
      <c r="J42" s="151">
        <f t="shared" si="6"/>
        <v>-0.32402600534260273</v>
      </c>
      <c r="K42" s="152">
        <f t="shared" si="6"/>
        <v>0</v>
      </c>
      <c r="L42" s="153">
        <f t="shared" si="6"/>
        <v>0.4312406160752289</v>
      </c>
      <c r="M42" s="10"/>
      <c r="N42" s="2"/>
      <c r="O42" s="3"/>
    </row>
    <row r="43" spans="1:15" x14ac:dyDescent="0.25">
      <c r="A43" s="163">
        <f>ROW()</f>
        <v>43</v>
      </c>
      <c r="B43" s="164">
        <v>6.17</v>
      </c>
      <c r="C43" s="165" t="s">
        <v>54</v>
      </c>
      <c r="D43" s="151">
        <v>-691247</v>
      </c>
      <c r="E43" s="152"/>
      <c r="F43" s="153">
        <f t="shared" si="4"/>
        <v>919968.69763808243</v>
      </c>
      <c r="G43" s="151">
        <v>-691246.88851637836</v>
      </c>
      <c r="H43" s="152">
        <v>0</v>
      </c>
      <c r="I43" s="153">
        <f t="shared" si="5"/>
        <v>919968.54926645523</v>
      </c>
      <c r="J43" s="151">
        <f t="shared" si="6"/>
        <v>0.11148362164385617</v>
      </c>
      <c r="K43" s="152">
        <f t="shared" si="6"/>
        <v>0</v>
      </c>
      <c r="L43" s="153">
        <f t="shared" si="6"/>
        <v>-0.14837162720505148</v>
      </c>
      <c r="M43" s="10"/>
      <c r="N43" s="2"/>
      <c r="O43" s="3"/>
    </row>
    <row r="44" spans="1:15" ht="17.25" customHeight="1" x14ac:dyDescent="0.25">
      <c r="A44" s="163">
        <f>ROW()</f>
        <v>44</v>
      </c>
      <c r="B44" s="164">
        <v>6.2</v>
      </c>
      <c r="C44" s="165" t="s">
        <v>65</v>
      </c>
      <c r="D44" s="151">
        <v>4520668</v>
      </c>
      <c r="E44" s="152"/>
      <c r="F44" s="153">
        <f t="shared" si="4"/>
        <v>-6016478.9900197107</v>
      </c>
      <c r="G44" s="151">
        <v>4520667.961583334</v>
      </c>
      <c r="H44" s="152">
        <v>0</v>
      </c>
      <c r="I44" s="153">
        <f t="shared" si="5"/>
        <v>-6016478.9388916334</v>
      </c>
      <c r="J44" s="151">
        <f t="shared" si="6"/>
        <v>-3.8416665978729725E-2</v>
      </c>
      <c r="K44" s="152">
        <f t="shared" si="6"/>
        <v>0</v>
      </c>
      <c r="L44" s="153">
        <f t="shared" si="6"/>
        <v>5.1128077320754528E-2</v>
      </c>
      <c r="M44" s="10"/>
      <c r="N44" s="2"/>
      <c r="O44" s="5"/>
    </row>
    <row r="45" spans="1:15" x14ac:dyDescent="0.25">
      <c r="A45" s="163">
        <f>ROW()</f>
        <v>45</v>
      </c>
      <c r="B45" s="164">
        <v>6.21</v>
      </c>
      <c r="C45" s="165" t="s">
        <v>66</v>
      </c>
      <c r="D45" s="151">
        <v>-120118</v>
      </c>
      <c r="E45" s="152"/>
      <c r="F45" s="153">
        <f t="shared" si="4"/>
        <v>159862.97231364649</v>
      </c>
      <c r="G45" s="151">
        <f>D45</f>
        <v>-120118</v>
      </c>
      <c r="H45" s="152">
        <v>0</v>
      </c>
      <c r="I45" s="153">
        <f t="shared" si="5"/>
        <v>159862.97231364649</v>
      </c>
      <c r="J45" s="151">
        <f t="shared" si="6"/>
        <v>0</v>
      </c>
      <c r="K45" s="152">
        <f t="shared" si="6"/>
        <v>0</v>
      </c>
      <c r="L45" s="153">
        <f t="shared" si="6"/>
        <v>0</v>
      </c>
      <c r="M45" s="10"/>
      <c r="N45" s="2"/>
      <c r="O45" s="2"/>
    </row>
    <row r="46" spans="1:15" x14ac:dyDescent="0.25">
      <c r="A46" s="163">
        <f>ROW()</f>
        <v>46</v>
      </c>
      <c r="B46" s="164">
        <v>6.22</v>
      </c>
      <c r="C46" s="165" t="s">
        <v>67</v>
      </c>
      <c r="D46" s="151">
        <v>-6154931</v>
      </c>
      <c r="E46" s="152"/>
      <c r="F46" s="153">
        <f t="shared" si="4"/>
        <v>8191491.4005012112</v>
      </c>
      <c r="G46" s="151">
        <v>-6154930.7799083702</v>
      </c>
      <c r="H46" s="152">
        <v>-55617708.59018638</v>
      </c>
      <c r="I46" s="153">
        <f t="shared" si="5"/>
        <v>2721365.2129792972</v>
      </c>
      <c r="J46" s="151">
        <f t="shared" si="6"/>
        <v>0.22009162977337837</v>
      </c>
      <c r="K46" s="152">
        <f t="shared" si="6"/>
        <v>-55617708.59018638</v>
      </c>
      <c r="L46" s="153">
        <f t="shared" si="6"/>
        <v>-5470126.187521914</v>
      </c>
      <c r="M46" s="10"/>
      <c r="N46" s="2"/>
      <c r="O46" s="2"/>
    </row>
    <row r="47" spans="1:15" x14ac:dyDescent="0.25">
      <c r="A47" s="163">
        <f>ROW()</f>
        <v>47</v>
      </c>
      <c r="B47" s="164">
        <v>6.23</v>
      </c>
      <c r="C47" s="165" t="s">
        <v>57</v>
      </c>
      <c r="D47" s="151">
        <v>394549</v>
      </c>
      <c r="E47" s="152"/>
      <c r="F47" s="153">
        <f t="shared" si="4"/>
        <v>-525098.45205029147</v>
      </c>
      <c r="G47" s="151">
        <v>394548.96938773646</v>
      </c>
      <c r="H47" s="152">
        <v>0</v>
      </c>
      <c r="I47" s="153">
        <f t="shared" si="5"/>
        <v>-525098.41130895843</v>
      </c>
      <c r="J47" s="151">
        <f t="shared" si="6"/>
        <v>-3.0612263537477702E-2</v>
      </c>
      <c r="K47" s="152">
        <f t="shared" si="6"/>
        <v>0</v>
      </c>
      <c r="L47" s="153">
        <f t="shared" si="6"/>
        <v>4.0741333039477468E-2</v>
      </c>
      <c r="M47" s="10"/>
      <c r="N47" s="2"/>
      <c r="O47" s="2"/>
    </row>
    <row r="48" spans="1:15" x14ac:dyDescent="0.25">
      <c r="A48" s="163">
        <f>ROW()</f>
        <v>48</v>
      </c>
      <c r="B48" s="164">
        <v>6.24</v>
      </c>
      <c r="C48" s="165" t="s">
        <v>68</v>
      </c>
      <c r="D48" s="151">
        <v>-12535389</v>
      </c>
      <c r="E48" s="152">
        <v>36080289</v>
      </c>
      <c r="F48" s="153">
        <f t="shared" si="4"/>
        <v>20231709.821116053</v>
      </c>
      <c r="G48" s="151">
        <v>-12535388.847919643</v>
      </c>
      <c r="H48" s="152">
        <v>36080288.955627486</v>
      </c>
      <c r="I48" s="153">
        <f t="shared" si="5"/>
        <v>20231709.614350796</v>
      </c>
      <c r="J48" s="151">
        <f t="shared" si="6"/>
        <v>0.15208035707473755</v>
      </c>
      <c r="K48" s="152">
        <f t="shared" si="6"/>
        <v>-4.4372513890266418E-2</v>
      </c>
      <c r="L48" s="153">
        <f t="shared" si="6"/>
        <v>-0.20676525682210922</v>
      </c>
      <c r="M48" s="10"/>
      <c r="N48" s="2"/>
      <c r="O48" s="2"/>
    </row>
    <row r="49" spans="1:15" x14ac:dyDescent="0.25">
      <c r="A49" s="163">
        <f>ROW()</f>
        <v>49</v>
      </c>
      <c r="B49" s="164">
        <v>6.25</v>
      </c>
      <c r="C49" s="165" t="s">
        <v>69</v>
      </c>
      <c r="D49" s="151">
        <v>477331</v>
      </c>
      <c r="E49" s="152"/>
      <c r="F49" s="153">
        <f t="shared" si="4"/>
        <v>-635271.58658523438</v>
      </c>
      <c r="G49" s="151">
        <v>477330.77329275</v>
      </c>
      <c r="H49" s="152">
        <v>0</v>
      </c>
      <c r="I49" s="153">
        <f t="shared" si="5"/>
        <v>-635271.28486446955</v>
      </c>
      <c r="J49" s="151">
        <f t="shared" si="6"/>
        <v>-0.22670724999625236</v>
      </c>
      <c r="K49" s="152">
        <f t="shared" si="6"/>
        <v>0</v>
      </c>
      <c r="L49" s="153">
        <f t="shared" si="6"/>
        <v>0.30172076483722776</v>
      </c>
      <c r="M49" s="10"/>
      <c r="N49" s="2"/>
      <c r="O49" s="2"/>
    </row>
    <row r="50" spans="1:15" x14ac:dyDescent="0.25">
      <c r="A50" s="163">
        <f>ROW()</f>
        <v>50</v>
      </c>
      <c r="B50" s="164">
        <v>6.26</v>
      </c>
      <c r="C50" s="165" t="s">
        <v>70</v>
      </c>
      <c r="D50" s="151"/>
      <c r="E50" s="152"/>
      <c r="F50" s="153">
        <f t="shared" si="4"/>
        <v>0</v>
      </c>
      <c r="G50" s="151">
        <v>0</v>
      </c>
      <c r="H50" s="152">
        <v>0</v>
      </c>
      <c r="I50" s="153">
        <f t="shared" si="5"/>
        <v>0</v>
      </c>
      <c r="J50" s="151">
        <f t="shared" si="6"/>
        <v>0</v>
      </c>
      <c r="K50" s="152">
        <f t="shared" si="6"/>
        <v>0</v>
      </c>
      <c r="L50" s="153">
        <f t="shared" si="6"/>
        <v>0</v>
      </c>
      <c r="M50" s="10"/>
      <c r="N50" s="2"/>
      <c r="O50" s="2"/>
    </row>
    <row r="51" spans="1:15" x14ac:dyDescent="0.25">
      <c r="A51" s="163">
        <f>ROW()</f>
        <v>51</v>
      </c>
      <c r="B51" s="164">
        <v>6.27</v>
      </c>
      <c r="C51" s="165" t="s">
        <v>71</v>
      </c>
      <c r="D51" s="151">
        <v>-582530</v>
      </c>
      <c r="E51" s="152">
        <v>25767063</v>
      </c>
      <c r="F51" s="153">
        <f t="shared" si="4"/>
        <v>3309527.331274014</v>
      </c>
      <c r="G51" s="151">
        <v>-582529.67963589286</v>
      </c>
      <c r="H51" s="152">
        <v>25767063.321957536</v>
      </c>
      <c r="I51" s="153">
        <f t="shared" si="5"/>
        <v>3309526.9365721978</v>
      </c>
      <c r="J51" s="151">
        <f t="shared" si="6"/>
        <v>0.32036410714499652</v>
      </c>
      <c r="K51" s="152">
        <f t="shared" si="6"/>
        <v>0.3219575360417366</v>
      </c>
      <c r="L51" s="153">
        <f t="shared" si="6"/>
        <v>-0.39470181614160538</v>
      </c>
      <c r="M51" s="10"/>
      <c r="N51" s="2"/>
      <c r="O51" s="2"/>
    </row>
    <row r="52" spans="1:15" x14ac:dyDescent="0.25">
      <c r="A52" s="163">
        <f>ROW()</f>
        <v>52</v>
      </c>
      <c r="B52" s="164">
        <v>6.28</v>
      </c>
      <c r="C52" s="165" t="s">
        <v>72</v>
      </c>
      <c r="D52" s="151">
        <v>-1330726</v>
      </c>
      <c r="E52" s="152"/>
      <c r="F52" s="153">
        <f t="shared" si="4"/>
        <v>1771040.2578718388</v>
      </c>
      <c r="G52" s="151">
        <v>-1330725.9543599267</v>
      </c>
      <c r="H52" s="152">
        <v>0</v>
      </c>
      <c r="I52" s="153">
        <f t="shared" si="5"/>
        <v>1771040.1971302533</v>
      </c>
      <c r="J52" s="151">
        <f t="shared" si="6"/>
        <v>4.5640073250979185E-2</v>
      </c>
      <c r="K52" s="152">
        <f t="shared" si="6"/>
        <v>0</v>
      </c>
      <c r="L52" s="153">
        <f t="shared" si="6"/>
        <v>-6.074158544652164E-2</v>
      </c>
      <c r="M52" s="10"/>
      <c r="N52" s="2"/>
      <c r="O52" s="2"/>
    </row>
    <row r="53" spans="1:15" x14ac:dyDescent="0.25">
      <c r="A53" s="163">
        <f>ROW()</f>
        <v>53</v>
      </c>
      <c r="B53" s="164">
        <v>6.29</v>
      </c>
      <c r="C53" s="165" t="s">
        <v>73</v>
      </c>
      <c r="D53" s="151">
        <v>-567399</v>
      </c>
      <c r="E53" s="152">
        <v>5798358</v>
      </c>
      <c r="F53" s="153">
        <f t="shared" si="4"/>
        <v>1325422.9960565944</v>
      </c>
      <c r="G53" s="151">
        <v>-567398.9934889141</v>
      </c>
      <c r="H53" s="152">
        <v>5798357.5857409984</v>
      </c>
      <c r="I53" s="153">
        <f t="shared" si="5"/>
        <v>1325422.9466478045</v>
      </c>
      <c r="J53" s="151">
        <f t="shared" si="6"/>
        <v>6.5110858995467424E-3</v>
      </c>
      <c r="K53" s="152">
        <f t="shared" si="6"/>
        <v>-0.41425900161266327</v>
      </c>
      <c r="L53" s="153">
        <f t="shared" si="6"/>
        <v>-4.9408789956942201E-2</v>
      </c>
      <c r="M53" s="10"/>
      <c r="N53" s="2"/>
      <c r="O53" s="2"/>
    </row>
    <row r="54" spans="1:15" x14ac:dyDescent="0.25">
      <c r="A54" s="163">
        <f>ROW()</f>
        <v>54</v>
      </c>
      <c r="B54" s="164">
        <v>7.01</v>
      </c>
      <c r="C54" s="165" t="s">
        <v>58</v>
      </c>
      <c r="D54" s="151">
        <v>-835714</v>
      </c>
      <c r="E54" s="152"/>
      <c r="F54" s="153">
        <f t="shared" si="4"/>
        <v>1112237.3336562943</v>
      </c>
      <c r="G54" s="151">
        <v>-2420632.9655631483</v>
      </c>
      <c r="H54" s="152">
        <v>0</v>
      </c>
      <c r="I54" s="153">
        <f t="shared" si="5"/>
        <v>3221578.6206507063</v>
      </c>
      <c r="J54" s="151">
        <f t="shared" si="6"/>
        <v>-1584918.9655631483</v>
      </c>
      <c r="K54" s="152">
        <f t="shared" si="6"/>
        <v>0</v>
      </c>
      <c r="L54" s="153">
        <f t="shared" si="6"/>
        <v>2109341.2869944121</v>
      </c>
      <c r="M54" s="10"/>
      <c r="N54" s="2"/>
      <c r="O54" s="2"/>
    </row>
    <row r="55" spans="1:15" x14ac:dyDescent="0.25">
      <c r="A55" s="163">
        <f>ROW()</f>
        <v>55</v>
      </c>
      <c r="B55" s="164">
        <v>7.02</v>
      </c>
      <c r="C55" s="165" t="s">
        <v>59</v>
      </c>
      <c r="D55" s="151">
        <v>526903</v>
      </c>
      <c r="E55" s="152"/>
      <c r="F55" s="153">
        <f t="shared" si="4"/>
        <v>-701246.10550439788</v>
      </c>
      <c r="G55" s="151">
        <v>526903.32847884076</v>
      </c>
      <c r="H55" s="152">
        <v>0</v>
      </c>
      <c r="I55" s="153">
        <f t="shared" si="5"/>
        <v>-701246.54267121584</v>
      </c>
      <c r="J55" s="151">
        <f t="shared" si="6"/>
        <v>0.32847884076181799</v>
      </c>
      <c r="K55" s="152">
        <f t="shared" si="6"/>
        <v>0</v>
      </c>
      <c r="L55" s="153">
        <f t="shared" si="6"/>
        <v>-0.43716681795194745</v>
      </c>
      <c r="M55" s="10"/>
      <c r="N55" s="2"/>
      <c r="O55" s="2"/>
    </row>
    <row r="56" spans="1:15" x14ac:dyDescent="0.25">
      <c r="A56" s="163">
        <f>ROW()</f>
        <v>56</v>
      </c>
      <c r="B56" s="164">
        <v>7.05</v>
      </c>
      <c r="C56" s="165" t="s">
        <v>62</v>
      </c>
      <c r="D56" s="151">
        <v>-10681805</v>
      </c>
      <c r="E56" s="152"/>
      <c r="F56" s="153">
        <f t="shared" si="4"/>
        <v>14216229.848771796</v>
      </c>
      <c r="G56" s="151">
        <f>D56</f>
        <v>-10681805</v>
      </c>
      <c r="H56" s="152">
        <v>0</v>
      </c>
      <c r="I56" s="153">
        <f t="shared" si="5"/>
        <v>14216229.848771796</v>
      </c>
      <c r="J56" s="151">
        <f t="shared" si="6"/>
        <v>0</v>
      </c>
      <c r="K56" s="152">
        <f t="shared" si="6"/>
        <v>0</v>
      </c>
      <c r="L56" s="153">
        <f t="shared" si="6"/>
        <v>0</v>
      </c>
      <c r="M56" s="10"/>
      <c r="N56" s="2"/>
      <c r="O56" s="2"/>
    </row>
    <row r="57" spans="1:15" x14ac:dyDescent="0.25">
      <c r="A57" s="163">
        <f>ROW()</f>
        <v>57</v>
      </c>
      <c r="B57" s="164">
        <v>7.06</v>
      </c>
      <c r="C57" s="165" t="s">
        <v>74</v>
      </c>
      <c r="D57" s="151">
        <v>9100115</v>
      </c>
      <c r="E57" s="152">
        <v>-23391892</v>
      </c>
      <c r="F57" s="153">
        <f t="shared" si="4"/>
        <v>-14411830.774001474</v>
      </c>
      <c r="G57" s="151">
        <v>9100115.4800387621</v>
      </c>
      <c r="H57" s="152">
        <v>-23391891.903797138</v>
      </c>
      <c r="I57" s="153">
        <f t="shared" si="5"/>
        <v>-14411831.403415006</v>
      </c>
      <c r="J57" s="151">
        <f t="shared" si="6"/>
        <v>0.48003876209259033</v>
      </c>
      <c r="K57" s="152">
        <f t="shared" si="6"/>
        <v>9.620286151766777E-2</v>
      </c>
      <c r="L57" s="153">
        <f t="shared" si="6"/>
        <v>-0.6294135320931673</v>
      </c>
      <c r="M57" s="10"/>
      <c r="N57" s="2"/>
      <c r="O57" s="2"/>
    </row>
    <row r="58" spans="1:15" x14ac:dyDescent="0.25">
      <c r="A58" s="163">
        <f>ROW()</f>
        <v>58</v>
      </c>
      <c r="B58" s="164">
        <v>7.08</v>
      </c>
      <c r="C58" s="165" t="s">
        <v>75</v>
      </c>
      <c r="D58" s="151">
        <v>4478734</v>
      </c>
      <c r="E58" s="152">
        <v>-3321470</v>
      </c>
      <c r="F58" s="153">
        <f t="shared" si="4"/>
        <v>-6287343.7483779872</v>
      </c>
      <c r="G58" s="151">
        <v>4478733.8338600006</v>
      </c>
      <c r="H58" s="152">
        <v>-3321469.9169705859</v>
      </c>
      <c r="I58" s="153">
        <f t="shared" si="5"/>
        <v>-6287343.5190990018</v>
      </c>
      <c r="J58" s="151">
        <f t="shared" si="6"/>
        <v>-0.1661399994045496</v>
      </c>
      <c r="K58" s="152">
        <f t="shared" si="6"/>
        <v>8.3029414061456919E-2</v>
      </c>
      <c r="L58" s="153">
        <f t="shared" si="6"/>
        <v>0.22927898541092873</v>
      </c>
      <c r="M58" s="10"/>
      <c r="N58" s="2"/>
      <c r="O58" s="2"/>
    </row>
    <row r="59" spans="1:15" x14ac:dyDescent="0.25">
      <c r="A59" s="163">
        <f>ROW()</f>
        <v>59</v>
      </c>
      <c r="B59" s="164">
        <v>7.09</v>
      </c>
      <c r="C59" s="165" t="s">
        <v>76</v>
      </c>
      <c r="D59" s="151">
        <v>-809932</v>
      </c>
      <c r="E59" s="152">
        <v>34322392</v>
      </c>
      <c r="F59" s="153">
        <f t="shared" si="4"/>
        <v>4453608.4473788925</v>
      </c>
      <c r="G59" s="151">
        <v>-809932.18299113424</v>
      </c>
      <c r="H59" s="152">
        <v>34322392.17098815</v>
      </c>
      <c r="I59" s="153">
        <f t="shared" si="5"/>
        <v>4453608.7077357005</v>
      </c>
      <c r="J59" s="151">
        <f t="shared" si="6"/>
        <v>-0.1829911342356354</v>
      </c>
      <c r="K59" s="152">
        <f t="shared" si="6"/>
        <v>0.17098814994096756</v>
      </c>
      <c r="L59" s="153">
        <f t="shared" si="6"/>
        <v>0.26035680808126926</v>
      </c>
      <c r="M59" s="10"/>
      <c r="N59" s="2"/>
      <c r="O59" s="2"/>
    </row>
    <row r="60" spans="1:15" x14ac:dyDescent="0.25">
      <c r="A60" s="163">
        <f>ROW()</f>
        <v>60</v>
      </c>
      <c r="B60" s="164">
        <v>7.1</v>
      </c>
      <c r="C60" s="165" t="s">
        <v>77</v>
      </c>
      <c r="D60" s="151">
        <v>-2484594</v>
      </c>
      <c r="E60" s="152">
        <v>4143549</v>
      </c>
      <c r="F60" s="153">
        <f t="shared" si="4"/>
        <v>3714230.558265381</v>
      </c>
      <c r="G60" s="151">
        <v>-2484593.7565199998</v>
      </c>
      <c r="H60" s="152">
        <v>4143548.7960133362</v>
      </c>
      <c r="I60" s="153">
        <f t="shared" si="5"/>
        <v>3714230.2141595082</v>
      </c>
      <c r="J60" s="151">
        <f t="shared" si="6"/>
        <v>0.24348000017926097</v>
      </c>
      <c r="K60" s="152">
        <f t="shared" si="6"/>
        <v>-0.20398666383698583</v>
      </c>
      <c r="L60" s="153">
        <f t="shared" si="6"/>
        <v>-0.34410587279126048</v>
      </c>
      <c r="M60" s="10"/>
      <c r="N60" s="2"/>
      <c r="O60" s="2"/>
    </row>
    <row r="61" spans="1:15" ht="15" customHeight="1" x14ac:dyDescent="0.25">
      <c r="A61" s="155">
        <f>ROW()</f>
        <v>61</v>
      </c>
      <c r="B61" s="156" t="s">
        <v>78</v>
      </c>
      <c r="C61" s="157"/>
      <c r="D61" s="158"/>
      <c r="E61" s="157"/>
      <c r="F61" s="159"/>
      <c r="G61" s="158"/>
      <c r="H61" s="157"/>
      <c r="I61" s="159"/>
      <c r="J61" s="158"/>
      <c r="K61" s="157"/>
      <c r="L61" s="159"/>
      <c r="M61" s="10"/>
      <c r="N61" s="2"/>
      <c r="O61" s="2"/>
    </row>
    <row r="62" spans="1:15" x14ac:dyDescent="0.25">
      <c r="A62" s="163">
        <f>ROW()</f>
        <v>62</v>
      </c>
      <c r="B62" s="164">
        <v>12.01</v>
      </c>
      <c r="C62" s="165" t="s">
        <v>79</v>
      </c>
      <c r="D62" s="151">
        <v>431825</v>
      </c>
      <c r="E62" s="152">
        <v>-5272401</v>
      </c>
      <c r="F62" s="153">
        <f>(E62*I$1-D62)/I$2</f>
        <v>-1093260.8542137744</v>
      </c>
      <c r="G62" s="151">
        <v>431824.68063823192</v>
      </c>
      <c r="H62" s="151">
        <v>-5272400.7298989873</v>
      </c>
      <c r="I62" s="153">
        <f t="shared" si="5"/>
        <v>-1093260.4026156731</v>
      </c>
      <c r="J62" s="151">
        <f t="shared" ref="J62:L66" si="7">G62-D62</f>
        <v>-0.31936176808085293</v>
      </c>
      <c r="K62" s="152">
        <f t="shared" si="7"/>
        <v>0.27010101266205311</v>
      </c>
      <c r="L62" s="153">
        <f t="shared" si="7"/>
        <v>0.4515981012955308</v>
      </c>
      <c r="M62" s="10"/>
      <c r="N62" s="2"/>
      <c r="O62" s="2"/>
    </row>
    <row r="63" spans="1:15" x14ac:dyDescent="0.25">
      <c r="A63" s="163">
        <f>ROW()</f>
        <v>63</v>
      </c>
      <c r="B63" s="164">
        <v>12.02</v>
      </c>
      <c r="C63" s="165" t="s">
        <v>80</v>
      </c>
      <c r="D63" s="151"/>
      <c r="E63" s="152"/>
      <c r="F63" s="153">
        <f>(E63*I$1-D63)/I$2</f>
        <v>0</v>
      </c>
      <c r="G63" s="151"/>
      <c r="H63" s="151"/>
      <c r="I63" s="153">
        <f t="shared" si="5"/>
        <v>0</v>
      </c>
      <c r="J63" s="151">
        <f t="shared" si="7"/>
        <v>0</v>
      </c>
      <c r="K63" s="152">
        <f t="shared" si="7"/>
        <v>0</v>
      </c>
      <c r="L63" s="153">
        <f t="shared" si="7"/>
        <v>0</v>
      </c>
      <c r="M63" s="10"/>
      <c r="N63" s="2"/>
      <c r="O63" s="2"/>
    </row>
    <row r="64" spans="1:15" x14ac:dyDescent="0.25">
      <c r="A64" s="163">
        <f>ROW()</f>
        <v>64</v>
      </c>
      <c r="B64" s="164">
        <v>12.03</v>
      </c>
      <c r="C64" s="165" t="s">
        <v>81</v>
      </c>
      <c r="D64" s="151"/>
      <c r="E64" s="152">
        <v>-211405</v>
      </c>
      <c r="F64" s="153">
        <f>(E64*I$1-D64)/I$2</f>
        <v>-20792.154047014763</v>
      </c>
      <c r="G64" s="151">
        <v>0</v>
      </c>
      <c r="H64" s="151">
        <v>-211405.47488111624</v>
      </c>
      <c r="I64" s="153">
        <f t="shared" si="5"/>
        <v>-20792.200752633471</v>
      </c>
      <c r="J64" s="151">
        <f t="shared" si="7"/>
        <v>0</v>
      </c>
      <c r="K64" s="152">
        <f t="shared" si="7"/>
        <v>-0.47488111624261364</v>
      </c>
      <c r="L64" s="153">
        <f t="shared" si="7"/>
        <v>-4.6705618708074326E-2</v>
      </c>
      <c r="M64" s="10"/>
      <c r="N64" s="2"/>
      <c r="O64" s="2"/>
    </row>
    <row r="65" spans="1:15" ht="27.6" x14ac:dyDescent="0.25">
      <c r="A65" s="166">
        <f>ROW()</f>
        <v>65</v>
      </c>
      <c r="B65" s="167" t="s">
        <v>82</v>
      </c>
      <c r="C65" s="165" t="s">
        <v>83</v>
      </c>
      <c r="D65" s="151"/>
      <c r="E65" s="152"/>
      <c r="F65" s="153">
        <f>(E65*I$1-D65)/I$2</f>
        <v>0</v>
      </c>
      <c r="G65" s="151"/>
      <c r="H65" s="151"/>
      <c r="I65" s="153">
        <f t="shared" si="5"/>
        <v>0</v>
      </c>
      <c r="J65" s="151">
        <f t="shared" si="7"/>
        <v>0</v>
      </c>
      <c r="K65" s="152">
        <f t="shared" si="7"/>
        <v>0</v>
      </c>
      <c r="L65" s="153">
        <f t="shared" si="7"/>
        <v>0</v>
      </c>
      <c r="M65" s="10"/>
      <c r="N65" s="2"/>
      <c r="O65" s="2"/>
    </row>
    <row r="66" spans="1:15" x14ac:dyDescent="0.25">
      <c r="A66" s="163">
        <f>ROW()</f>
        <v>66</v>
      </c>
      <c r="B66" s="164">
        <v>12.04</v>
      </c>
      <c r="C66" s="165" t="s">
        <v>84</v>
      </c>
      <c r="D66" s="151">
        <v>45030</v>
      </c>
      <c r="E66" s="152">
        <v>-550000</v>
      </c>
      <c r="F66" s="153">
        <f>(E66*I$1-D66)/I$2</f>
        <v>-114023.37828611584</v>
      </c>
      <c r="G66" s="151">
        <v>45030</v>
      </c>
      <c r="H66" s="151">
        <v>-550000</v>
      </c>
      <c r="I66" s="153">
        <f t="shared" si="5"/>
        <v>-114023.37828611584</v>
      </c>
      <c r="J66" s="151">
        <f t="shared" si="7"/>
        <v>0</v>
      </c>
      <c r="K66" s="152">
        <f t="shared" si="7"/>
        <v>0</v>
      </c>
      <c r="L66" s="153">
        <f t="shared" si="7"/>
        <v>0</v>
      </c>
      <c r="M66" s="10"/>
      <c r="N66" s="2"/>
      <c r="O66" s="2"/>
    </row>
    <row r="67" spans="1:15" ht="14.4" x14ac:dyDescent="0.3">
      <c r="A67" s="168">
        <f>ROW()</f>
        <v>67</v>
      </c>
      <c r="B67" s="169"/>
      <c r="C67" s="170" t="s">
        <v>85</v>
      </c>
      <c r="D67" s="171">
        <f t="shared" ref="D67:L67" si="8">SUM(D8:D66)</f>
        <v>-89691819</v>
      </c>
      <c r="E67" s="172">
        <f t="shared" si="8"/>
        <v>224670548</v>
      </c>
      <c r="F67" s="173">
        <f t="shared" si="8"/>
        <v>141466143.67038825</v>
      </c>
      <c r="G67" s="171">
        <f t="shared" si="8"/>
        <v>-91607273.276501343</v>
      </c>
      <c r="H67" s="172">
        <f t="shared" si="8"/>
        <v>169052838.74577856</v>
      </c>
      <c r="I67" s="173">
        <f t="shared" si="8"/>
        <v>138545262.73596799</v>
      </c>
      <c r="J67" s="171">
        <f t="shared" si="8"/>
        <v>-1915454.2765013347</v>
      </c>
      <c r="K67" s="172">
        <f t="shared" si="8"/>
        <v>-55617709.254221417</v>
      </c>
      <c r="L67" s="173">
        <f t="shared" si="8"/>
        <v>-2920880.9344202573</v>
      </c>
      <c r="O67" s="154"/>
    </row>
    <row r="68" spans="1:15" ht="28.8" x14ac:dyDescent="0.3">
      <c r="A68" s="168">
        <f>ROW()</f>
        <v>68</v>
      </c>
      <c r="B68" s="169"/>
      <c r="C68" s="170" t="s">
        <v>86</v>
      </c>
      <c r="D68" s="174">
        <f t="shared" ref="D68:L68" si="9">D6+D67</f>
        <v>301448872</v>
      </c>
      <c r="E68" s="175">
        <f t="shared" si="9"/>
        <v>5433449054</v>
      </c>
      <c r="F68" s="176">
        <f t="shared" si="9"/>
        <v>133198754.14816177</v>
      </c>
      <c r="G68" s="174">
        <f t="shared" si="9"/>
        <v>299533417.82349926</v>
      </c>
      <c r="H68" s="175">
        <f t="shared" si="9"/>
        <v>5377831345.0507698</v>
      </c>
      <c r="I68" s="176">
        <f t="shared" si="9"/>
        <v>130277873.11064905</v>
      </c>
      <c r="J68" s="174">
        <f t="shared" si="9"/>
        <v>-1915454.1765007148</v>
      </c>
      <c r="K68" s="175">
        <f t="shared" si="9"/>
        <v>-55617708.949229695</v>
      </c>
      <c r="L68" s="176">
        <f t="shared" si="9"/>
        <v>-2920881.0375127229</v>
      </c>
      <c r="O68" s="154"/>
    </row>
    <row r="69" spans="1:15" x14ac:dyDescent="0.3">
      <c r="A69" s="163">
        <f>ROW()</f>
        <v>69</v>
      </c>
      <c r="B69" s="177"/>
      <c r="C69" s="165" t="s">
        <v>87</v>
      </c>
      <c r="D69" s="151"/>
      <c r="E69" s="152"/>
      <c r="F69" s="153">
        <v>-3117000</v>
      </c>
      <c r="G69" s="151"/>
      <c r="H69" s="152"/>
      <c r="I69" s="153">
        <v>-3311000</v>
      </c>
      <c r="J69" s="151">
        <f t="shared" ref="J69:L70" si="10">G69-D69</f>
        <v>0</v>
      </c>
      <c r="K69" s="152">
        <f t="shared" si="10"/>
        <v>0</v>
      </c>
      <c r="L69" s="153">
        <f t="shared" si="10"/>
        <v>-194000</v>
      </c>
      <c r="O69" s="154"/>
    </row>
    <row r="70" spans="1:15" x14ac:dyDescent="0.3">
      <c r="A70" s="163">
        <f>ROW()</f>
        <v>70</v>
      </c>
      <c r="B70" s="177"/>
      <c r="C70" s="165" t="s">
        <v>88</v>
      </c>
      <c r="D70" s="151"/>
      <c r="E70" s="152"/>
      <c r="F70" s="153">
        <v>-70484295</v>
      </c>
      <c r="G70" s="151"/>
      <c r="H70" s="152"/>
      <c r="I70" s="153">
        <v>-70440000</v>
      </c>
      <c r="J70" s="151">
        <f t="shared" si="10"/>
        <v>0</v>
      </c>
      <c r="K70" s="152">
        <f t="shared" si="10"/>
        <v>0</v>
      </c>
      <c r="L70" s="153">
        <f t="shared" si="10"/>
        <v>44295</v>
      </c>
      <c r="O70" s="154"/>
    </row>
    <row r="71" spans="1:15" ht="28.8" x14ac:dyDescent="0.3">
      <c r="A71" s="168">
        <f>ROW()</f>
        <v>71</v>
      </c>
      <c r="B71" s="169"/>
      <c r="C71" s="170" t="s">
        <v>89</v>
      </c>
      <c r="D71" s="174">
        <f t="shared" ref="D71:L71" si="11">SUM(D68:D70)</f>
        <v>301448872</v>
      </c>
      <c r="E71" s="175">
        <f t="shared" si="11"/>
        <v>5433449054</v>
      </c>
      <c r="F71" s="176">
        <f t="shared" si="11"/>
        <v>59597459.148161769</v>
      </c>
      <c r="G71" s="174">
        <f t="shared" si="11"/>
        <v>299533417.82349926</v>
      </c>
      <c r="H71" s="175">
        <f t="shared" si="11"/>
        <v>5377831345.0507698</v>
      </c>
      <c r="I71" s="176">
        <f t="shared" si="11"/>
        <v>56526873.110649049</v>
      </c>
      <c r="J71" s="174">
        <f t="shared" si="11"/>
        <v>-1915454.1765007148</v>
      </c>
      <c r="K71" s="175">
        <f t="shared" si="11"/>
        <v>-55617708.949229695</v>
      </c>
      <c r="L71" s="176">
        <f t="shared" si="11"/>
        <v>-3070586.0375127229</v>
      </c>
      <c r="O71" s="154"/>
    </row>
    <row r="72" spans="1:15" ht="27.6" x14ac:dyDescent="0.3">
      <c r="A72" s="163">
        <f>ROW()</f>
        <v>72</v>
      </c>
      <c r="B72" s="177"/>
      <c r="C72" s="165" t="s">
        <v>90</v>
      </c>
      <c r="D72" s="151"/>
      <c r="E72" s="152"/>
      <c r="F72" s="153">
        <v>-17700000</v>
      </c>
      <c r="G72" s="151"/>
      <c r="H72" s="152"/>
      <c r="I72" s="153">
        <v>-18685746.172138035</v>
      </c>
      <c r="J72" s="151">
        <f t="shared" ref="J72:L73" si="12">G72-D72</f>
        <v>0</v>
      </c>
      <c r="K72" s="152">
        <f t="shared" si="12"/>
        <v>0</v>
      </c>
      <c r="L72" s="153">
        <f t="shared" si="12"/>
        <v>-985746.1721380353</v>
      </c>
      <c r="O72" s="154"/>
    </row>
    <row r="73" spans="1:15" x14ac:dyDescent="0.3">
      <c r="A73" s="163">
        <f>ROW()</f>
        <v>73</v>
      </c>
      <c r="B73" s="177"/>
      <c r="C73" s="165" t="s">
        <v>91</v>
      </c>
      <c r="D73" s="151"/>
      <c r="E73" s="152"/>
      <c r="F73" s="153">
        <v>-10900000</v>
      </c>
      <c r="G73" s="151"/>
      <c r="H73" s="152"/>
      <c r="I73" s="153">
        <v>-10160000</v>
      </c>
      <c r="J73" s="151">
        <f t="shared" si="12"/>
        <v>0</v>
      </c>
      <c r="K73" s="152">
        <f t="shared" si="12"/>
        <v>0</v>
      </c>
      <c r="L73" s="153">
        <f t="shared" si="12"/>
        <v>740000</v>
      </c>
      <c r="O73" s="154"/>
    </row>
    <row r="74" spans="1:15" ht="15" thickBot="1" x14ac:dyDescent="0.35">
      <c r="A74" s="178">
        <f>ROW()</f>
        <v>74</v>
      </c>
      <c r="B74" s="179"/>
      <c r="C74" s="180" t="s">
        <v>92</v>
      </c>
      <c r="D74" s="181">
        <f>SUM(D71:D73)</f>
        <v>301448872</v>
      </c>
      <c r="E74" s="182">
        <f>SUM(E71:E73)</f>
        <v>5433449054</v>
      </c>
      <c r="F74" s="183">
        <f>SUM(F71:F73)</f>
        <v>30997459.148161769</v>
      </c>
      <c r="G74" s="181">
        <f t="shared" ref="G74:L74" si="13">SUM(G71:G73)</f>
        <v>299533417.82349926</v>
      </c>
      <c r="H74" s="182">
        <f t="shared" si="13"/>
        <v>5377831345.0507698</v>
      </c>
      <c r="I74" s="183">
        <f t="shared" si="13"/>
        <v>27681126.938511014</v>
      </c>
      <c r="J74" s="181">
        <f t="shared" si="13"/>
        <v>-1915454.1765007148</v>
      </c>
      <c r="K74" s="182">
        <f t="shared" si="13"/>
        <v>-55617708.949229695</v>
      </c>
      <c r="L74" s="183">
        <f t="shared" si="13"/>
        <v>-3316332.2096507582</v>
      </c>
      <c r="O74" s="154"/>
    </row>
    <row r="75" spans="1:15" x14ac:dyDescent="0.3">
      <c r="A75" s="139">
        <f>ROW()</f>
        <v>75</v>
      </c>
      <c r="I75" s="184">
        <v>-0.11064904928207397</v>
      </c>
    </row>
    <row r="76" spans="1:15" x14ac:dyDescent="0.3">
      <c r="A76" s="139">
        <f>ROW()</f>
        <v>76</v>
      </c>
      <c r="F76" s="142" t="s">
        <v>93</v>
      </c>
      <c r="G76" s="184">
        <f>G46/I2</f>
        <v>-8191491.1075850604</v>
      </c>
    </row>
    <row r="77" spans="1:15" x14ac:dyDescent="0.3">
      <c r="A77" s="139">
        <f>ROW()</f>
        <v>77</v>
      </c>
      <c r="F77" s="142" t="s">
        <v>94</v>
      </c>
      <c r="G77" s="184">
        <f>G48/I2</f>
        <v>-16683132.58908549</v>
      </c>
    </row>
    <row r="78" spans="1:15" x14ac:dyDescent="0.3">
      <c r="F78" s="142"/>
    </row>
  </sheetData>
  <mergeCells count="4">
    <mergeCell ref="B4:C4"/>
    <mergeCell ref="D4:F4"/>
    <mergeCell ref="G4:I4"/>
    <mergeCell ref="J4:L4"/>
  </mergeCells>
  <printOptions horizontalCentered="1"/>
  <pageMargins left="0.1" right="0.1" top="0.75" bottom="0.25" header="0.05" footer="0.05"/>
  <pageSetup scale="46" orientation="landscape" r:id="rId1"/>
  <headerFooter scaleWithDoc="0" alignWithMargins="0">
    <oddFooter>&amp;R&amp;"Times New Roman,Regular"&amp;12Exh. SEF-11
Page 4 of 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20"/>
  <sheetViews>
    <sheetView topLeftCell="A74" zoomScaleNormal="100" workbookViewId="0">
      <selection activeCell="B93" sqref="B93"/>
    </sheetView>
  </sheetViews>
  <sheetFormatPr defaultColWidth="8.88671875" defaultRowHeight="13.8" outlineLevelCol="2" x14ac:dyDescent="0.25"/>
  <cols>
    <col min="1" max="1" width="5.5546875" style="186" bestFit="1" customWidth="1"/>
    <col min="2" max="2" width="69.33203125" style="186" customWidth="1"/>
    <col min="3" max="3" width="13.5546875" style="186" bestFit="1" customWidth="1"/>
    <col min="4" max="4" width="15.21875" style="186" bestFit="1" customWidth="1"/>
    <col min="5" max="5" width="16.77734375" style="186" bestFit="1" customWidth="1"/>
    <col min="6" max="6" width="14.33203125" style="186" hidden="1" customWidth="1" outlineLevel="1"/>
    <col min="7" max="7" width="17.33203125" style="186" hidden="1" customWidth="1" outlineLevel="2"/>
    <col min="8" max="9" width="16" style="186" hidden="1" customWidth="1" outlineLevel="2"/>
    <col min="10" max="10" width="17.6640625" style="186" hidden="1" customWidth="1" outlineLevel="2"/>
    <col min="11" max="11" width="16" style="186" hidden="1" customWidth="1" outlineLevel="1"/>
    <col min="12" max="12" width="11" style="186" bestFit="1" customWidth="1" collapsed="1"/>
    <col min="13" max="252" width="8.88671875" style="186"/>
    <col min="253" max="253" width="5.44140625" style="186" bestFit="1" customWidth="1"/>
    <col min="254" max="254" width="69.44140625" style="186" customWidth="1"/>
    <col min="255" max="255" width="12.88671875" style="186" bestFit="1" customWidth="1"/>
    <col min="256" max="256" width="13.109375" style="186" customWidth="1"/>
    <col min="257" max="257" width="12.6640625" style="186" customWidth="1"/>
    <col min="258" max="258" width="13.5546875" style="186" customWidth="1"/>
    <col min="259" max="508" width="8.88671875" style="186"/>
    <col min="509" max="509" width="5.44140625" style="186" bestFit="1" customWidth="1"/>
    <col min="510" max="510" width="69.44140625" style="186" customWidth="1"/>
    <col min="511" max="511" width="12.88671875" style="186" bestFit="1" customWidth="1"/>
    <col min="512" max="512" width="13.109375" style="186" customWidth="1"/>
    <col min="513" max="513" width="12.6640625" style="186" customWidth="1"/>
    <col min="514" max="514" width="13.5546875" style="186" customWidth="1"/>
    <col min="515" max="764" width="8.88671875" style="186"/>
    <col min="765" max="765" width="5.44140625" style="186" bestFit="1" customWidth="1"/>
    <col min="766" max="766" width="69.44140625" style="186" customWidth="1"/>
    <col min="767" max="767" width="12.88671875" style="186" bestFit="1" customWidth="1"/>
    <col min="768" max="768" width="13.109375" style="186" customWidth="1"/>
    <col min="769" max="769" width="12.6640625" style="186" customWidth="1"/>
    <col min="770" max="770" width="13.5546875" style="186" customWidth="1"/>
    <col min="771" max="1020" width="8.88671875" style="186"/>
    <col min="1021" max="1021" width="5.44140625" style="186" bestFit="1" customWidth="1"/>
    <col min="1022" max="1022" width="69.44140625" style="186" customWidth="1"/>
    <col min="1023" max="1023" width="12.88671875" style="186" bestFit="1" customWidth="1"/>
    <col min="1024" max="1024" width="13.109375" style="186" customWidth="1"/>
    <col min="1025" max="1025" width="12.6640625" style="186" customWidth="1"/>
    <col min="1026" max="1026" width="13.5546875" style="186" customWidth="1"/>
    <col min="1027" max="1276" width="8.88671875" style="186"/>
    <col min="1277" max="1277" width="5.44140625" style="186" bestFit="1" customWidth="1"/>
    <col min="1278" max="1278" width="69.44140625" style="186" customWidth="1"/>
    <col min="1279" max="1279" width="12.88671875" style="186" bestFit="1" customWidth="1"/>
    <col min="1280" max="1280" width="13.109375" style="186" customWidth="1"/>
    <col min="1281" max="1281" width="12.6640625" style="186" customWidth="1"/>
    <col min="1282" max="1282" width="13.5546875" style="186" customWidth="1"/>
    <col min="1283" max="1532" width="8.88671875" style="186"/>
    <col min="1533" max="1533" width="5.44140625" style="186" bestFit="1" customWidth="1"/>
    <col min="1534" max="1534" width="69.44140625" style="186" customWidth="1"/>
    <col min="1535" max="1535" width="12.88671875" style="186" bestFit="1" customWidth="1"/>
    <col min="1536" max="1536" width="13.109375" style="186" customWidth="1"/>
    <col min="1537" max="1537" width="12.6640625" style="186" customWidth="1"/>
    <col min="1538" max="1538" width="13.5546875" style="186" customWidth="1"/>
    <col min="1539" max="1788" width="8.88671875" style="186"/>
    <col min="1789" max="1789" width="5.44140625" style="186" bestFit="1" customWidth="1"/>
    <col min="1790" max="1790" width="69.44140625" style="186" customWidth="1"/>
    <col min="1791" max="1791" width="12.88671875" style="186" bestFit="1" customWidth="1"/>
    <col min="1792" max="1792" width="13.109375" style="186" customWidth="1"/>
    <col min="1793" max="1793" width="12.6640625" style="186" customWidth="1"/>
    <col min="1794" max="1794" width="13.5546875" style="186" customWidth="1"/>
    <col min="1795" max="2044" width="8.88671875" style="186"/>
    <col min="2045" max="2045" width="5.44140625" style="186" bestFit="1" customWidth="1"/>
    <col min="2046" max="2046" width="69.44140625" style="186" customWidth="1"/>
    <col min="2047" max="2047" width="12.88671875" style="186" bestFit="1" customWidth="1"/>
    <col min="2048" max="2048" width="13.109375" style="186" customWidth="1"/>
    <col min="2049" max="2049" width="12.6640625" style="186" customWidth="1"/>
    <col min="2050" max="2050" width="13.5546875" style="186" customWidth="1"/>
    <col min="2051" max="2300" width="8.88671875" style="186"/>
    <col min="2301" max="2301" width="5.44140625" style="186" bestFit="1" customWidth="1"/>
    <col min="2302" max="2302" width="69.44140625" style="186" customWidth="1"/>
    <col min="2303" max="2303" width="12.88671875" style="186" bestFit="1" customWidth="1"/>
    <col min="2304" max="2304" width="13.109375" style="186" customWidth="1"/>
    <col min="2305" max="2305" width="12.6640625" style="186" customWidth="1"/>
    <col min="2306" max="2306" width="13.5546875" style="186" customWidth="1"/>
    <col min="2307" max="2556" width="8.88671875" style="186"/>
    <col min="2557" max="2557" width="5.44140625" style="186" bestFit="1" customWidth="1"/>
    <col min="2558" max="2558" width="69.44140625" style="186" customWidth="1"/>
    <col min="2559" max="2559" width="12.88671875" style="186" bestFit="1" customWidth="1"/>
    <col min="2560" max="2560" width="13.109375" style="186" customWidth="1"/>
    <col min="2561" max="2561" width="12.6640625" style="186" customWidth="1"/>
    <col min="2562" max="2562" width="13.5546875" style="186" customWidth="1"/>
    <col min="2563" max="2812" width="8.88671875" style="186"/>
    <col min="2813" max="2813" width="5.44140625" style="186" bestFit="1" customWidth="1"/>
    <col min="2814" max="2814" width="69.44140625" style="186" customWidth="1"/>
    <col min="2815" max="2815" width="12.88671875" style="186" bestFit="1" customWidth="1"/>
    <col min="2816" max="2816" width="13.109375" style="186" customWidth="1"/>
    <col min="2817" max="2817" width="12.6640625" style="186" customWidth="1"/>
    <col min="2818" max="2818" width="13.5546875" style="186" customWidth="1"/>
    <col min="2819" max="3068" width="8.88671875" style="186"/>
    <col min="3069" max="3069" width="5.44140625" style="186" bestFit="1" customWidth="1"/>
    <col min="3070" max="3070" width="69.44140625" style="186" customWidth="1"/>
    <col min="3071" max="3071" width="12.88671875" style="186" bestFit="1" customWidth="1"/>
    <col min="3072" max="3072" width="13.109375" style="186" customWidth="1"/>
    <col min="3073" max="3073" width="12.6640625" style="186" customWidth="1"/>
    <col min="3074" max="3074" width="13.5546875" style="186" customWidth="1"/>
    <col min="3075" max="3324" width="8.88671875" style="186"/>
    <col min="3325" max="3325" width="5.44140625" style="186" bestFit="1" customWidth="1"/>
    <col min="3326" max="3326" width="69.44140625" style="186" customWidth="1"/>
    <col min="3327" max="3327" width="12.88671875" style="186" bestFit="1" customWidth="1"/>
    <col min="3328" max="3328" width="13.109375" style="186" customWidth="1"/>
    <col min="3329" max="3329" width="12.6640625" style="186" customWidth="1"/>
    <col min="3330" max="3330" width="13.5546875" style="186" customWidth="1"/>
    <col min="3331" max="3580" width="8.88671875" style="186"/>
    <col min="3581" max="3581" width="5.44140625" style="186" bestFit="1" customWidth="1"/>
    <col min="3582" max="3582" width="69.44140625" style="186" customWidth="1"/>
    <col min="3583" max="3583" width="12.88671875" style="186" bestFit="1" customWidth="1"/>
    <col min="3584" max="3584" width="13.109375" style="186" customWidth="1"/>
    <col min="3585" max="3585" width="12.6640625" style="186" customWidth="1"/>
    <col min="3586" max="3586" width="13.5546875" style="186" customWidth="1"/>
    <col min="3587" max="3836" width="8.88671875" style="186"/>
    <col min="3837" max="3837" width="5.44140625" style="186" bestFit="1" customWidth="1"/>
    <col min="3838" max="3838" width="69.44140625" style="186" customWidth="1"/>
    <col min="3839" max="3839" width="12.88671875" style="186" bestFit="1" customWidth="1"/>
    <col min="3840" max="3840" width="13.109375" style="186" customWidth="1"/>
    <col min="3841" max="3841" width="12.6640625" style="186" customWidth="1"/>
    <col min="3842" max="3842" width="13.5546875" style="186" customWidth="1"/>
    <col min="3843" max="4092" width="8.88671875" style="186"/>
    <col min="4093" max="4093" width="5.44140625" style="186" bestFit="1" customWidth="1"/>
    <col min="4094" max="4094" width="69.44140625" style="186" customWidth="1"/>
    <col min="4095" max="4095" width="12.88671875" style="186" bestFit="1" customWidth="1"/>
    <col min="4096" max="4096" width="13.109375" style="186" customWidth="1"/>
    <col min="4097" max="4097" width="12.6640625" style="186" customWidth="1"/>
    <col min="4098" max="4098" width="13.5546875" style="186" customWidth="1"/>
    <col min="4099" max="4348" width="8.88671875" style="186"/>
    <col min="4349" max="4349" width="5.44140625" style="186" bestFit="1" customWidth="1"/>
    <col min="4350" max="4350" width="69.44140625" style="186" customWidth="1"/>
    <col min="4351" max="4351" width="12.88671875" style="186" bestFit="1" customWidth="1"/>
    <col min="4352" max="4352" width="13.109375" style="186" customWidth="1"/>
    <col min="4353" max="4353" width="12.6640625" style="186" customWidth="1"/>
    <col min="4354" max="4354" width="13.5546875" style="186" customWidth="1"/>
    <col min="4355" max="4604" width="8.88671875" style="186"/>
    <col min="4605" max="4605" width="5.44140625" style="186" bestFit="1" customWidth="1"/>
    <col min="4606" max="4606" width="69.44140625" style="186" customWidth="1"/>
    <col min="4607" max="4607" width="12.88671875" style="186" bestFit="1" customWidth="1"/>
    <col min="4608" max="4608" width="13.109375" style="186" customWidth="1"/>
    <col min="4609" max="4609" width="12.6640625" style="186" customWidth="1"/>
    <col min="4610" max="4610" width="13.5546875" style="186" customWidth="1"/>
    <col min="4611" max="4860" width="8.88671875" style="186"/>
    <col min="4861" max="4861" width="5.44140625" style="186" bestFit="1" customWidth="1"/>
    <col min="4862" max="4862" width="69.44140625" style="186" customWidth="1"/>
    <col min="4863" max="4863" width="12.88671875" style="186" bestFit="1" customWidth="1"/>
    <col min="4864" max="4864" width="13.109375" style="186" customWidth="1"/>
    <col min="4865" max="4865" width="12.6640625" style="186" customWidth="1"/>
    <col min="4866" max="4866" width="13.5546875" style="186" customWidth="1"/>
    <col min="4867" max="5116" width="8.88671875" style="186"/>
    <col min="5117" max="5117" width="5.44140625" style="186" bestFit="1" customWidth="1"/>
    <col min="5118" max="5118" width="69.44140625" style="186" customWidth="1"/>
    <col min="5119" max="5119" width="12.88671875" style="186" bestFit="1" customWidth="1"/>
    <col min="5120" max="5120" width="13.109375" style="186" customWidth="1"/>
    <col min="5121" max="5121" width="12.6640625" style="186" customWidth="1"/>
    <col min="5122" max="5122" width="13.5546875" style="186" customWidth="1"/>
    <col min="5123" max="5372" width="8.88671875" style="186"/>
    <col min="5373" max="5373" width="5.44140625" style="186" bestFit="1" customWidth="1"/>
    <col min="5374" max="5374" width="69.44140625" style="186" customWidth="1"/>
    <col min="5375" max="5375" width="12.88671875" style="186" bestFit="1" customWidth="1"/>
    <col min="5376" max="5376" width="13.109375" style="186" customWidth="1"/>
    <col min="5377" max="5377" width="12.6640625" style="186" customWidth="1"/>
    <col min="5378" max="5378" width="13.5546875" style="186" customWidth="1"/>
    <col min="5379" max="5628" width="8.88671875" style="186"/>
    <col min="5629" max="5629" width="5.44140625" style="186" bestFit="1" customWidth="1"/>
    <col min="5630" max="5630" width="69.44140625" style="186" customWidth="1"/>
    <col min="5631" max="5631" width="12.88671875" style="186" bestFit="1" customWidth="1"/>
    <col min="5632" max="5632" width="13.109375" style="186" customWidth="1"/>
    <col min="5633" max="5633" width="12.6640625" style="186" customWidth="1"/>
    <col min="5634" max="5634" width="13.5546875" style="186" customWidth="1"/>
    <col min="5635" max="5884" width="8.88671875" style="186"/>
    <col min="5885" max="5885" width="5.44140625" style="186" bestFit="1" customWidth="1"/>
    <col min="5886" max="5886" width="69.44140625" style="186" customWidth="1"/>
    <col min="5887" max="5887" width="12.88671875" style="186" bestFit="1" customWidth="1"/>
    <col min="5888" max="5888" width="13.109375" style="186" customWidth="1"/>
    <col min="5889" max="5889" width="12.6640625" style="186" customWidth="1"/>
    <col min="5890" max="5890" width="13.5546875" style="186" customWidth="1"/>
    <col min="5891" max="6140" width="8.88671875" style="186"/>
    <col min="6141" max="6141" width="5.44140625" style="186" bestFit="1" customWidth="1"/>
    <col min="6142" max="6142" width="69.44140625" style="186" customWidth="1"/>
    <col min="6143" max="6143" width="12.88671875" style="186" bestFit="1" customWidth="1"/>
    <col min="6144" max="6144" width="13.109375" style="186" customWidth="1"/>
    <col min="6145" max="6145" width="12.6640625" style="186" customWidth="1"/>
    <col min="6146" max="6146" width="13.5546875" style="186" customWidth="1"/>
    <col min="6147" max="6396" width="8.88671875" style="186"/>
    <col min="6397" max="6397" width="5.44140625" style="186" bestFit="1" customWidth="1"/>
    <col min="6398" max="6398" width="69.44140625" style="186" customWidth="1"/>
    <col min="6399" max="6399" width="12.88671875" style="186" bestFit="1" customWidth="1"/>
    <col min="6400" max="6400" width="13.109375" style="186" customWidth="1"/>
    <col min="6401" max="6401" width="12.6640625" style="186" customWidth="1"/>
    <col min="6402" max="6402" width="13.5546875" style="186" customWidth="1"/>
    <col min="6403" max="6652" width="8.88671875" style="186"/>
    <col min="6653" max="6653" width="5.44140625" style="186" bestFit="1" customWidth="1"/>
    <col min="6654" max="6654" width="69.44140625" style="186" customWidth="1"/>
    <col min="6655" max="6655" width="12.88671875" style="186" bestFit="1" customWidth="1"/>
    <col min="6656" max="6656" width="13.109375" style="186" customWidth="1"/>
    <col min="6657" max="6657" width="12.6640625" style="186" customWidth="1"/>
    <col min="6658" max="6658" width="13.5546875" style="186" customWidth="1"/>
    <col min="6659" max="6908" width="8.88671875" style="186"/>
    <col min="6909" max="6909" width="5.44140625" style="186" bestFit="1" customWidth="1"/>
    <col min="6910" max="6910" width="69.44140625" style="186" customWidth="1"/>
    <col min="6911" max="6911" width="12.88671875" style="186" bestFit="1" customWidth="1"/>
    <col min="6912" max="6912" width="13.109375" style="186" customWidth="1"/>
    <col min="6913" max="6913" width="12.6640625" style="186" customWidth="1"/>
    <col min="6914" max="6914" width="13.5546875" style="186" customWidth="1"/>
    <col min="6915" max="7164" width="8.88671875" style="186"/>
    <col min="7165" max="7165" width="5.44140625" style="186" bestFit="1" customWidth="1"/>
    <col min="7166" max="7166" width="69.44140625" style="186" customWidth="1"/>
    <col min="7167" max="7167" width="12.88671875" style="186" bestFit="1" customWidth="1"/>
    <col min="7168" max="7168" width="13.109375" style="186" customWidth="1"/>
    <col min="7169" max="7169" width="12.6640625" style="186" customWidth="1"/>
    <col min="7170" max="7170" width="13.5546875" style="186" customWidth="1"/>
    <col min="7171" max="7420" width="8.88671875" style="186"/>
    <col min="7421" max="7421" width="5.44140625" style="186" bestFit="1" customWidth="1"/>
    <col min="7422" max="7422" width="69.44140625" style="186" customWidth="1"/>
    <col min="7423" max="7423" width="12.88671875" style="186" bestFit="1" customWidth="1"/>
    <col min="7424" max="7424" width="13.109375" style="186" customWidth="1"/>
    <col min="7425" max="7425" width="12.6640625" style="186" customWidth="1"/>
    <col min="7426" max="7426" width="13.5546875" style="186" customWidth="1"/>
    <col min="7427" max="7676" width="8.88671875" style="186"/>
    <col min="7677" max="7677" width="5.44140625" style="186" bestFit="1" customWidth="1"/>
    <col min="7678" max="7678" width="69.44140625" style="186" customWidth="1"/>
    <col min="7679" max="7679" width="12.88671875" style="186" bestFit="1" customWidth="1"/>
    <col min="7680" max="7680" width="13.109375" style="186" customWidth="1"/>
    <col min="7681" max="7681" width="12.6640625" style="186" customWidth="1"/>
    <col min="7682" max="7682" width="13.5546875" style="186" customWidth="1"/>
    <col min="7683" max="7932" width="8.88671875" style="186"/>
    <col min="7933" max="7933" width="5.44140625" style="186" bestFit="1" customWidth="1"/>
    <col min="7934" max="7934" width="69.44140625" style="186" customWidth="1"/>
    <col min="7935" max="7935" width="12.88671875" style="186" bestFit="1" customWidth="1"/>
    <col min="7936" max="7936" width="13.109375" style="186" customWidth="1"/>
    <col min="7937" max="7937" width="12.6640625" style="186" customWidth="1"/>
    <col min="7938" max="7938" width="13.5546875" style="186" customWidth="1"/>
    <col min="7939" max="8188" width="8.88671875" style="186"/>
    <col min="8189" max="8189" width="5.44140625" style="186" bestFit="1" customWidth="1"/>
    <col min="8190" max="8190" width="69.44140625" style="186" customWidth="1"/>
    <col min="8191" max="8191" width="12.88671875" style="186" bestFit="1" customWidth="1"/>
    <col min="8192" max="8192" width="13.109375" style="186" customWidth="1"/>
    <col min="8193" max="8193" width="12.6640625" style="186" customWidth="1"/>
    <col min="8194" max="8194" width="13.5546875" style="186" customWidth="1"/>
    <col min="8195" max="8444" width="8.88671875" style="186"/>
    <col min="8445" max="8445" width="5.44140625" style="186" bestFit="1" customWidth="1"/>
    <col min="8446" max="8446" width="69.44140625" style="186" customWidth="1"/>
    <col min="8447" max="8447" width="12.88671875" style="186" bestFit="1" customWidth="1"/>
    <col min="8448" max="8448" width="13.109375" style="186" customWidth="1"/>
    <col min="8449" max="8449" width="12.6640625" style="186" customWidth="1"/>
    <col min="8450" max="8450" width="13.5546875" style="186" customWidth="1"/>
    <col min="8451" max="8700" width="8.88671875" style="186"/>
    <col min="8701" max="8701" width="5.44140625" style="186" bestFit="1" customWidth="1"/>
    <col min="8702" max="8702" width="69.44140625" style="186" customWidth="1"/>
    <col min="8703" max="8703" width="12.88671875" style="186" bestFit="1" customWidth="1"/>
    <col min="8704" max="8704" width="13.109375" style="186" customWidth="1"/>
    <col min="8705" max="8705" width="12.6640625" style="186" customWidth="1"/>
    <col min="8706" max="8706" width="13.5546875" style="186" customWidth="1"/>
    <col min="8707" max="8956" width="8.88671875" style="186"/>
    <col min="8957" max="8957" width="5.44140625" style="186" bestFit="1" customWidth="1"/>
    <col min="8958" max="8958" width="69.44140625" style="186" customWidth="1"/>
    <col min="8959" max="8959" width="12.88671875" style="186" bestFit="1" customWidth="1"/>
    <col min="8960" max="8960" width="13.109375" style="186" customWidth="1"/>
    <col min="8961" max="8961" width="12.6640625" style="186" customWidth="1"/>
    <col min="8962" max="8962" width="13.5546875" style="186" customWidth="1"/>
    <col min="8963" max="9212" width="8.88671875" style="186"/>
    <col min="9213" max="9213" width="5.44140625" style="186" bestFit="1" customWidth="1"/>
    <col min="9214" max="9214" width="69.44140625" style="186" customWidth="1"/>
    <col min="9215" max="9215" width="12.88671875" style="186" bestFit="1" customWidth="1"/>
    <col min="9216" max="9216" width="13.109375" style="186" customWidth="1"/>
    <col min="9217" max="9217" width="12.6640625" style="186" customWidth="1"/>
    <col min="9218" max="9218" width="13.5546875" style="186" customWidth="1"/>
    <col min="9219" max="9468" width="8.88671875" style="186"/>
    <col min="9469" max="9469" width="5.44140625" style="186" bestFit="1" customWidth="1"/>
    <col min="9470" max="9470" width="69.44140625" style="186" customWidth="1"/>
    <col min="9471" max="9471" width="12.88671875" style="186" bestFit="1" customWidth="1"/>
    <col min="9472" max="9472" width="13.109375" style="186" customWidth="1"/>
    <col min="9473" max="9473" width="12.6640625" style="186" customWidth="1"/>
    <col min="9474" max="9474" width="13.5546875" style="186" customWidth="1"/>
    <col min="9475" max="9724" width="8.88671875" style="186"/>
    <col min="9725" max="9725" width="5.44140625" style="186" bestFit="1" customWidth="1"/>
    <col min="9726" max="9726" width="69.44140625" style="186" customWidth="1"/>
    <col min="9727" max="9727" width="12.88671875" style="186" bestFit="1" customWidth="1"/>
    <col min="9728" max="9728" width="13.109375" style="186" customWidth="1"/>
    <col min="9729" max="9729" width="12.6640625" style="186" customWidth="1"/>
    <col min="9730" max="9730" width="13.5546875" style="186" customWidth="1"/>
    <col min="9731" max="9980" width="8.88671875" style="186"/>
    <col min="9981" max="9981" width="5.44140625" style="186" bestFit="1" customWidth="1"/>
    <col min="9982" max="9982" width="69.44140625" style="186" customWidth="1"/>
    <col min="9983" max="9983" width="12.88671875" style="186" bestFit="1" customWidth="1"/>
    <col min="9984" max="9984" width="13.109375" style="186" customWidth="1"/>
    <col min="9985" max="9985" width="12.6640625" style="186" customWidth="1"/>
    <col min="9986" max="9986" width="13.5546875" style="186" customWidth="1"/>
    <col min="9987" max="10236" width="8.88671875" style="186"/>
    <col min="10237" max="10237" width="5.44140625" style="186" bestFit="1" customWidth="1"/>
    <col min="10238" max="10238" width="69.44140625" style="186" customWidth="1"/>
    <col min="10239" max="10239" width="12.88671875" style="186" bestFit="1" customWidth="1"/>
    <col min="10240" max="10240" width="13.109375" style="186" customWidth="1"/>
    <col min="10241" max="10241" width="12.6640625" style="186" customWidth="1"/>
    <col min="10242" max="10242" width="13.5546875" style="186" customWidth="1"/>
    <col min="10243" max="10492" width="8.88671875" style="186"/>
    <col min="10493" max="10493" width="5.44140625" style="186" bestFit="1" customWidth="1"/>
    <col min="10494" max="10494" width="69.44140625" style="186" customWidth="1"/>
    <col min="10495" max="10495" width="12.88671875" style="186" bestFit="1" customWidth="1"/>
    <col min="10496" max="10496" width="13.109375" style="186" customWidth="1"/>
    <col min="10497" max="10497" width="12.6640625" style="186" customWidth="1"/>
    <col min="10498" max="10498" width="13.5546875" style="186" customWidth="1"/>
    <col min="10499" max="10748" width="8.88671875" style="186"/>
    <col min="10749" max="10749" width="5.44140625" style="186" bestFit="1" customWidth="1"/>
    <col min="10750" max="10750" width="69.44140625" style="186" customWidth="1"/>
    <col min="10751" max="10751" width="12.88671875" style="186" bestFit="1" customWidth="1"/>
    <col min="10752" max="10752" width="13.109375" style="186" customWidth="1"/>
    <col min="10753" max="10753" width="12.6640625" style="186" customWidth="1"/>
    <col min="10754" max="10754" width="13.5546875" style="186" customWidth="1"/>
    <col min="10755" max="11004" width="8.88671875" style="186"/>
    <col min="11005" max="11005" width="5.44140625" style="186" bestFit="1" customWidth="1"/>
    <col min="11006" max="11006" width="69.44140625" style="186" customWidth="1"/>
    <col min="11007" max="11007" width="12.88671875" style="186" bestFit="1" customWidth="1"/>
    <col min="11008" max="11008" width="13.109375" style="186" customWidth="1"/>
    <col min="11009" max="11009" width="12.6640625" style="186" customWidth="1"/>
    <col min="11010" max="11010" width="13.5546875" style="186" customWidth="1"/>
    <col min="11011" max="11260" width="8.88671875" style="186"/>
    <col min="11261" max="11261" width="5.44140625" style="186" bestFit="1" customWidth="1"/>
    <col min="11262" max="11262" width="69.44140625" style="186" customWidth="1"/>
    <col min="11263" max="11263" width="12.88671875" style="186" bestFit="1" customWidth="1"/>
    <col min="11264" max="11264" width="13.109375" style="186" customWidth="1"/>
    <col min="11265" max="11265" width="12.6640625" style="186" customWidth="1"/>
    <col min="11266" max="11266" width="13.5546875" style="186" customWidth="1"/>
    <col min="11267" max="11516" width="8.88671875" style="186"/>
    <col min="11517" max="11517" width="5.44140625" style="186" bestFit="1" customWidth="1"/>
    <col min="11518" max="11518" width="69.44140625" style="186" customWidth="1"/>
    <col min="11519" max="11519" width="12.88671875" style="186" bestFit="1" customWidth="1"/>
    <col min="11520" max="11520" width="13.109375" style="186" customWidth="1"/>
    <col min="11521" max="11521" width="12.6640625" style="186" customWidth="1"/>
    <col min="11522" max="11522" width="13.5546875" style="186" customWidth="1"/>
    <col min="11523" max="11772" width="8.88671875" style="186"/>
    <col min="11773" max="11773" width="5.44140625" style="186" bestFit="1" customWidth="1"/>
    <col min="11774" max="11774" width="69.44140625" style="186" customWidth="1"/>
    <col min="11775" max="11775" width="12.88671875" style="186" bestFit="1" customWidth="1"/>
    <col min="11776" max="11776" width="13.109375" style="186" customWidth="1"/>
    <col min="11777" max="11777" width="12.6640625" style="186" customWidth="1"/>
    <col min="11778" max="11778" width="13.5546875" style="186" customWidth="1"/>
    <col min="11779" max="12028" width="8.88671875" style="186"/>
    <col min="12029" max="12029" width="5.44140625" style="186" bestFit="1" customWidth="1"/>
    <col min="12030" max="12030" width="69.44140625" style="186" customWidth="1"/>
    <col min="12031" max="12031" width="12.88671875" style="186" bestFit="1" customWidth="1"/>
    <col min="12032" max="12032" width="13.109375" style="186" customWidth="1"/>
    <col min="12033" max="12033" width="12.6640625" style="186" customWidth="1"/>
    <col min="12034" max="12034" width="13.5546875" style="186" customWidth="1"/>
    <col min="12035" max="12284" width="8.88671875" style="186"/>
    <col min="12285" max="12285" width="5.44140625" style="186" bestFit="1" customWidth="1"/>
    <col min="12286" max="12286" width="69.44140625" style="186" customWidth="1"/>
    <col min="12287" max="12287" width="12.88671875" style="186" bestFit="1" customWidth="1"/>
    <col min="12288" max="12288" width="13.109375" style="186" customWidth="1"/>
    <col min="12289" max="12289" width="12.6640625" style="186" customWidth="1"/>
    <col min="12290" max="12290" width="13.5546875" style="186" customWidth="1"/>
    <col min="12291" max="12540" width="8.88671875" style="186"/>
    <col min="12541" max="12541" width="5.44140625" style="186" bestFit="1" customWidth="1"/>
    <col min="12542" max="12542" width="69.44140625" style="186" customWidth="1"/>
    <col min="12543" max="12543" width="12.88671875" style="186" bestFit="1" customWidth="1"/>
    <col min="12544" max="12544" width="13.109375" style="186" customWidth="1"/>
    <col min="12545" max="12545" width="12.6640625" style="186" customWidth="1"/>
    <col min="12546" max="12546" width="13.5546875" style="186" customWidth="1"/>
    <col min="12547" max="12796" width="8.88671875" style="186"/>
    <col min="12797" max="12797" width="5.44140625" style="186" bestFit="1" customWidth="1"/>
    <col min="12798" max="12798" width="69.44140625" style="186" customWidth="1"/>
    <col min="12799" max="12799" width="12.88671875" style="186" bestFit="1" customWidth="1"/>
    <col min="12800" max="12800" width="13.109375" style="186" customWidth="1"/>
    <col min="12801" max="12801" width="12.6640625" style="186" customWidth="1"/>
    <col min="12802" max="12802" width="13.5546875" style="186" customWidth="1"/>
    <col min="12803" max="13052" width="8.88671875" style="186"/>
    <col min="13053" max="13053" width="5.44140625" style="186" bestFit="1" customWidth="1"/>
    <col min="13054" max="13054" width="69.44140625" style="186" customWidth="1"/>
    <col min="13055" max="13055" width="12.88671875" style="186" bestFit="1" customWidth="1"/>
    <col min="13056" max="13056" width="13.109375" style="186" customWidth="1"/>
    <col min="13057" max="13057" width="12.6640625" style="186" customWidth="1"/>
    <col min="13058" max="13058" width="13.5546875" style="186" customWidth="1"/>
    <col min="13059" max="13308" width="8.88671875" style="186"/>
    <col min="13309" max="13309" width="5.44140625" style="186" bestFit="1" customWidth="1"/>
    <col min="13310" max="13310" width="69.44140625" style="186" customWidth="1"/>
    <col min="13311" max="13311" width="12.88671875" style="186" bestFit="1" customWidth="1"/>
    <col min="13312" max="13312" width="13.109375" style="186" customWidth="1"/>
    <col min="13313" max="13313" width="12.6640625" style="186" customWidth="1"/>
    <col min="13314" max="13314" width="13.5546875" style="186" customWidth="1"/>
    <col min="13315" max="13564" width="8.88671875" style="186"/>
    <col min="13565" max="13565" width="5.44140625" style="186" bestFit="1" customWidth="1"/>
    <col min="13566" max="13566" width="69.44140625" style="186" customWidth="1"/>
    <col min="13567" max="13567" width="12.88671875" style="186" bestFit="1" customWidth="1"/>
    <col min="13568" max="13568" width="13.109375" style="186" customWidth="1"/>
    <col min="13569" max="13569" width="12.6640625" style="186" customWidth="1"/>
    <col min="13570" max="13570" width="13.5546875" style="186" customWidth="1"/>
    <col min="13571" max="13820" width="8.88671875" style="186"/>
    <col min="13821" max="13821" width="5.44140625" style="186" bestFit="1" customWidth="1"/>
    <col min="13822" max="13822" width="69.44140625" style="186" customWidth="1"/>
    <col min="13823" max="13823" width="12.88671875" style="186" bestFit="1" customWidth="1"/>
    <col min="13824" max="13824" width="13.109375" style="186" customWidth="1"/>
    <col min="13825" max="13825" width="12.6640625" style="186" customWidth="1"/>
    <col min="13826" max="13826" width="13.5546875" style="186" customWidth="1"/>
    <col min="13827" max="14076" width="8.88671875" style="186"/>
    <col min="14077" max="14077" width="5.44140625" style="186" bestFit="1" customWidth="1"/>
    <col min="14078" max="14078" width="69.44140625" style="186" customWidth="1"/>
    <col min="14079" max="14079" width="12.88671875" style="186" bestFit="1" customWidth="1"/>
    <col min="14080" max="14080" width="13.109375" style="186" customWidth="1"/>
    <col min="14081" max="14081" width="12.6640625" style="186" customWidth="1"/>
    <col min="14082" max="14082" width="13.5546875" style="186" customWidth="1"/>
    <col min="14083" max="14332" width="8.88671875" style="186"/>
    <col min="14333" max="14333" width="5.44140625" style="186" bestFit="1" customWidth="1"/>
    <col min="14334" max="14334" width="69.44140625" style="186" customWidth="1"/>
    <col min="14335" max="14335" width="12.88671875" style="186" bestFit="1" customWidth="1"/>
    <col min="14336" max="14336" width="13.109375" style="186" customWidth="1"/>
    <col min="14337" max="14337" width="12.6640625" style="186" customWidth="1"/>
    <col min="14338" max="14338" width="13.5546875" style="186" customWidth="1"/>
    <col min="14339" max="14588" width="8.88671875" style="186"/>
    <col min="14589" max="14589" width="5.44140625" style="186" bestFit="1" customWidth="1"/>
    <col min="14590" max="14590" width="69.44140625" style="186" customWidth="1"/>
    <col min="14591" max="14591" width="12.88671875" style="186" bestFit="1" customWidth="1"/>
    <col min="14592" max="14592" width="13.109375" style="186" customWidth="1"/>
    <col min="14593" max="14593" width="12.6640625" style="186" customWidth="1"/>
    <col min="14594" max="14594" width="13.5546875" style="186" customWidth="1"/>
    <col min="14595" max="14844" width="8.88671875" style="186"/>
    <col min="14845" max="14845" width="5.44140625" style="186" bestFit="1" customWidth="1"/>
    <col min="14846" max="14846" width="69.44140625" style="186" customWidth="1"/>
    <col min="14847" max="14847" width="12.88671875" style="186" bestFit="1" customWidth="1"/>
    <col min="14848" max="14848" width="13.109375" style="186" customWidth="1"/>
    <col min="14849" max="14849" width="12.6640625" style="186" customWidth="1"/>
    <col min="14850" max="14850" width="13.5546875" style="186" customWidth="1"/>
    <col min="14851" max="15100" width="8.88671875" style="186"/>
    <col min="15101" max="15101" width="5.44140625" style="186" bestFit="1" customWidth="1"/>
    <col min="15102" max="15102" width="69.44140625" style="186" customWidth="1"/>
    <col min="15103" max="15103" width="12.88671875" style="186" bestFit="1" customWidth="1"/>
    <col min="15104" max="15104" width="13.109375" style="186" customWidth="1"/>
    <col min="15105" max="15105" width="12.6640625" style="186" customWidth="1"/>
    <col min="15106" max="15106" width="13.5546875" style="186" customWidth="1"/>
    <col min="15107" max="15356" width="8.88671875" style="186"/>
    <col min="15357" max="15357" width="5.44140625" style="186" bestFit="1" customWidth="1"/>
    <col min="15358" max="15358" width="69.44140625" style="186" customWidth="1"/>
    <col min="15359" max="15359" width="12.88671875" style="186" bestFit="1" customWidth="1"/>
    <col min="15360" max="15360" width="13.109375" style="186" customWidth="1"/>
    <col min="15361" max="15361" width="12.6640625" style="186" customWidth="1"/>
    <col min="15362" max="15362" width="13.5546875" style="186" customWidth="1"/>
    <col min="15363" max="15612" width="8.88671875" style="186"/>
    <col min="15613" max="15613" width="5.44140625" style="186" bestFit="1" customWidth="1"/>
    <col min="15614" max="15614" width="69.44140625" style="186" customWidth="1"/>
    <col min="15615" max="15615" width="12.88671875" style="186" bestFit="1" customWidth="1"/>
    <col min="15616" max="15616" width="13.109375" style="186" customWidth="1"/>
    <col min="15617" max="15617" width="12.6640625" style="186" customWidth="1"/>
    <col min="15618" max="15618" width="13.5546875" style="186" customWidth="1"/>
    <col min="15619" max="15868" width="8.88671875" style="186"/>
    <col min="15869" max="15869" width="5.44140625" style="186" bestFit="1" customWidth="1"/>
    <col min="15870" max="15870" width="69.44140625" style="186" customWidth="1"/>
    <col min="15871" max="15871" width="12.88671875" style="186" bestFit="1" customWidth="1"/>
    <col min="15872" max="15872" width="13.109375" style="186" customWidth="1"/>
    <col min="15873" max="15873" width="12.6640625" style="186" customWidth="1"/>
    <col min="15874" max="15874" width="13.5546875" style="186" customWidth="1"/>
    <col min="15875" max="16124" width="8.88671875" style="186"/>
    <col min="16125" max="16125" width="5.44140625" style="186" bestFit="1" customWidth="1"/>
    <col min="16126" max="16126" width="69.44140625" style="186" customWidth="1"/>
    <col min="16127" max="16127" width="12.88671875" style="186" bestFit="1" customWidth="1"/>
    <col min="16128" max="16128" width="13.109375" style="186" customWidth="1"/>
    <col min="16129" max="16129" width="12.6640625" style="186" customWidth="1"/>
    <col min="16130" max="16130" width="13.5546875" style="186" customWidth="1"/>
    <col min="16131" max="16384" width="8.88671875" style="186"/>
  </cols>
  <sheetData>
    <row r="1" spans="1:9" x14ac:dyDescent="0.25">
      <c r="A1" s="11"/>
      <c r="B1" s="11"/>
      <c r="C1" s="11"/>
      <c r="D1" s="11"/>
      <c r="E1" s="11"/>
    </row>
    <row r="2" spans="1:9" x14ac:dyDescent="0.25">
      <c r="A2" s="12" t="s">
        <v>95</v>
      </c>
      <c r="B2" s="13"/>
      <c r="C2" s="13"/>
      <c r="D2" s="13"/>
      <c r="E2" s="13"/>
    </row>
    <row r="3" spans="1:9" x14ac:dyDescent="0.25">
      <c r="A3" s="12" t="s">
        <v>96</v>
      </c>
      <c r="B3" s="13"/>
      <c r="C3" s="13"/>
      <c r="D3" s="13"/>
      <c r="E3" s="13"/>
    </row>
    <row r="4" spans="1:9" x14ac:dyDescent="0.25">
      <c r="A4" s="12" t="s">
        <v>97</v>
      </c>
      <c r="B4" s="13"/>
      <c r="C4" s="13"/>
      <c r="D4" s="13"/>
      <c r="E4" s="13"/>
    </row>
    <row r="5" spans="1:9" x14ac:dyDescent="0.25">
      <c r="A5" s="12" t="s">
        <v>98</v>
      </c>
      <c r="B5" s="13"/>
      <c r="C5" s="13"/>
      <c r="D5" s="13"/>
      <c r="E5" s="13"/>
    </row>
    <row r="6" spans="1:9" x14ac:dyDescent="0.25">
      <c r="A6" s="11"/>
      <c r="B6" s="14"/>
      <c r="C6" s="14"/>
      <c r="D6" s="14"/>
      <c r="E6" s="14"/>
    </row>
    <row r="7" spans="1:9" x14ac:dyDescent="0.25">
      <c r="A7" s="15" t="s">
        <v>99</v>
      </c>
      <c r="B7" s="16"/>
      <c r="C7" s="16"/>
      <c r="D7" s="16"/>
      <c r="E7" s="16"/>
    </row>
    <row r="8" spans="1:9" x14ac:dyDescent="0.25">
      <c r="A8" s="17" t="s">
        <v>100</v>
      </c>
      <c r="B8" s="18" t="s">
        <v>101</v>
      </c>
      <c r="C8" s="19"/>
      <c r="D8" s="19"/>
      <c r="E8" s="18" t="s">
        <v>102</v>
      </c>
    </row>
    <row r="9" spans="1:9" x14ac:dyDescent="0.25">
      <c r="A9" s="20"/>
      <c r="B9" s="20"/>
      <c r="C9" s="20"/>
      <c r="D9" s="20"/>
      <c r="E9" s="20"/>
    </row>
    <row r="10" spans="1:9" x14ac:dyDescent="0.25">
      <c r="A10" s="21"/>
      <c r="B10" s="22" t="s">
        <v>103</v>
      </c>
      <c r="C10" s="22"/>
      <c r="D10" s="23"/>
      <c r="E10" s="23"/>
    </row>
    <row r="11" spans="1:9" x14ac:dyDescent="0.25">
      <c r="A11" s="24">
        <v>1</v>
      </c>
      <c r="B11" s="25"/>
      <c r="C11" s="25" t="s">
        <v>104</v>
      </c>
      <c r="D11" s="25" t="s">
        <v>105</v>
      </c>
      <c r="E11" s="25" t="s">
        <v>21</v>
      </c>
    </row>
    <row r="12" spans="1:9" x14ac:dyDescent="0.25">
      <c r="A12" s="24">
        <f t="shared" ref="A12:A33" si="0">A11+1</f>
        <v>2</v>
      </c>
      <c r="B12" s="26" t="s">
        <v>106</v>
      </c>
      <c r="C12" s="26"/>
      <c r="D12" s="26"/>
      <c r="E12" s="27"/>
    </row>
    <row r="13" spans="1:9" x14ac:dyDescent="0.25">
      <c r="A13" s="24">
        <f t="shared" si="0"/>
        <v>3</v>
      </c>
      <c r="B13" s="28" t="s">
        <v>107</v>
      </c>
      <c r="C13" s="29">
        <v>349350.51</v>
      </c>
      <c r="D13" s="29">
        <v>9163881.7299999986</v>
      </c>
      <c r="E13" s="29">
        <f t="shared" ref="E13:E18" si="1">SUM(C13:D13)</f>
        <v>9513232.2399999984</v>
      </c>
      <c r="G13" s="29"/>
      <c r="H13" s="29"/>
      <c r="I13" s="29"/>
    </row>
    <row r="14" spans="1:9" x14ac:dyDescent="0.25">
      <c r="A14" s="24">
        <f t="shared" si="0"/>
        <v>4</v>
      </c>
      <c r="B14" s="28" t="s">
        <v>108</v>
      </c>
      <c r="C14" s="30">
        <v>505310.57</v>
      </c>
      <c r="D14" s="30">
        <v>11176182.680000002</v>
      </c>
      <c r="E14" s="30">
        <f t="shared" si="1"/>
        <v>11681493.250000002</v>
      </c>
      <c r="G14" s="30"/>
      <c r="H14" s="30"/>
      <c r="I14" s="30"/>
    </row>
    <row r="15" spans="1:9" x14ac:dyDescent="0.25">
      <c r="A15" s="24">
        <f t="shared" si="0"/>
        <v>5</v>
      </c>
      <c r="B15" s="28" t="s">
        <v>109</v>
      </c>
      <c r="C15" s="30">
        <v>588383.06999999995</v>
      </c>
      <c r="D15" s="30">
        <v>10572644.470000001</v>
      </c>
      <c r="E15" s="30">
        <f t="shared" si="1"/>
        <v>11161027.540000001</v>
      </c>
      <c r="G15" s="30"/>
      <c r="H15" s="30"/>
      <c r="I15" s="30"/>
    </row>
    <row r="16" spans="1:9" x14ac:dyDescent="0.25">
      <c r="A16" s="24">
        <f t="shared" si="0"/>
        <v>6</v>
      </c>
      <c r="B16" s="28" t="s">
        <v>110</v>
      </c>
      <c r="C16" s="30">
        <v>292660.62</v>
      </c>
      <c r="D16" s="30">
        <v>9249534.4400000013</v>
      </c>
      <c r="E16" s="30">
        <f t="shared" si="1"/>
        <v>9542195.0600000005</v>
      </c>
      <c r="G16" s="30"/>
      <c r="H16" s="30"/>
      <c r="I16" s="30"/>
    </row>
    <row r="17" spans="1:9" x14ac:dyDescent="0.25">
      <c r="A17" s="24">
        <f t="shared" si="0"/>
        <v>7</v>
      </c>
      <c r="B17" s="28" t="s">
        <v>111</v>
      </c>
      <c r="C17" s="30">
        <v>560519.69999999995</v>
      </c>
      <c r="D17" s="30">
        <v>8645867.5700000003</v>
      </c>
      <c r="E17" s="31">
        <f t="shared" si="1"/>
        <v>9206387.2699999996</v>
      </c>
      <c r="G17" s="30"/>
      <c r="H17" s="30"/>
      <c r="I17" s="31"/>
    </row>
    <row r="18" spans="1:9" x14ac:dyDescent="0.25">
      <c r="A18" s="24">
        <f t="shared" si="0"/>
        <v>8</v>
      </c>
      <c r="B18" s="28" t="s">
        <v>112</v>
      </c>
      <c r="C18" s="32">
        <v>591854.06999999995</v>
      </c>
      <c r="D18" s="32">
        <v>10149755.049999999</v>
      </c>
      <c r="E18" s="33">
        <f t="shared" si="1"/>
        <v>10741609.119999999</v>
      </c>
      <c r="G18" s="30"/>
      <c r="H18" s="30"/>
      <c r="I18" s="31"/>
    </row>
    <row r="19" spans="1:9" x14ac:dyDescent="0.25">
      <c r="A19" s="24">
        <f t="shared" si="0"/>
        <v>9</v>
      </c>
      <c r="B19" s="34" t="s">
        <v>113</v>
      </c>
      <c r="C19" s="35">
        <f>SUM(C13:C18)</f>
        <v>2888078.5399999996</v>
      </c>
      <c r="D19" s="35">
        <f>SUM(D13:D18)</f>
        <v>58957865.940000005</v>
      </c>
      <c r="E19" s="35">
        <f>SUM(E13:E18)</f>
        <v>61845944.479999997</v>
      </c>
      <c r="G19" s="30"/>
      <c r="H19" s="30"/>
      <c r="I19" s="31"/>
    </row>
    <row r="20" spans="1:9" x14ac:dyDescent="0.25">
      <c r="A20" s="24">
        <f t="shared" si="0"/>
        <v>10</v>
      </c>
      <c r="B20" s="20"/>
      <c r="C20" s="36"/>
      <c r="D20" s="36"/>
      <c r="E20" s="36"/>
      <c r="G20" s="30"/>
      <c r="H20" s="30"/>
      <c r="I20" s="31"/>
    </row>
    <row r="21" spans="1:9" x14ac:dyDescent="0.25">
      <c r="A21" s="24">
        <f t="shared" si="0"/>
        <v>11</v>
      </c>
      <c r="B21" s="20" t="s">
        <v>114</v>
      </c>
      <c r="C21" s="36">
        <f>C19/6</f>
        <v>481346.42333333328</v>
      </c>
      <c r="D21" s="36">
        <f>D19/6</f>
        <v>9826310.9900000002</v>
      </c>
      <c r="E21" s="31">
        <f>+E19/6</f>
        <v>10307657.413333332</v>
      </c>
      <c r="G21" s="30"/>
      <c r="H21" s="30"/>
      <c r="I21" s="31"/>
    </row>
    <row r="22" spans="1:9" x14ac:dyDescent="0.25">
      <c r="A22" s="24">
        <f t="shared" si="0"/>
        <v>12</v>
      </c>
      <c r="B22" s="20"/>
      <c r="C22" s="36"/>
      <c r="D22" s="36"/>
      <c r="E22" s="36"/>
      <c r="G22" s="30"/>
      <c r="H22" s="30"/>
      <c r="I22" s="31"/>
    </row>
    <row r="23" spans="1:9" x14ac:dyDescent="0.25">
      <c r="A23" s="24">
        <f t="shared" si="0"/>
        <v>13</v>
      </c>
      <c r="B23" s="37" t="s">
        <v>115</v>
      </c>
      <c r="C23" s="38"/>
      <c r="D23" s="38"/>
      <c r="E23" s="36"/>
      <c r="G23" s="30"/>
      <c r="H23" s="30"/>
      <c r="I23" s="31"/>
    </row>
    <row r="24" spans="1:9" x14ac:dyDescent="0.25">
      <c r="A24" s="24">
        <f t="shared" si="0"/>
        <v>14</v>
      </c>
      <c r="B24" s="39" t="s">
        <v>116</v>
      </c>
      <c r="C24" s="33">
        <v>588691.1</v>
      </c>
      <c r="D24" s="33">
        <v>9705041.1899999995</v>
      </c>
      <c r="E24" s="33">
        <f t="shared" ref="E24" si="2">SUM(C24:D24)</f>
        <v>10293732.289999999</v>
      </c>
      <c r="G24" s="30"/>
      <c r="H24" s="30"/>
      <c r="I24" s="31"/>
    </row>
    <row r="25" spans="1:9" x14ac:dyDescent="0.25">
      <c r="A25" s="24">
        <f t="shared" si="0"/>
        <v>15</v>
      </c>
      <c r="B25" s="20"/>
      <c r="C25" s="36"/>
      <c r="D25" s="36"/>
      <c r="E25" s="36"/>
      <c r="G25" s="30"/>
      <c r="H25" s="30"/>
      <c r="I25" s="31"/>
    </row>
    <row r="26" spans="1:9" ht="14.4" customHeight="1" x14ac:dyDescent="0.25">
      <c r="A26" s="24">
        <f t="shared" si="0"/>
        <v>16</v>
      </c>
      <c r="B26" s="40" t="s">
        <v>117</v>
      </c>
      <c r="C26" s="31">
        <f>C21-C24</f>
        <v>-107344.6766666667</v>
      </c>
      <c r="D26" s="31">
        <f>D21-D24</f>
        <v>121269.80000000075</v>
      </c>
      <c r="E26" s="31">
        <f>E21-E24</f>
        <v>13925.12333333306</v>
      </c>
      <c r="G26" s="30"/>
      <c r="H26" s="30"/>
      <c r="I26" s="31"/>
    </row>
    <row r="27" spans="1:9" ht="14.4" customHeight="1" x14ac:dyDescent="0.25">
      <c r="A27" s="24">
        <f t="shared" si="0"/>
        <v>17</v>
      </c>
      <c r="B27" s="20"/>
      <c r="C27" s="36"/>
      <c r="D27" s="36"/>
      <c r="E27" s="36"/>
      <c r="G27" s="30"/>
      <c r="H27" s="30"/>
      <c r="I27" s="31"/>
    </row>
    <row r="28" spans="1:9" ht="14.4" customHeight="1" x14ac:dyDescent="0.25">
      <c r="A28" s="24">
        <f t="shared" si="0"/>
        <v>18</v>
      </c>
      <c r="B28" s="41" t="s">
        <v>118</v>
      </c>
      <c r="C28" s="36"/>
      <c r="D28" s="42">
        <v>0.21</v>
      </c>
      <c r="E28" s="33">
        <f>-E26*D28</f>
        <v>-2924.2758999999423</v>
      </c>
      <c r="G28" s="30"/>
      <c r="H28" s="30"/>
      <c r="I28" s="31"/>
    </row>
    <row r="29" spans="1:9" ht="14.4" customHeight="1" x14ac:dyDescent="0.25">
      <c r="A29" s="24">
        <f t="shared" si="0"/>
        <v>19</v>
      </c>
      <c r="B29" s="20"/>
      <c r="C29" s="36"/>
      <c r="D29" s="36"/>
      <c r="E29" s="36"/>
      <c r="G29" s="30"/>
      <c r="H29" s="30"/>
      <c r="I29" s="31"/>
    </row>
    <row r="30" spans="1:9" ht="14.4" customHeight="1" thickBot="1" x14ac:dyDescent="0.3">
      <c r="A30" s="24">
        <f t="shared" si="0"/>
        <v>20</v>
      </c>
      <c r="B30" s="41" t="s">
        <v>119</v>
      </c>
      <c r="C30" s="36"/>
      <c r="D30" s="36"/>
      <c r="E30" s="43">
        <f>-E26-E28</f>
        <v>-11000.847433333118</v>
      </c>
      <c r="G30" s="30"/>
      <c r="H30" s="30"/>
      <c r="I30" s="31"/>
    </row>
    <row r="31" spans="1:9" ht="14.4" thickTop="1" x14ac:dyDescent="0.25">
      <c r="A31" s="24">
        <f t="shared" si="0"/>
        <v>21</v>
      </c>
      <c r="C31" s="187"/>
      <c r="G31" s="30"/>
      <c r="H31" s="30"/>
      <c r="I31" s="31"/>
    </row>
    <row r="32" spans="1:9" x14ac:dyDescent="0.25">
      <c r="A32" s="24">
        <f t="shared" si="0"/>
        <v>22</v>
      </c>
      <c r="C32" s="187"/>
    </row>
    <row r="33" spans="1:10" ht="14.4" thickBot="1" x14ac:dyDescent="0.3">
      <c r="A33" s="24">
        <f t="shared" si="0"/>
        <v>23</v>
      </c>
      <c r="B33" s="22" t="s">
        <v>120</v>
      </c>
      <c r="C33" s="22"/>
      <c r="D33" s="23"/>
      <c r="E33" s="23"/>
      <c r="G33" s="188" t="s">
        <v>121</v>
      </c>
    </row>
    <row r="34" spans="1:10" x14ac:dyDescent="0.25">
      <c r="A34" s="24">
        <v>24</v>
      </c>
      <c r="B34" s="44" t="s">
        <v>122</v>
      </c>
      <c r="D34" s="45" t="s">
        <v>123</v>
      </c>
      <c r="E34" s="46" t="s">
        <v>124</v>
      </c>
      <c r="G34" s="189"/>
      <c r="H34" s="47" t="s">
        <v>123</v>
      </c>
      <c r="I34" s="75" t="s">
        <v>124</v>
      </c>
    </row>
    <row r="35" spans="1:10" x14ac:dyDescent="0.25">
      <c r="A35" s="24">
        <v>25</v>
      </c>
      <c r="B35" s="48" t="s">
        <v>125</v>
      </c>
      <c r="D35" s="49" t="s">
        <v>126</v>
      </c>
      <c r="E35" s="35" t="s">
        <v>127</v>
      </c>
      <c r="G35" s="190"/>
      <c r="H35" s="50" t="s">
        <v>126</v>
      </c>
      <c r="I35" s="76" t="s">
        <v>127</v>
      </c>
    </row>
    <row r="36" spans="1:10" x14ac:dyDescent="0.25">
      <c r="A36" s="24">
        <v>26</v>
      </c>
      <c r="B36" s="51"/>
      <c r="D36" s="52"/>
      <c r="E36" s="36"/>
      <c r="G36" s="191" t="s">
        <v>128</v>
      </c>
      <c r="H36" s="192" t="s">
        <v>128</v>
      </c>
      <c r="I36" s="193" t="s">
        <v>128</v>
      </c>
      <c r="J36" s="186" t="s">
        <v>129</v>
      </c>
    </row>
    <row r="37" spans="1:10" x14ac:dyDescent="0.25">
      <c r="A37" s="24">
        <v>27</v>
      </c>
      <c r="B37" s="51" t="s">
        <v>130</v>
      </c>
      <c r="D37" s="53">
        <v>16261541.159999998</v>
      </c>
      <c r="E37" s="68">
        <f>+E69</f>
        <v>4764806.4960000021</v>
      </c>
      <c r="G37" s="194"/>
      <c r="H37" s="54">
        <v>16261541.159999998</v>
      </c>
      <c r="I37" s="77">
        <v>16261541.159999998</v>
      </c>
      <c r="J37" s="195">
        <f>+E37-I37</f>
        <v>-11496734.663999997</v>
      </c>
    </row>
    <row r="38" spans="1:10" x14ac:dyDescent="0.25">
      <c r="A38" s="24">
        <v>28</v>
      </c>
      <c r="B38" s="51" t="s">
        <v>131</v>
      </c>
      <c r="D38" s="53">
        <v>9061378.8000000026</v>
      </c>
      <c r="E38" s="36">
        <f>+E70</f>
        <v>6387808.3741935575</v>
      </c>
      <c r="G38" s="196"/>
      <c r="H38" s="55">
        <v>9061378.8000000026</v>
      </c>
      <c r="I38" s="78">
        <v>9061378.8000000026</v>
      </c>
      <c r="J38" s="195">
        <f>+E38-I38</f>
        <v>-2673570.4258064451</v>
      </c>
    </row>
    <row r="39" spans="1:10" x14ac:dyDescent="0.25">
      <c r="A39" s="24">
        <v>29</v>
      </c>
      <c r="B39" s="56"/>
      <c r="C39" s="57"/>
      <c r="D39" s="36"/>
      <c r="E39" s="36"/>
      <c r="G39" s="58"/>
      <c r="H39" s="59"/>
      <c r="I39" s="79"/>
      <c r="J39" s="195"/>
    </row>
    <row r="40" spans="1:10" x14ac:dyDescent="0.25">
      <c r="A40" s="24">
        <v>30</v>
      </c>
      <c r="B40" s="44" t="s">
        <v>132</v>
      </c>
      <c r="C40" s="57"/>
      <c r="D40" s="36"/>
      <c r="E40" s="36"/>
      <c r="G40" s="58"/>
      <c r="H40" s="59"/>
      <c r="I40" s="79"/>
      <c r="J40" s="195"/>
    </row>
    <row r="41" spans="1:10" ht="14.4" x14ac:dyDescent="0.3">
      <c r="A41" s="24">
        <v>31</v>
      </c>
      <c r="B41" s="56" t="s">
        <v>133</v>
      </c>
      <c r="C41" s="60">
        <v>12707858.34</v>
      </c>
      <c r="D41" s="36"/>
      <c r="E41" s="36"/>
      <c r="G41" s="61">
        <v>12707858.34</v>
      </c>
      <c r="H41" s="59"/>
      <c r="I41" s="79"/>
      <c r="J41" s="195"/>
    </row>
    <row r="42" spans="1:10" ht="14.4" x14ac:dyDescent="0.3">
      <c r="A42" s="24">
        <v>33</v>
      </c>
      <c r="B42" s="56" t="s">
        <v>134</v>
      </c>
      <c r="C42" s="60">
        <v>12865110.050000001</v>
      </c>
      <c r="D42" s="36"/>
      <c r="E42" s="36"/>
      <c r="G42" s="61">
        <v>12865110.050000001</v>
      </c>
      <c r="H42" s="59"/>
      <c r="I42" s="79"/>
      <c r="J42" s="195"/>
    </row>
    <row r="43" spans="1:10" ht="14.4" x14ac:dyDescent="0.3">
      <c r="A43" s="24">
        <v>34</v>
      </c>
      <c r="B43" s="56" t="s">
        <v>135</v>
      </c>
      <c r="C43" s="60">
        <v>28512102.969999999</v>
      </c>
      <c r="D43" s="36"/>
      <c r="E43" s="36"/>
      <c r="G43" s="61">
        <v>28512102.969999999</v>
      </c>
      <c r="H43" s="59"/>
      <c r="I43" s="79"/>
      <c r="J43" s="195"/>
    </row>
    <row r="44" spans="1:10" x14ac:dyDescent="0.25">
      <c r="A44" s="24">
        <v>34</v>
      </c>
      <c r="B44" s="48" t="s">
        <v>136</v>
      </c>
      <c r="C44" s="62">
        <f>SUM(C41:C43)</f>
        <v>54085071.359999999</v>
      </c>
      <c r="D44" s="36"/>
      <c r="E44" s="36"/>
      <c r="G44" s="63">
        <v>54085071.359999999</v>
      </c>
      <c r="H44" s="59"/>
      <c r="I44" s="79"/>
      <c r="J44" s="195"/>
    </row>
    <row r="45" spans="1:10" x14ac:dyDescent="0.25">
      <c r="A45" s="24">
        <v>35</v>
      </c>
      <c r="B45" s="48"/>
      <c r="D45" s="197"/>
      <c r="E45" s="198"/>
      <c r="G45" s="196"/>
      <c r="H45" s="199"/>
      <c r="I45" s="200"/>
      <c r="J45" s="195"/>
    </row>
    <row r="46" spans="1:10" x14ac:dyDescent="0.25">
      <c r="A46" s="24">
        <v>36</v>
      </c>
      <c r="B46" s="48" t="s">
        <v>137</v>
      </c>
      <c r="C46" s="64"/>
      <c r="E46" s="80">
        <f>+E71</f>
        <v>10693720.104</v>
      </c>
      <c r="G46" s="65"/>
      <c r="H46" s="199"/>
      <c r="I46" s="81">
        <f>(C44/48)*12</f>
        <v>13521267.84</v>
      </c>
      <c r="J46" s="195">
        <f>+E46-I46</f>
        <v>-2827547.7359999996</v>
      </c>
    </row>
    <row r="47" spans="1:10" x14ac:dyDescent="0.25">
      <c r="A47" s="24">
        <v>37</v>
      </c>
      <c r="B47" s="48"/>
      <c r="C47" s="36"/>
      <c r="D47" s="66"/>
      <c r="E47" s="31"/>
      <c r="G47" s="65"/>
      <c r="H47" s="67"/>
      <c r="I47" s="79"/>
      <c r="J47" s="195"/>
    </row>
    <row r="48" spans="1:10" ht="14.4" thickBot="1" x14ac:dyDescent="0.3">
      <c r="A48" s="24">
        <v>38</v>
      </c>
      <c r="B48" s="48" t="s">
        <v>138</v>
      </c>
      <c r="C48" s="31"/>
      <c r="D48" s="66"/>
      <c r="E48" s="68">
        <f>SUM(E37:E46)</f>
        <v>21846334.974193558</v>
      </c>
      <c r="G48" s="69"/>
      <c r="H48" s="70"/>
      <c r="I48" s="82">
        <f>+I46+I37+I38</f>
        <v>38844187.800000004</v>
      </c>
      <c r="J48" s="195">
        <f>SUM(J37:J46)</f>
        <v>-16997852.825806439</v>
      </c>
    </row>
    <row r="49" spans="1:9" x14ac:dyDescent="0.25">
      <c r="A49" s="24">
        <v>39</v>
      </c>
    </row>
    <row r="50" spans="1:9" x14ac:dyDescent="0.25">
      <c r="A50" s="24">
        <v>40</v>
      </c>
      <c r="B50" s="48" t="s">
        <v>139</v>
      </c>
      <c r="C50" s="36"/>
      <c r="D50" s="33">
        <v>25322916</v>
      </c>
      <c r="E50" s="31"/>
    </row>
    <row r="51" spans="1:9" x14ac:dyDescent="0.25">
      <c r="A51" s="24">
        <v>41</v>
      </c>
      <c r="B51" s="48"/>
      <c r="C51" s="36"/>
      <c r="D51" s="36"/>
    </row>
    <row r="52" spans="1:9" x14ac:dyDescent="0.25">
      <c r="A52" s="24">
        <v>42</v>
      </c>
      <c r="B52" s="40" t="s">
        <v>140</v>
      </c>
      <c r="C52" s="71"/>
      <c r="D52" s="36"/>
      <c r="E52" s="31">
        <f>+E48-D50</f>
        <v>-3476581.0258064419</v>
      </c>
    </row>
    <row r="53" spans="1:9" x14ac:dyDescent="0.25">
      <c r="A53" s="24">
        <v>43</v>
      </c>
      <c r="B53" s="48"/>
      <c r="C53" s="36"/>
      <c r="D53" s="36"/>
      <c r="E53" s="31"/>
      <c r="G53" s="72"/>
    </row>
    <row r="54" spans="1:9" x14ac:dyDescent="0.25">
      <c r="A54" s="24">
        <v>44</v>
      </c>
      <c r="B54" s="72" t="s">
        <v>141</v>
      </c>
      <c r="C54" s="38"/>
      <c r="D54" s="73"/>
      <c r="E54" s="31"/>
      <c r="G54" s="201"/>
      <c r="H54" s="197"/>
      <c r="I54" s="197"/>
    </row>
    <row r="55" spans="1:9" x14ac:dyDescent="0.25">
      <c r="A55" s="24">
        <v>45</v>
      </c>
      <c r="B55" s="41"/>
      <c r="C55" s="74"/>
    </row>
    <row r="56" spans="1:9" x14ac:dyDescent="0.25">
      <c r="A56" s="24">
        <v>46</v>
      </c>
      <c r="B56" s="41" t="s">
        <v>142</v>
      </c>
      <c r="C56" s="74"/>
      <c r="D56" s="42">
        <v>0.21</v>
      </c>
      <c r="E56" s="33">
        <f>-E52*D56</f>
        <v>730082.0154193528</v>
      </c>
    </row>
    <row r="57" spans="1:9" x14ac:dyDescent="0.25">
      <c r="A57" s="24">
        <v>47</v>
      </c>
      <c r="B57" s="41"/>
      <c r="C57" s="74"/>
      <c r="D57" s="36"/>
      <c r="E57" s="31"/>
    </row>
    <row r="58" spans="1:9" ht="14.4" thickBot="1" x14ac:dyDescent="0.3">
      <c r="A58" s="24">
        <v>48</v>
      </c>
      <c r="B58" s="41" t="s">
        <v>119</v>
      </c>
      <c r="C58" s="74"/>
      <c r="D58" s="36"/>
      <c r="E58" s="43">
        <f>-E52-E56</f>
        <v>2746499.0103870891</v>
      </c>
    </row>
    <row r="59" spans="1:9" ht="14.4" thickTop="1" x14ac:dyDescent="0.25">
      <c r="A59" s="24">
        <v>49</v>
      </c>
      <c r="C59" s="187"/>
    </row>
    <row r="60" spans="1:9" x14ac:dyDescent="0.25">
      <c r="A60" s="24">
        <v>50</v>
      </c>
      <c r="C60" s="187"/>
    </row>
    <row r="61" spans="1:9" x14ac:dyDescent="0.25">
      <c r="A61" s="24">
        <v>51</v>
      </c>
      <c r="C61" s="187"/>
    </row>
    <row r="62" spans="1:9" x14ac:dyDescent="0.25">
      <c r="A62" s="24">
        <v>52</v>
      </c>
      <c r="B62" s="48"/>
      <c r="C62" s="187"/>
    </row>
    <row r="63" spans="1:9" ht="14.4" thickBot="1" x14ac:dyDescent="0.3">
      <c r="A63" s="24">
        <v>53</v>
      </c>
      <c r="B63" s="202"/>
      <c r="C63" s="202"/>
      <c r="D63" s="202"/>
      <c r="E63" s="203">
        <f>+E64/12</f>
        <v>5</v>
      </c>
      <c r="F63" s="202" t="s">
        <v>143</v>
      </c>
    </row>
    <row r="64" spans="1:9" ht="14.4" thickBot="1" x14ac:dyDescent="0.3">
      <c r="A64" s="24">
        <v>54</v>
      </c>
      <c r="B64" s="202"/>
      <c r="C64" s="202"/>
      <c r="D64" s="202"/>
      <c r="E64" s="204">
        <f>5*12</f>
        <v>60</v>
      </c>
      <c r="F64" s="205" t="s">
        <v>144</v>
      </c>
    </row>
    <row r="65" spans="1:8" x14ac:dyDescent="0.25">
      <c r="A65" s="24">
        <v>55</v>
      </c>
      <c r="B65" s="202"/>
      <c r="C65" s="202"/>
      <c r="D65" s="206" t="s">
        <v>145</v>
      </c>
      <c r="E65" s="207" t="s">
        <v>146</v>
      </c>
      <c r="F65" s="207" t="s">
        <v>147</v>
      </c>
    </row>
    <row r="66" spans="1:8" x14ac:dyDescent="0.25">
      <c r="A66" s="24">
        <v>56</v>
      </c>
      <c r="B66" s="202"/>
      <c r="C66" s="206" t="s">
        <v>148</v>
      </c>
      <c r="D66" s="206" t="s">
        <v>149</v>
      </c>
      <c r="E66" s="207" t="s">
        <v>150</v>
      </c>
      <c r="F66" s="207" t="s">
        <v>145</v>
      </c>
    </row>
    <row r="67" spans="1:8" x14ac:dyDescent="0.25">
      <c r="A67" s="24">
        <v>57</v>
      </c>
      <c r="B67" s="208" t="s">
        <v>2</v>
      </c>
      <c r="C67" s="208" t="s">
        <v>151</v>
      </c>
      <c r="D67" s="208" t="s">
        <v>146</v>
      </c>
      <c r="E67" s="209" t="s">
        <v>152</v>
      </c>
      <c r="F67" s="209" t="s">
        <v>149</v>
      </c>
    </row>
    <row r="68" spans="1:8" ht="14.4" thickBot="1" x14ac:dyDescent="0.3">
      <c r="A68" s="24">
        <v>58</v>
      </c>
      <c r="B68" s="202"/>
      <c r="C68" s="202"/>
      <c r="D68" s="202"/>
      <c r="E68" s="202"/>
      <c r="F68" s="202"/>
    </row>
    <row r="69" spans="1:8" x14ac:dyDescent="0.25">
      <c r="A69" s="24">
        <v>59</v>
      </c>
      <c r="B69" s="202" t="s">
        <v>153</v>
      </c>
      <c r="C69" s="210">
        <v>23824032.480000012</v>
      </c>
      <c r="D69" s="211">
        <f>+H37</f>
        <v>16261541.159999998</v>
      </c>
      <c r="E69" s="212">
        <v>4764806.4960000021</v>
      </c>
      <c r="F69" s="213">
        <f>+D69-E69</f>
        <v>11496734.663999997</v>
      </c>
    </row>
    <row r="70" spans="1:8" x14ac:dyDescent="0.25">
      <c r="A70" s="24">
        <v>60</v>
      </c>
      <c r="B70" s="202" t="s">
        <v>154</v>
      </c>
      <c r="C70" s="214">
        <v>31939041.87096779</v>
      </c>
      <c r="D70" s="211">
        <f>+H38</f>
        <v>9061378.8000000026</v>
      </c>
      <c r="E70" s="215">
        <v>6387808.3741935575</v>
      </c>
      <c r="F70" s="213">
        <f>+D70-E70</f>
        <v>2673570.4258064451</v>
      </c>
    </row>
    <row r="71" spans="1:8" x14ac:dyDescent="0.25">
      <c r="A71" s="24">
        <v>61</v>
      </c>
      <c r="B71" s="202" t="s">
        <v>155</v>
      </c>
      <c r="C71" s="214">
        <v>53468600.519999996</v>
      </c>
      <c r="D71" s="211">
        <f>+I46</f>
        <v>13521267.84</v>
      </c>
      <c r="E71" s="215">
        <v>10693720.104</v>
      </c>
      <c r="F71" s="213">
        <f>+D71-E71</f>
        <v>2827547.7359999996</v>
      </c>
    </row>
    <row r="72" spans="1:8" x14ac:dyDescent="0.25">
      <c r="A72" s="24">
        <v>62</v>
      </c>
      <c r="B72" s="202"/>
      <c r="C72" s="216"/>
      <c r="D72" s="216"/>
      <c r="E72" s="217"/>
      <c r="F72" s="218"/>
      <c r="G72" s="186" t="s">
        <v>156</v>
      </c>
      <c r="H72" s="186" t="s">
        <v>157</v>
      </c>
    </row>
    <row r="73" spans="1:8" ht="14.4" thickBot="1" x14ac:dyDescent="0.3">
      <c r="A73" s="24">
        <v>63</v>
      </c>
      <c r="B73" s="202" t="s">
        <v>158</v>
      </c>
      <c r="C73" s="219">
        <f t="shared" ref="C73:D73" si="3">SUM(C69:C72)</f>
        <v>109231674.87096781</v>
      </c>
      <c r="D73" s="219">
        <f t="shared" si="3"/>
        <v>38844187.799999997</v>
      </c>
      <c r="E73" s="220">
        <f>SUM(E69:E72)</f>
        <v>21846334.974193558</v>
      </c>
      <c r="F73" s="221">
        <f>SUM(F69:F72)</f>
        <v>16997852.825806439</v>
      </c>
      <c r="G73" s="186">
        <v>0.95111500000000004</v>
      </c>
      <c r="H73" s="222">
        <f>F73/G73</f>
        <v>17871501.160013709</v>
      </c>
    </row>
    <row r="74" spans="1:8" ht="14.4" thickTop="1" x14ac:dyDescent="0.25">
      <c r="C74" s="187"/>
    </row>
    <row r="75" spans="1:8" x14ac:dyDescent="0.25">
      <c r="C75" s="187"/>
    </row>
    <row r="76" spans="1:8" x14ac:dyDescent="0.25">
      <c r="C76" s="201" t="s">
        <v>159</v>
      </c>
      <c r="D76" s="197"/>
      <c r="E76" s="197"/>
    </row>
    <row r="77" spans="1:8" x14ac:dyDescent="0.25">
      <c r="C77" s="187"/>
    </row>
    <row r="78" spans="1:8" x14ac:dyDescent="0.25">
      <c r="C78" s="187"/>
    </row>
    <row r="79" spans="1:8" x14ac:dyDescent="0.25">
      <c r="C79" s="187"/>
    </row>
    <row r="80" spans="1:8" x14ac:dyDescent="0.25">
      <c r="C80" s="187"/>
    </row>
    <row r="81" spans="3:3" x14ac:dyDescent="0.25">
      <c r="C81" s="187"/>
    </row>
    <row r="82" spans="3:3" x14ac:dyDescent="0.25">
      <c r="C82" s="187"/>
    </row>
    <row r="83" spans="3:3" x14ac:dyDescent="0.25">
      <c r="C83" s="187"/>
    </row>
    <row r="84" spans="3:3" x14ac:dyDescent="0.25">
      <c r="C84" s="187"/>
    </row>
    <row r="85" spans="3:3" x14ac:dyDescent="0.25">
      <c r="C85" s="187"/>
    </row>
    <row r="86" spans="3:3" x14ac:dyDescent="0.25">
      <c r="C86" s="187"/>
    </row>
    <row r="87" spans="3:3" x14ac:dyDescent="0.25">
      <c r="C87" s="187"/>
    </row>
    <row r="88" spans="3:3" x14ac:dyDescent="0.25">
      <c r="C88" s="187"/>
    </row>
    <row r="89" spans="3:3" x14ac:dyDescent="0.25">
      <c r="C89" s="187"/>
    </row>
    <row r="90" spans="3:3" x14ac:dyDescent="0.25">
      <c r="C90" s="187"/>
    </row>
    <row r="91" spans="3:3" x14ac:dyDescent="0.25">
      <c r="C91" s="187"/>
    </row>
    <row r="92" spans="3:3" x14ac:dyDescent="0.25">
      <c r="C92" s="187"/>
    </row>
    <row r="93" spans="3:3" x14ac:dyDescent="0.25">
      <c r="C93" s="187"/>
    </row>
    <row r="94" spans="3:3" x14ac:dyDescent="0.25">
      <c r="C94" s="187"/>
    </row>
    <row r="95" spans="3:3" x14ac:dyDescent="0.25">
      <c r="C95" s="187"/>
    </row>
    <row r="96" spans="3:3" x14ac:dyDescent="0.25">
      <c r="C96" s="187"/>
    </row>
    <row r="97" spans="3:3" x14ac:dyDescent="0.25">
      <c r="C97" s="187"/>
    </row>
    <row r="98" spans="3:3" x14ac:dyDescent="0.25">
      <c r="C98" s="187"/>
    </row>
    <row r="99" spans="3:3" x14ac:dyDescent="0.25">
      <c r="C99" s="187"/>
    </row>
    <row r="100" spans="3:3" x14ac:dyDescent="0.25">
      <c r="C100" s="187"/>
    </row>
    <row r="101" spans="3:3" x14ac:dyDescent="0.25">
      <c r="C101" s="187"/>
    </row>
    <row r="102" spans="3:3" x14ac:dyDescent="0.25">
      <c r="C102" s="187"/>
    </row>
    <row r="103" spans="3:3" x14ac:dyDescent="0.25">
      <c r="C103" s="187"/>
    </row>
    <row r="104" spans="3:3" x14ac:dyDescent="0.25">
      <c r="C104" s="187"/>
    </row>
    <row r="105" spans="3:3" x14ac:dyDescent="0.25">
      <c r="C105" s="187"/>
    </row>
    <row r="106" spans="3:3" x14ac:dyDescent="0.25">
      <c r="C106" s="187"/>
    </row>
    <row r="107" spans="3:3" x14ac:dyDescent="0.25">
      <c r="C107" s="187"/>
    </row>
    <row r="108" spans="3:3" x14ac:dyDescent="0.25">
      <c r="C108" s="187"/>
    </row>
    <row r="109" spans="3:3" x14ac:dyDescent="0.25">
      <c r="C109" s="187"/>
    </row>
    <row r="110" spans="3:3" x14ac:dyDescent="0.25">
      <c r="C110" s="187"/>
    </row>
    <row r="111" spans="3:3" x14ac:dyDescent="0.25">
      <c r="C111" s="187"/>
    </row>
    <row r="112" spans="3:3" x14ac:dyDescent="0.25">
      <c r="C112" s="187"/>
    </row>
    <row r="113" spans="3:3" x14ac:dyDescent="0.25">
      <c r="C113" s="187"/>
    </row>
    <row r="114" spans="3:3" x14ac:dyDescent="0.25">
      <c r="C114" s="187"/>
    </row>
    <row r="115" spans="3:3" x14ac:dyDescent="0.25">
      <c r="C115" s="187"/>
    </row>
    <row r="116" spans="3:3" x14ac:dyDescent="0.25">
      <c r="C116" s="187"/>
    </row>
    <row r="117" spans="3:3" x14ac:dyDescent="0.25">
      <c r="C117" s="187"/>
    </row>
    <row r="118" spans="3:3" x14ac:dyDescent="0.25">
      <c r="C118" s="187"/>
    </row>
    <row r="119" spans="3:3" x14ac:dyDescent="0.25">
      <c r="C119" s="187"/>
    </row>
    <row r="120" spans="3:3" x14ac:dyDescent="0.25">
      <c r="C120" s="187"/>
    </row>
  </sheetData>
  <printOptions horizontalCentered="1"/>
  <pageMargins left="0.2" right="0.2" top="0.4" bottom="0.5" header="0.3" footer="0.3"/>
  <pageSetup scale="68" orientation="portrait" horizontalDpi="1200" verticalDpi="1200" r:id="rId1"/>
  <headerFooter scaleWithDoc="0" alignWithMargins="0">
    <oddFooter>&amp;R&amp;"Times New Roman,Regular"&amp;12Exh. SEF-11
Page 5 of 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zoomScale="95" zoomScaleNormal="95" workbookViewId="0">
      <pane xSplit="2" ySplit="8" topLeftCell="C25" activePane="bottomRight" state="frozen"/>
      <selection activeCell="E4" sqref="E4"/>
      <selection pane="topRight" activeCell="E4" sqref="E4"/>
      <selection pane="bottomLeft" activeCell="E4" sqref="E4"/>
      <selection pane="bottomRight" activeCell="B5" sqref="B5"/>
    </sheetView>
  </sheetViews>
  <sheetFormatPr defaultRowHeight="13.8" x14ac:dyDescent="0.25"/>
  <cols>
    <col min="1" max="1" width="4.6640625" style="83" bestFit="1" customWidth="1"/>
    <col min="2" max="2" width="47.6640625" style="83" customWidth="1"/>
    <col min="3" max="3" width="15.33203125" style="83" customWidth="1"/>
    <col min="4" max="4" width="3.6640625" style="83" customWidth="1"/>
    <col min="5" max="5" width="12.6640625" style="83" customWidth="1"/>
    <col min="6" max="6" width="13.6640625" style="83" bestFit="1" customWidth="1"/>
    <col min="7" max="8" width="8.88671875" style="83"/>
    <col min="9" max="9" width="15.33203125" style="83" bestFit="1" customWidth="1"/>
    <col min="10" max="16384" width="8.88671875" style="83"/>
  </cols>
  <sheetData>
    <row r="1" spans="1:6" x14ac:dyDescent="0.25">
      <c r="A1" s="88" t="s">
        <v>160</v>
      </c>
    </row>
    <row r="2" spans="1:6" x14ac:dyDescent="0.25">
      <c r="A2" s="88"/>
    </row>
    <row r="3" spans="1:6" x14ac:dyDescent="0.25">
      <c r="A3" s="83" t="s">
        <v>161</v>
      </c>
      <c r="C3" s="83">
        <v>4.7990999999999999E-2</v>
      </c>
    </row>
    <row r="4" spans="1:6" x14ac:dyDescent="0.25">
      <c r="A4" s="83" t="s">
        <v>162</v>
      </c>
      <c r="C4" s="223">
        <v>2.7900000000000001E-2</v>
      </c>
    </row>
    <row r="5" spans="1:6" x14ac:dyDescent="0.25">
      <c r="A5" s="83" t="s">
        <v>163</v>
      </c>
      <c r="C5" s="224">
        <v>0.21</v>
      </c>
    </row>
    <row r="7" spans="1:6" x14ac:dyDescent="0.25">
      <c r="C7" s="84" t="s">
        <v>21</v>
      </c>
      <c r="E7" s="84"/>
      <c r="F7" s="84" t="s">
        <v>164</v>
      </c>
    </row>
    <row r="8" spans="1:6" x14ac:dyDescent="0.25">
      <c r="A8" s="85" t="s">
        <v>1</v>
      </c>
      <c r="B8" s="85" t="s">
        <v>2</v>
      </c>
      <c r="C8" s="85" t="s">
        <v>34</v>
      </c>
      <c r="E8" s="85" t="s">
        <v>165</v>
      </c>
      <c r="F8" s="85" t="s">
        <v>34</v>
      </c>
    </row>
    <row r="9" spans="1:6" s="86" customFormat="1" x14ac:dyDescent="0.25">
      <c r="A9" s="86" t="s">
        <v>166</v>
      </c>
      <c r="B9" s="86" t="s">
        <v>167</v>
      </c>
      <c r="C9" s="86" t="s">
        <v>168</v>
      </c>
      <c r="E9" s="86" t="s">
        <v>169</v>
      </c>
      <c r="F9" s="86" t="s">
        <v>170</v>
      </c>
    </row>
    <row r="11" spans="1:6" x14ac:dyDescent="0.25">
      <c r="A11" s="87">
        <f>ROW()</f>
        <v>11</v>
      </c>
      <c r="B11" s="83" t="s">
        <v>171</v>
      </c>
      <c r="C11" s="225">
        <v>351333150.78000021</v>
      </c>
      <c r="E11" s="225">
        <v>58966049.640000008</v>
      </c>
      <c r="F11" s="225">
        <f>C11+E11</f>
        <v>410299200.4200002</v>
      </c>
    </row>
    <row r="12" spans="1:6" x14ac:dyDescent="0.25">
      <c r="A12" s="87">
        <f>ROW()</f>
        <v>12</v>
      </c>
      <c r="C12" s="226"/>
      <c r="E12" s="226"/>
      <c r="F12" s="226"/>
    </row>
    <row r="13" spans="1:6" x14ac:dyDescent="0.25">
      <c r="A13" s="87">
        <f>ROW()</f>
        <v>13</v>
      </c>
      <c r="B13" s="83" t="s">
        <v>172</v>
      </c>
      <c r="C13" s="226"/>
      <c r="E13" s="226"/>
      <c r="F13" s="226"/>
    </row>
    <row r="14" spans="1:6" x14ac:dyDescent="0.25">
      <c r="A14" s="87">
        <f>ROW()</f>
        <v>14</v>
      </c>
      <c r="B14" s="87" t="s">
        <v>173</v>
      </c>
      <c r="C14" s="226"/>
      <c r="E14" s="226"/>
      <c r="F14" s="226"/>
    </row>
    <row r="15" spans="1:6" x14ac:dyDescent="0.25">
      <c r="A15" s="87">
        <f>ROW()</f>
        <v>15</v>
      </c>
      <c r="B15" s="227" t="s">
        <v>174</v>
      </c>
      <c r="C15" s="226">
        <v>36052790.317000002</v>
      </c>
      <c r="E15" s="226"/>
      <c r="F15" s="226">
        <f t="shared" ref="F15:F28" si="0">C15+E15</f>
        <v>36052790.317000002</v>
      </c>
    </row>
    <row r="16" spans="1:6" x14ac:dyDescent="0.25">
      <c r="A16" s="87">
        <f>ROW()</f>
        <v>16</v>
      </c>
      <c r="B16" s="227" t="s">
        <v>175</v>
      </c>
      <c r="C16" s="226">
        <v>-28809604.950000003</v>
      </c>
      <c r="E16" s="226"/>
      <c r="F16" s="226">
        <f t="shared" si="0"/>
        <v>-28809604.950000003</v>
      </c>
    </row>
    <row r="17" spans="1:9" x14ac:dyDescent="0.25">
      <c r="A17" s="87">
        <f>ROW()</f>
        <v>17</v>
      </c>
      <c r="B17" s="227" t="s">
        <v>176</v>
      </c>
      <c r="C17" s="226">
        <f>-C15*C3</f>
        <v>-1730209.460103147</v>
      </c>
      <c r="E17" s="226"/>
      <c r="F17" s="226">
        <f t="shared" si="0"/>
        <v>-1730209.460103147</v>
      </c>
    </row>
    <row r="18" spans="1:9" x14ac:dyDescent="0.25">
      <c r="A18" s="87">
        <f>ROW()</f>
        <v>18</v>
      </c>
      <c r="B18" s="227" t="s">
        <v>177</v>
      </c>
      <c r="C18" s="226">
        <f>-SUM(C15:C17)*C5</f>
        <v>-1157724.9404483389</v>
      </c>
      <c r="E18" s="226">
        <f>-C18</f>
        <v>1157724.9404483389</v>
      </c>
      <c r="F18" s="226">
        <f t="shared" si="0"/>
        <v>0</v>
      </c>
      <c r="I18" s="226"/>
    </row>
    <row r="19" spans="1:9" x14ac:dyDescent="0.25">
      <c r="A19" s="87">
        <f>ROW()</f>
        <v>19</v>
      </c>
      <c r="C19" s="226"/>
      <c r="E19" s="226"/>
      <c r="F19" s="226"/>
    </row>
    <row r="20" spans="1:9" x14ac:dyDescent="0.25">
      <c r="A20" s="87">
        <f>ROW()</f>
        <v>20</v>
      </c>
      <c r="B20" s="87" t="s">
        <v>178</v>
      </c>
      <c r="C20" s="226"/>
      <c r="E20" s="226"/>
      <c r="F20" s="226"/>
    </row>
    <row r="21" spans="1:9" x14ac:dyDescent="0.25">
      <c r="A21" s="87">
        <f>ROW()</f>
        <v>21</v>
      </c>
      <c r="B21" s="227" t="s">
        <v>179</v>
      </c>
      <c r="C21" s="226">
        <v>-4973500.8</v>
      </c>
      <c r="E21" s="226"/>
      <c r="F21" s="226">
        <f t="shared" si="0"/>
        <v>-4973500.8</v>
      </c>
    </row>
    <row r="22" spans="1:9" x14ac:dyDescent="0.25">
      <c r="A22" s="87">
        <f>ROW()</f>
        <v>22</v>
      </c>
      <c r="B22" s="227" t="s">
        <v>177</v>
      </c>
      <c r="C22" s="226">
        <f>-C21*$C$5</f>
        <v>1044435.1679999999</v>
      </c>
      <c r="E22" s="226">
        <f>-C22</f>
        <v>-1044435.1679999999</v>
      </c>
      <c r="F22" s="226">
        <f t="shared" si="0"/>
        <v>0</v>
      </c>
    </row>
    <row r="23" spans="1:9" x14ac:dyDescent="0.25">
      <c r="A23" s="87">
        <f>ROW()</f>
        <v>23</v>
      </c>
      <c r="B23" s="227"/>
      <c r="C23" s="226"/>
      <c r="E23" s="226"/>
      <c r="F23" s="226"/>
    </row>
    <row r="24" spans="1:9" x14ac:dyDescent="0.25">
      <c r="A24" s="87">
        <f>ROW()</f>
        <v>24</v>
      </c>
      <c r="B24" s="87" t="s">
        <v>180</v>
      </c>
      <c r="C24" s="226"/>
      <c r="E24" s="226"/>
      <c r="F24" s="226"/>
    </row>
    <row r="25" spans="1:9" x14ac:dyDescent="0.25">
      <c r="A25" s="87">
        <f>ROW()</f>
        <v>25</v>
      </c>
      <c r="B25" s="227" t="s">
        <v>181</v>
      </c>
      <c r="C25" s="226">
        <v>-11955811.51</v>
      </c>
      <c r="E25" s="226"/>
      <c r="F25" s="226">
        <f t="shared" ref="F25:F26" si="1">C25+E25</f>
        <v>-11955811.51</v>
      </c>
    </row>
    <row r="26" spans="1:9" x14ac:dyDescent="0.25">
      <c r="A26" s="87">
        <f>ROW()</f>
        <v>26</v>
      </c>
      <c r="B26" s="227" t="s">
        <v>177</v>
      </c>
      <c r="C26" s="226">
        <f>-C25*$C$5</f>
        <v>2510720.4170999997</v>
      </c>
      <c r="E26" s="226">
        <f>-C26</f>
        <v>-2510720.4170999997</v>
      </c>
      <c r="F26" s="226">
        <f t="shared" si="1"/>
        <v>0</v>
      </c>
    </row>
    <row r="27" spans="1:9" x14ac:dyDescent="0.25">
      <c r="A27" s="87">
        <f>ROW()</f>
        <v>27</v>
      </c>
      <c r="B27" s="227"/>
      <c r="C27" s="226"/>
      <c r="E27" s="226"/>
      <c r="F27" s="226"/>
    </row>
    <row r="28" spans="1:9" x14ac:dyDescent="0.25">
      <c r="A28" s="87">
        <f>ROW()</f>
        <v>28</v>
      </c>
      <c r="B28" s="137" t="s">
        <v>182</v>
      </c>
      <c r="C28" s="226">
        <v>31669590.941054292</v>
      </c>
      <c r="E28" s="226">
        <f>-C28</f>
        <v>-31669590.941054292</v>
      </c>
      <c r="F28" s="226">
        <f t="shared" si="0"/>
        <v>0</v>
      </c>
    </row>
    <row r="29" spans="1:9" x14ac:dyDescent="0.25">
      <c r="A29" s="87">
        <f>ROW()</f>
        <v>29</v>
      </c>
      <c r="C29" s="228"/>
      <c r="E29" s="228"/>
      <c r="F29" s="228"/>
    </row>
    <row r="30" spans="1:9" x14ac:dyDescent="0.25">
      <c r="A30" s="87">
        <f>ROW()</f>
        <v>30</v>
      </c>
      <c r="B30" s="83" t="s">
        <v>183</v>
      </c>
      <c r="C30" s="226">
        <f>SUM(C11:C29)</f>
        <v>373983835.96260303</v>
      </c>
      <c r="E30" s="226">
        <f>SUM(E11:E29)</f>
        <v>24899028.054294057</v>
      </c>
      <c r="F30" s="226">
        <f>SUM(F11:F29)</f>
        <v>398882864.01689708</v>
      </c>
    </row>
    <row r="31" spans="1:9" x14ac:dyDescent="0.25">
      <c r="A31" s="87">
        <f>ROW()</f>
        <v>31</v>
      </c>
      <c r="C31" s="226"/>
      <c r="E31" s="226"/>
      <c r="F31" s="226"/>
    </row>
    <row r="32" spans="1:9" x14ac:dyDescent="0.25">
      <c r="A32" s="87">
        <f>ROW()</f>
        <v>32</v>
      </c>
      <c r="B32" s="83" t="s">
        <v>184</v>
      </c>
      <c r="C32" s="226">
        <v>-27196782.448200032</v>
      </c>
      <c r="E32" s="226">
        <f>-C32</f>
        <v>27196782.448200032</v>
      </c>
      <c r="F32" s="226">
        <f t="shared" ref="F32" si="2">C32+E32</f>
        <v>0</v>
      </c>
    </row>
    <row r="33" spans="1:6" x14ac:dyDescent="0.25">
      <c r="A33" s="87">
        <f>ROW()</f>
        <v>33</v>
      </c>
      <c r="C33" s="226"/>
      <c r="E33" s="226"/>
      <c r="F33" s="226"/>
    </row>
    <row r="34" spans="1:6" x14ac:dyDescent="0.25">
      <c r="A34" s="87">
        <f>ROW()</f>
        <v>34</v>
      </c>
      <c r="B34" s="83" t="s">
        <v>185</v>
      </c>
      <c r="C34" s="226"/>
      <c r="E34" s="226"/>
      <c r="F34" s="226"/>
    </row>
    <row r="35" spans="1:6" x14ac:dyDescent="0.25">
      <c r="A35" s="87">
        <f>ROW()</f>
        <v>35</v>
      </c>
      <c r="B35" s="87" t="s">
        <v>186</v>
      </c>
      <c r="C35" s="226">
        <v>17874086.16</v>
      </c>
      <c r="E35" s="226">
        <f>-C35</f>
        <v>-17874086.16</v>
      </c>
      <c r="F35" s="226">
        <f t="shared" ref="F35" si="3">C35+E35</f>
        <v>0</v>
      </c>
    </row>
    <row r="36" spans="1:6" x14ac:dyDescent="0.25">
      <c r="A36" s="87">
        <f>ROW()</f>
        <v>36</v>
      </c>
      <c r="C36" s="228"/>
      <c r="E36" s="228"/>
      <c r="F36" s="228"/>
    </row>
    <row r="37" spans="1:6" ht="14.4" thickBot="1" x14ac:dyDescent="0.3">
      <c r="A37" s="87">
        <f>ROW()</f>
        <v>37</v>
      </c>
      <c r="B37" s="83" t="s">
        <v>187</v>
      </c>
      <c r="C37" s="229">
        <f>SUM(C30:C36)</f>
        <v>364661139.67440301</v>
      </c>
      <c r="E37" s="229">
        <f>SUM(E30:E36)</f>
        <v>34221724.342494085</v>
      </c>
      <c r="F37" s="229">
        <f>SUM(F30:F36)</f>
        <v>398882864.01689708</v>
      </c>
    </row>
    <row r="38" spans="1:6" ht="14.4" thickTop="1" x14ac:dyDescent="0.25">
      <c r="A38" s="87">
        <f>ROW()</f>
        <v>38</v>
      </c>
      <c r="C38" s="226"/>
    </row>
    <row r="39" spans="1:6" x14ac:dyDescent="0.25">
      <c r="A39" s="87">
        <f>ROW()</f>
        <v>39</v>
      </c>
      <c r="B39" s="83" t="s">
        <v>35</v>
      </c>
      <c r="C39" s="225">
        <v>5405289459.1319838</v>
      </c>
    </row>
    <row r="40" spans="1:6" x14ac:dyDescent="0.25">
      <c r="A40" s="87">
        <f>ROW()</f>
        <v>40</v>
      </c>
      <c r="C40" s="226"/>
    </row>
    <row r="41" spans="1:6" x14ac:dyDescent="0.25">
      <c r="A41" s="87">
        <f>ROW()</f>
        <v>41</v>
      </c>
      <c r="B41" s="83" t="s">
        <v>188</v>
      </c>
      <c r="C41" s="230">
        <f>C37/C39</f>
        <v>6.7463757941459562E-2</v>
      </c>
    </row>
    <row r="42" spans="1:6" x14ac:dyDescent="0.25">
      <c r="A42" s="87">
        <f>ROW()</f>
        <v>42</v>
      </c>
      <c r="B42" s="83" t="s">
        <v>189</v>
      </c>
      <c r="C42" s="230">
        <v>7.3899999999999993E-2</v>
      </c>
    </row>
    <row r="43" spans="1:6" ht="14.4" thickBot="1" x14ac:dyDescent="0.3">
      <c r="A43" s="87">
        <f>ROW()</f>
        <v>43</v>
      </c>
      <c r="B43" s="83" t="s">
        <v>190</v>
      </c>
      <c r="C43" s="231">
        <f>C41-C42</f>
        <v>-6.4362420585404312E-3</v>
      </c>
    </row>
    <row r="44" spans="1:6" ht="14.4" thickTop="1" x14ac:dyDescent="0.25">
      <c r="A44" s="87">
        <f>ROW()</f>
        <v>44</v>
      </c>
      <c r="C44" s="232"/>
    </row>
    <row r="45" spans="1:6" ht="14.4" thickBot="1" x14ac:dyDescent="0.3">
      <c r="A45" s="87">
        <f>ROW()</f>
        <v>45</v>
      </c>
      <c r="B45" s="83" t="s">
        <v>191</v>
      </c>
      <c r="C45" s="229">
        <v>-46257615.615547851</v>
      </c>
      <c r="D45" s="233"/>
    </row>
    <row r="46" spans="1:6" ht="14.4" thickTop="1" x14ac:dyDescent="0.25"/>
  </sheetData>
  <printOptions horizontalCentered="1"/>
  <pageMargins left="0.7" right="0.7" top="0.75" bottom="0.75" header="0.3" footer="0.3"/>
  <pageSetup orientation="portrait" horizontalDpi="1200" verticalDpi="1200" r:id="rId1"/>
  <headerFooter scaleWithDoc="0" alignWithMargins="0">
    <oddFooter>&amp;R&amp;"Times New Roman,Regular"&amp;12Exh. SEF-11
Page 6 of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7C4E7C0-37E6-457B-B997-94A7E2144FCB}"/>
</file>

<file path=customXml/itemProps2.xml><?xml version="1.0" encoding="utf-8"?>
<ds:datastoreItem xmlns:ds="http://schemas.openxmlformats.org/officeDocument/2006/customXml" ds:itemID="{7E76C680-6615-41C6-89A7-D0EEEB806A3B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f215807-0bed-430f-b408-c95fe85364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83255B-0AF5-4E17-A69B-3E993124C51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BF8539-0D16-440F-A7E7-50D1E3B29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SEF-11 p1</vt:lpstr>
      <vt:lpstr>SEF-11 p2</vt:lpstr>
      <vt:lpstr>SEF-11 p3</vt:lpstr>
      <vt:lpstr>SEF-11 p4</vt:lpstr>
      <vt:lpstr>SEF-11 p5</vt:lpstr>
      <vt:lpstr>SEF-11 p6</vt:lpstr>
      <vt:lpstr>'SEF-11 p4'!Print_Area</vt:lpstr>
      <vt:lpstr>'SEF-11 p5'!Print_Area</vt:lpstr>
      <vt:lpstr>'SEF-11 p6'!Print_Area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Kuzma, Jason (BEL)</cp:lastModifiedBy>
  <cp:lastPrinted>2020-12-05T23:22:03Z</cp:lastPrinted>
  <dcterms:created xsi:type="dcterms:W3CDTF">2020-12-04T20:20:54Z</dcterms:created>
  <dcterms:modified xsi:type="dcterms:W3CDTF">2020-12-06T00:07:04Z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