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D00A1442-5BFE-4EBF-A56F-4EEC0237D1A2}" xr6:coauthVersionLast="36" xr6:coauthVersionMax="36" xr10:uidLastSave="{00000000-0000-0000-0000-000000000000}"/>
  <bookViews>
    <workbookView xWindow="0" yWindow="0" windowWidth="18390" windowHeight="7230" xr2:uid="{8C06827B-CA96-435E-B3C7-2E9991C45D1B}"/>
  </bookViews>
  <sheets>
    <sheet name="WA Rates" sheetId="7" r:id="rId1"/>
    <sheet name="Core Cost Incurred" sheetId="11" r:id="rId2"/>
    <sheet name="DEFERRALS" sheetId="12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FERCINT13">'[5]FERC Interest Rates'!$A$10:$C$21</definedName>
    <definedName name="FERCINT14">'[5]FERC Interest Rates'!$A$22:$C$33</definedName>
    <definedName name="FERCINT15">'[5]FERC Interest Rates'!$A$34:$C$45</definedName>
    <definedName name="FERCINT16">'[5]FERC Interest Rates'!$A$46:$C$57</definedName>
    <definedName name="FERCINT17">'[5]FERC Interest Rates'!$A$58:$C$69</definedName>
    <definedName name="FERCINT18">'[5]FERC Interest Rates'!$A$70:$C$81</definedName>
    <definedName name="FERCINT19">'[5]FERC Interest Rates'!$A$82:$C$93</definedName>
    <definedName name="_xlnm.Print_Area" localSheetId="1">'Core Cost Incurred'!$B$1:$Z$48</definedName>
    <definedName name="_xlnm.Print_Area" localSheetId="2">DEFERRALS!$B$1:$H$22</definedName>
    <definedName name="_xlnm.Print_Area" localSheetId="0">'WA Rates'!$B$1:$N$50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" i="12" l="1"/>
  <c r="D8" i="12"/>
  <c r="G8" i="12" s="1"/>
  <c r="G9" i="12" s="1"/>
  <c r="G12" i="12" s="1"/>
  <c r="E8" i="12"/>
  <c r="E9" i="12" s="1"/>
  <c r="F9" i="12"/>
  <c r="F12" i="12"/>
  <c r="F18" i="12" s="1"/>
  <c r="E12" i="12" l="1"/>
  <c r="E18" i="12"/>
  <c r="D12" i="12"/>
  <c r="D18" i="12" s="1"/>
  <c r="G18" i="12" s="1"/>
  <c r="D9" i="12"/>
  <c r="V71" i="11" l="1"/>
  <c r="S71" i="11"/>
  <c r="T61" i="11"/>
  <c r="S61" i="11"/>
  <c r="Q61" i="11"/>
  <c r="P61" i="11"/>
  <c r="Q60" i="11"/>
  <c r="P60" i="11"/>
  <c r="T59" i="11"/>
  <c r="T62" i="11" s="1"/>
  <c r="S59" i="11"/>
  <c r="Q59" i="11"/>
  <c r="Q62" i="11" s="1"/>
  <c r="P59" i="11"/>
  <c r="AE45" i="11"/>
  <c r="AC43" i="11"/>
  <c r="AB43" i="11"/>
  <c r="W43" i="11"/>
  <c r="AC42" i="11"/>
  <c r="AC44" i="11" s="1"/>
  <c r="AB42" i="11"/>
  <c r="AB44" i="11" s="1"/>
  <c r="Z42" i="11"/>
  <c r="W42" i="11"/>
  <c r="W44" i="11" s="1"/>
  <c r="Q47" i="11" s="1"/>
  <c r="T42" i="11"/>
  <c r="AC38" i="11"/>
  <c r="AC40" i="11" s="1"/>
  <c r="AB38" i="11"/>
  <c r="AB40" i="11" s="1"/>
  <c r="Z38" i="11"/>
  <c r="Z40" i="11" s="1"/>
  <c r="W38" i="11"/>
  <c r="T38" i="11"/>
  <c r="Q38" i="11"/>
  <c r="N37" i="11"/>
  <c r="K37" i="11"/>
  <c r="H37" i="11"/>
  <c r="N36" i="11"/>
  <c r="K36" i="11"/>
  <c r="H36" i="11" s="1"/>
  <c r="N35" i="11"/>
  <c r="H35" i="11" s="1"/>
  <c r="K35" i="11"/>
  <c r="N34" i="11"/>
  <c r="K34" i="11"/>
  <c r="H34" i="11"/>
  <c r="N33" i="11"/>
  <c r="H33" i="11" s="1"/>
  <c r="K33" i="11"/>
  <c r="N32" i="11"/>
  <c r="K32" i="11"/>
  <c r="H32" i="11" s="1"/>
  <c r="N31" i="11"/>
  <c r="K31" i="11"/>
  <c r="H31" i="11"/>
  <c r="N30" i="11"/>
  <c r="K30" i="11"/>
  <c r="H30" i="11" s="1"/>
  <c r="N29" i="11"/>
  <c r="K29" i="11"/>
  <c r="H29" i="11"/>
  <c r="N28" i="11"/>
  <c r="K28" i="11"/>
  <c r="H28" i="11" s="1"/>
  <c r="N27" i="11"/>
  <c r="H27" i="11" s="1"/>
  <c r="K27" i="11"/>
  <c r="N26" i="11"/>
  <c r="K26" i="11"/>
  <c r="H26" i="11"/>
  <c r="N25" i="11"/>
  <c r="H25" i="11" s="1"/>
  <c r="K25" i="11"/>
  <c r="N24" i="11"/>
  <c r="N38" i="11" s="1"/>
  <c r="K24" i="11"/>
  <c r="H24" i="11" s="1"/>
  <c r="AC22" i="11"/>
  <c r="AB22" i="11"/>
  <c r="Z22" i="11"/>
  <c r="W22" i="11"/>
  <c r="T22" i="11"/>
  <c r="T21" i="11"/>
  <c r="T43" i="11" s="1"/>
  <c r="Q21" i="11"/>
  <c r="Q43" i="11" s="1"/>
  <c r="Z20" i="11"/>
  <c r="Z43" i="11" s="1"/>
  <c r="N20" i="11"/>
  <c r="K20" i="11"/>
  <c r="H20" i="11"/>
  <c r="N19" i="11"/>
  <c r="H19" i="11" s="1"/>
  <c r="K19" i="11"/>
  <c r="N18" i="11"/>
  <c r="K18" i="11"/>
  <c r="H18" i="11"/>
  <c r="T17" i="11"/>
  <c r="Q17" i="11"/>
  <c r="Q22" i="11" s="1"/>
  <c r="N17" i="11"/>
  <c r="AC15" i="11"/>
  <c r="AB15" i="11"/>
  <c r="Z15" i="11"/>
  <c r="Y15" i="11"/>
  <c r="Y40" i="11" s="1"/>
  <c r="W15" i="11"/>
  <c r="W40" i="11" s="1"/>
  <c r="V15" i="11"/>
  <c r="V40" i="11" s="1"/>
  <c r="S15" i="11"/>
  <c r="S40" i="11" s="1"/>
  <c r="N14" i="11"/>
  <c r="M14" i="11"/>
  <c r="K14" i="11"/>
  <c r="J14" i="11"/>
  <c r="H14" i="11"/>
  <c r="G14" i="11"/>
  <c r="N13" i="11"/>
  <c r="M13" i="11"/>
  <c r="G13" i="11" s="1"/>
  <c r="K13" i="11"/>
  <c r="J13" i="11"/>
  <c r="H13" i="11"/>
  <c r="N12" i="11"/>
  <c r="H12" i="11" s="1"/>
  <c r="M12" i="11"/>
  <c r="K12" i="11"/>
  <c r="J12" i="11"/>
  <c r="G12" i="11" s="1"/>
  <c r="N11" i="11"/>
  <c r="M11" i="11"/>
  <c r="K11" i="11"/>
  <c r="H11" i="11" s="1"/>
  <c r="J11" i="11"/>
  <c r="J15" i="11" s="1"/>
  <c r="J40" i="11" s="1"/>
  <c r="T10" i="11"/>
  <c r="T15" i="11" s="1"/>
  <c r="S10" i="11"/>
  <c r="Q10" i="11"/>
  <c r="K10" i="11" s="1"/>
  <c r="H10" i="11" s="1"/>
  <c r="P10" i="11"/>
  <c r="P15" i="11" s="1"/>
  <c r="P40" i="11" s="1"/>
  <c r="N10" i="11"/>
  <c r="M10" i="11"/>
  <c r="J10" i="11"/>
  <c r="G10" i="11" s="1"/>
  <c r="N9" i="11"/>
  <c r="K9" i="11"/>
  <c r="H9" i="11"/>
  <c r="Q8" i="11"/>
  <c r="Q15" i="11" s="1"/>
  <c r="N8" i="11"/>
  <c r="N42" i="11" s="1"/>
  <c r="M8" i="11"/>
  <c r="M15" i="11" s="1"/>
  <c r="M40" i="11" s="1"/>
  <c r="J8" i="11"/>
  <c r="G8" i="11" s="1"/>
  <c r="N7" i="11"/>
  <c r="K7" i="11"/>
  <c r="N6" i="11"/>
  <c r="H6" i="11" s="1"/>
  <c r="K6" i="11"/>
  <c r="W3" i="11"/>
  <c r="W1" i="11"/>
  <c r="G46" i="7"/>
  <c r="M44" i="7"/>
  <c r="L44" i="7"/>
  <c r="K44" i="7"/>
  <c r="N44" i="7" s="1"/>
  <c r="J44" i="7"/>
  <c r="I44" i="7"/>
  <c r="H44" i="7"/>
  <c r="G44" i="7"/>
  <c r="M42" i="7"/>
  <c r="L42" i="7"/>
  <c r="K42" i="7"/>
  <c r="N42" i="7" s="1"/>
  <c r="J42" i="7"/>
  <c r="I42" i="7"/>
  <c r="H42" i="7"/>
  <c r="L41" i="7"/>
  <c r="K41" i="7"/>
  <c r="J41" i="7"/>
  <c r="M41" i="7" s="1"/>
  <c r="I41" i="7"/>
  <c r="H41" i="7"/>
  <c r="K40" i="7"/>
  <c r="J40" i="7"/>
  <c r="M40" i="7" s="1"/>
  <c r="I40" i="7"/>
  <c r="L40" i="7" s="1"/>
  <c r="H40" i="7"/>
  <c r="J39" i="7"/>
  <c r="M39" i="7" s="1"/>
  <c r="I39" i="7"/>
  <c r="L39" i="7" s="1"/>
  <c r="H39" i="7"/>
  <c r="K39" i="7" s="1"/>
  <c r="J38" i="7"/>
  <c r="M38" i="7" s="1"/>
  <c r="I38" i="7"/>
  <c r="L38" i="7" s="1"/>
  <c r="H38" i="7"/>
  <c r="K38" i="7" s="1"/>
  <c r="M37" i="7"/>
  <c r="J37" i="7"/>
  <c r="I37" i="7"/>
  <c r="L37" i="7" s="1"/>
  <c r="H37" i="7"/>
  <c r="K37" i="7" s="1"/>
  <c r="N37" i="7" s="1"/>
  <c r="M35" i="7"/>
  <c r="L35" i="7"/>
  <c r="J35" i="7"/>
  <c r="I35" i="7"/>
  <c r="H35" i="7"/>
  <c r="K35" i="7" s="1"/>
  <c r="N35" i="7" s="1"/>
  <c r="M34" i="7"/>
  <c r="L34" i="7"/>
  <c r="J34" i="7"/>
  <c r="I34" i="7"/>
  <c r="H34" i="7"/>
  <c r="K34" i="7" s="1"/>
  <c r="N34" i="7" s="1"/>
  <c r="O34" i="7" s="1"/>
  <c r="M33" i="7"/>
  <c r="L33" i="7"/>
  <c r="K33" i="7"/>
  <c r="N33" i="7" s="1"/>
  <c r="J33" i="7"/>
  <c r="H33" i="7"/>
  <c r="K31" i="7"/>
  <c r="J31" i="7"/>
  <c r="M31" i="7" s="1"/>
  <c r="I31" i="7"/>
  <c r="L31" i="7" s="1"/>
  <c r="H31" i="7"/>
  <c r="J30" i="7"/>
  <c r="M30" i="7" s="1"/>
  <c r="I30" i="7"/>
  <c r="L30" i="7" s="1"/>
  <c r="H30" i="7"/>
  <c r="K30" i="7" s="1"/>
  <c r="J29" i="7"/>
  <c r="M29" i="7" s="1"/>
  <c r="I29" i="7"/>
  <c r="L29" i="7" s="1"/>
  <c r="H29" i="7"/>
  <c r="K29" i="7" s="1"/>
  <c r="J27" i="7"/>
  <c r="M27" i="7" s="1"/>
  <c r="I27" i="7"/>
  <c r="L27" i="7" s="1"/>
  <c r="H27" i="7"/>
  <c r="K27" i="7" s="1"/>
  <c r="M26" i="7"/>
  <c r="J26" i="7"/>
  <c r="I26" i="7"/>
  <c r="L26" i="7" s="1"/>
  <c r="H26" i="7"/>
  <c r="K26" i="7" s="1"/>
  <c r="N26" i="7" s="1"/>
  <c r="M25" i="7"/>
  <c r="L25" i="7"/>
  <c r="J25" i="7"/>
  <c r="I25" i="7"/>
  <c r="H25" i="7"/>
  <c r="K25" i="7" s="1"/>
  <c r="N25" i="7" s="1"/>
  <c r="M23" i="7"/>
  <c r="L23" i="7"/>
  <c r="K23" i="7"/>
  <c r="N23" i="7" s="1"/>
  <c r="J23" i="7"/>
  <c r="I23" i="7"/>
  <c r="H23" i="7"/>
  <c r="L22" i="7"/>
  <c r="K22" i="7"/>
  <c r="N22" i="7" s="1"/>
  <c r="J22" i="7"/>
  <c r="M22" i="7" s="1"/>
  <c r="I22" i="7"/>
  <c r="H22" i="7"/>
  <c r="K21" i="7"/>
  <c r="J21" i="7"/>
  <c r="M21" i="7" s="1"/>
  <c r="I21" i="7"/>
  <c r="L21" i="7" s="1"/>
  <c r="H21" i="7"/>
  <c r="J20" i="7"/>
  <c r="M20" i="7" s="1"/>
  <c r="I20" i="7"/>
  <c r="L20" i="7" s="1"/>
  <c r="H20" i="7"/>
  <c r="K20" i="7" s="1"/>
  <c r="U19" i="7"/>
  <c r="R19" i="7"/>
  <c r="K19" i="7"/>
  <c r="N19" i="7" s="1"/>
  <c r="J19" i="7"/>
  <c r="M19" i="7" s="1"/>
  <c r="I19" i="7"/>
  <c r="L19" i="7" s="1"/>
  <c r="H19" i="7"/>
  <c r="U18" i="7"/>
  <c r="L18" i="7"/>
  <c r="J18" i="7"/>
  <c r="M18" i="7" s="1"/>
  <c r="H18" i="7"/>
  <c r="K18" i="7" s="1"/>
  <c r="J16" i="7"/>
  <c r="I16" i="7"/>
  <c r="L16" i="7" s="1"/>
  <c r="H16" i="7"/>
  <c r="K16" i="7" s="1"/>
  <c r="N16" i="7" s="1"/>
  <c r="U15" i="7"/>
  <c r="R15" i="7"/>
  <c r="J15" i="7"/>
  <c r="I15" i="7"/>
  <c r="L15" i="7" s="1"/>
  <c r="H15" i="7"/>
  <c r="K15" i="7" s="1"/>
  <c r="M14" i="7"/>
  <c r="J14" i="7"/>
  <c r="I14" i="7"/>
  <c r="H14" i="7"/>
  <c r="K14" i="7" s="1"/>
  <c r="N14" i="7" s="1"/>
  <c r="G14" i="7"/>
  <c r="L14" i="7" s="1"/>
  <c r="L12" i="7"/>
  <c r="J12" i="7"/>
  <c r="I12" i="7"/>
  <c r="H12" i="7"/>
  <c r="K12" i="7" s="1"/>
  <c r="N12" i="7" s="1"/>
  <c r="L11" i="7"/>
  <c r="K11" i="7"/>
  <c r="N11" i="7" s="1"/>
  <c r="J11" i="7"/>
  <c r="I11" i="7"/>
  <c r="H11" i="7"/>
  <c r="L10" i="7"/>
  <c r="J10" i="7"/>
  <c r="M10" i="7" s="1"/>
  <c r="H10" i="7"/>
  <c r="K10" i="7" s="1"/>
  <c r="N10" i="7" s="1"/>
  <c r="U9" i="7"/>
  <c r="T9" i="7"/>
  <c r="R9" i="7"/>
  <c r="Q9" i="7"/>
  <c r="M9" i="7"/>
  <c r="L9" i="7"/>
  <c r="K9" i="7"/>
  <c r="N9" i="7" s="1"/>
  <c r="I8" i="7"/>
  <c r="J8" i="7" s="1"/>
  <c r="R7" i="7"/>
  <c r="F3" i="7"/>
  <c r="T44" i="11" l="1"/>
  <c r="T46" i="11" s="1"/>
  <c r="H38" i="11"/>
  <c r="Q40" i="11"/>
  <c r="Z44" i="11"/>
  <c r="T40" i="11"/>
  <c r="G11" i="11"/>
  <c r="G15" i="11" s="1"/>
  <c r="G40" i="11" s="1"/>
  <c r="K21" i="11"/>
  <c r="H21" i="11" s="1"/>
  <c r="K38" i="11"/>
  <c r="K43" i="11"/>
  <c r="H7" i="11"/>
  <c r="K17" i="11"/>
  <c r="N21" i="11"/>
  <c r="N22" i="11" s="1"/>
  <c r="N40" i="11" s="1"/>
  <c r="N43" i="11"/>
  <c r="N44" i="11" s="1"/>
  <c r="Q42" i="11"/>
  <c r="Q44" i="11" s="1"/>
  <c r="Q46" i="11" s="1"/>
  <c r="Q48" i="11" s="1"/>
  <c r="N15" i="11"/>
  <c r="K8" i="11"/>
  <c r="K15" i="11" s="1"/>
  <c r="N20" i="7"/>
  <c r="N41" i="7"/>
  <c r="N30" i="7"/>
  <c r="N27" i="7"/>
  <c r="N38" i="7"/>
  <c r="N40" i="7"/>
  <c r="M46" i="7"/>
  <c r="M48" i="7" s="1"/>
  <c r="N15" i="7"/>
  <c r="N46" i="7" s="1"/>
  <c r="N18" i="7"/>
  <c r="N21" i="7"/>
  <c r="N29" i="7"/>
  <c r="N39" i="7"/>
  <c r="L46" i="7"/>
  <c r="L48" i="7" s="1"/>
  <c r="N31" i="7"/>
  <c r="G47" i="7"/>
  <c r="G48" i="7" s="1"/>
  <c r="K46" i="7"/>
  <c r="K48" i="7" s="1"/>
  <c r="T48" i="11" l="1"/>
  <c r="H8" i="11"/>
  <c r="H15" i="11" s="1"/>
  <c r="K42" i="11"/>
  <c r="K44" i="11" s="1"/>
  <c r="K46" i="11" s="1"/>
  <c r="K22" i="11"/>
  <c r="K40" i="11" s="1"/>
  <c r="H17" i="11"/>
  <c r="H22" i="11" s="1"/>
  <c r="T47" i="11"/>
  <c r="AE44" i="11"/>
  <c r="AE46" i="11" s="1"/>
  <c r="N48" i="7"/>
  <c r="Q47" i="7"/>
  <c r="H40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4F22A358-3133-496F-8407-B5708D2F719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C4D5061C-3B6A-4263-BD95-291CEAD91D4C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FD9AAF5E-84CC-4F61-A43A-CF037556ABFD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F2CE51E0-0AE5-4E84-AB60-DB5ECB06253A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G10" authorId="0" shapeId="0" xr:uid="{46AE5E7E-ED57-4593-871C-E0D686EA19D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185FDA76-0326-4407-8FEE-052B02E9D44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G11" authorId="0" shapeId="0" xr:uid="{99EAEF8D-FCB2-46F7-9FB3-29DFFBFCDF4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862AD6A0-67B8-44FC-BA17-50257E8AF9C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6EBDFDF9-90C2-4AED-9A68-6E29B2DF7A1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G15" authorId="0" shapeId="0" xr:uid="{F82779FE-0F7F-4F11-8173-04D9D073698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446D0637-C9B4-4E08-9956-AE088AD30AF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AF4D6E78-600F-491B-BC94-5BC4956C954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30DD5658-658D-4212-86F9-09EF79234F4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3E801392-1C6E-4D7C-B127-F21EC006025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15C69EA1-8A3A-4FD2-B68C-57A195D91B2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C726FEFD-6C27-45C7-BAB2-66059F7BE3E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3" authorId="0" shapeId="0" xr:uid="{4EFF0794-1A04-43D9-9A64-4CB5BA9B78B9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5" authorId="0" shapeId="0" xr:uid="{522884F1-4B62-47C0-B73F-7CE71D8D482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6" authorId="0" shapeId="0" xr:uid="{61F0E7AD-53EA-4276-8A76-65AB22384C7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9" authorId="0" shapeId="0" xr:uid="{3C7198CC-04AA-4396-91A0-778AF1B3F19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0" authorId="0" shapeId="0" xr:uid="{60251E56-E876-426D-A85E-C4EB728C7D3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1" authorId="0" shapeId="0" xr:uid="{33D6A9B5-21DB-4286-B09F-012207035B6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3" authorId="0" shapeId="0" xr:uid="{8887B8D3-8FAB-4259-91C5-1839F46F906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3" authorId="0" shapeId="0" xr:uid="{8A8AA89D-6DB1-4DEA-B319-87AEFD8788B2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4" authorId="0" shapeId="0" xr:uid="{2B5D7C20-C76C-4573-93E5-59814043B92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5" authorId="0" shapeId="0" xr:uid="{92517114-2957-4027-9616-1B46677730D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7" authorId="0" shapeId="0" xr:uid="{B0AC5228-D0ED-49E4-BB23-A3A9D8D1859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8" authorId="0" shapeId="0" xr:uid="{3529F3EC-B44C-4047-BF4D-4B15ADF145B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39" authorId="0" shapeId="0" xr:uid="{4ECB972A-1489-41C0-A6DC-2214A650BA0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AE4AA4A6-F8AF-42CF-A397-98C840E8B74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1" authorId="0" shapeId="0" xr:uid="{F1E42B8E-6D13-4B27-808C-D65B933B4E9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2" authorId="0" shapeId="0" xr:uid="{D8FFC5F7-7F11-46F2-82B2-CD7F402B554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6" authorId="2" shapeId="0" xr:uid="{ED8818C2-55FE-49E1-B4CA-10A164351628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8" authorId="3" shapeId="0" xr:uid="{7DE730A7-C9C6-4F5C-B27B-D5D5005C925B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1EB97DA5-C11E-4CC7-AA57-04D2469E3BE9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AFCEDD69-D5DF-46D5-9424-E3C02A0CE668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86E6530A-C66E-4BBD-B390-87B063A08B02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FCAE48DC-9708-4992-A835-CCEAA260D803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D26DA95F-C0FE-4159-87CB-4AD2BBA3A32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108A08CB-8B0E-487A-AF0D-CE08BE4C5A76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CA4A0225-67AE-44C2-80F4-B2F1882602BD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<sst xmlns="http://schemas.openxmlformats.org/spreadsheetml/2006/main" count="453" uniqueCount="198">
  <si>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</si>
  <si>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</si>
  <si>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</si>
  <si>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</si>
  <si>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</si>
  <si>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</si>
  <si>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</si>
  <si>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</si>
  <si>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</si>
  <si>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 xml:space="preserve"> Washington Deferrals</t>
  </si>
  <si>
    <t xml:space="preserve"> Month of</t>
  </si>
  <si>
    <t>Amortization</t>
  </si>
  <si>
    <t>Total</t>
  </si>
  <si>
    <t>Gas Cost Recognized</t>
  </si>
  <si>
    <t>Total Gas Cost Recognized</t>
  </si>
  <si>
    <t>4</t>
  </si>
  <si>
    <t>Actual Gas Cost Incurred</t>
  </si>
  <si>
    <t>Deferred Gas Cost Journalized</t>
  </si>
  <si>
    <t>47WA.2530.01253 - Gas Loss</t>
  </si>
  <si>
    <t>Gas Storage Mitigation</t>
  </si>
  <si>
    <t>Deferral Amount</t>
  </si>
  <si>
    <t>( ____ )  = credit to gas cost</t>
  </si>
  <si>
    <t>JDE Gas Cost Account Code</t>
  </si>
  <si>
    <t>JDE Deferred Gas Account Code</t>
  </si>
  <si>
    <t>5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</si>
  <si>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</si>
  <si>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</si>
  <si>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</si>
  <si>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</si>
  <si>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</si>
  <si>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</si>
  <si>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</si>
  <si>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</si>
  <si>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</si>
  <si>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</si>
  <si>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</si>
  <si>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</si>
  <si>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</si>
  <si>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</si>
  <si>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</si>
  <si>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</si>
  <si>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</si>
  <si>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</si>
  <si>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</si>
  <si>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</si>
  <si>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</si>
  <si>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</si>
  <si>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</si>
  <si>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</si>
  <si>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</si>
  <si>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</si>
  <si>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</si>
  <si>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</si>
  <si>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</si>
  <si>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</si>
  <si>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</si>
  <si>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</si>
  <si>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</si>
  <si>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</si>
  <si>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</si>
  <si>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</si>
  <si>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</si>
  <si>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</si>
  <si>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</si>
  <si>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</si>
  <si>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</si>
  <si>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</si>
  <si>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</si>
  <si>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</si>
  <si>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</si>
  <si>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</si>
  <si>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</si>
  <si>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</si>
  <si>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</si>
  <si>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</si>
  <si>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</si>
  <si>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</si>
  <si>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</si>
  <si>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</si>
  <si>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</si>
  <si>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</si>
  <si>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</si>
  <si>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</si>
  <si>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</si>
  <si>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</si>
  <si>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</si>
  <si>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</si>
  <si>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</si>
  <si>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</si>
  <si>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</si>
  <si>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</si>
  <si>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</si>
  <si>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</si>
  <si>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</si>
  <si>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</si>
  <si>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</si>
  <si>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</si>
  <si>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</si>
  <si>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</si>
  <si>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</si>
  <si>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</si>
  <si>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</si>
  <si>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</si>
  <si>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</si>
  <si>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</si>
  <si>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</si>
  <si>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</si>
  <si>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</si>
  <si>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</si>
  <si>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</si>
  <si>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</si>
  <si>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</si>
  <si>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</si>
  <si>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</si>
  <si>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</si>
  <si>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</si>
  <si>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Pg 2</t>
  </si>
  <si>
    <t>S003000804009990670001</t>
  </si>
  <si>
    <t>GC RECOGNIZED CORE TOTAL</t>
  </si>
  <si>
    <t>Total WA</t>
  </si>
  <si>
    <t>Pg 8</t>
  </si>
  <si>
    <t>A</t>
  </si>
  <si>
    <t xml:space="preserve"> </t>
  </si>
  <si>
    <t>Pg 3</t>
  </si>
  <si>
    <t>WASHINGTON - New Rates</t>
  </si>
  <si>
    <t>Nov 1 2018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</si>
  <si>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</si>
  <si>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</si>
  <si>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</si>
  <si>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</si>
  <si>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</si>
  <si>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CORE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</si>
  <si>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</si>
  <si>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</si>
  <si>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</si>
  <si>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</si>
  <si>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</si>
  <si>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</si>
  <si>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</si>
  <si>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</si>
  <si>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</si>
  <si>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</si>
  <si>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</si>
  <si>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</si>
  <si>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</si>
  <si>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</si>
  <si>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</si>
  <si>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Delivered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</si>
  <si>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</si>
  <si>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</si>
  <si>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</si>
  <si>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</si>
  <si>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</si>
  <si>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</si>
  <si>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</si>
  <si>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</si>
  <si>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</si>
  <si>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</si>
  <si>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</si>
  <si>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</si>
  <si>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</si>
  <si>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</si>
  <si>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</si>
  <si>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</si>
  <si>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</si>
  <si>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</si>
  <si>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</si>
  <si>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</si>
  <si>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</si>
  <si>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</si>
  <si>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</si>
  <si>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</si>
  <si>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</si>
  <si>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</si>
  <si>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</si>
  <si>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>Previous Month Gas Supply Analysis</t>
  </si>
  <si>
    <t>WA &amp; OR</t>
  </si>
  <si>
    <t>JDE Export</t>
  </si>
  <si>
    <t>True-up</t>
  </si>
  <si>
    <t xml:space="preserve">    </t>
  </si>
  <si>
    <t>AU</t>
  </si>
  <si>
    <t>Ledger Type</t>
  </si>
  <si>
    <t>AA</t>
  </si>
  <si>
    <t>Year</t>
  </si>
  <si>
    <t>2019</t>
  </si>
  <si>
    <t>Format</t>
  </si>
  <si>
    <t>per</t>
  </si>
  <si>
    <t>Period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</si>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</sst>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8" formatCode="_(&quot;$&quot;* #,##0_);_(&quot;$&quot;* \(#,##0\);_(&quot;$&quot;* &quot;-&quot;??_);_(@_)"/>
    <numFmt numFmtId="169" formatCode="_(&quot;$&quot;* #,##0.0_);_(&quot;$&quot;* \(#,##0.0\);_(&quot;$&quot;* &quot;-&quot;??_);_(@_)"/>
    <numFmt numFmtId="171" formatCode="_(* #,##0.0000_);_(* \(#,##0.0000\);_(* &quot;-&quot;??_);_(@_)"/>
  </numFmts>
  <fonts count="51" x14ac:knownFonts="1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1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53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4" fontId="0" fillId="0" borderId="0" xfId="0" applyNumberFormat="1"/>
    <xf numFmtId="44" fontId="3" fillId="0" borderId="0" xfId="2" applyFont="1"/>
    <xf numFmtId="0" fontId="5" fillId="0" borderId="0" xfId="0" applyFont="1"/>
    <xf numFmtId="165" fontId="3" fillId="0" borderId="0" xfId="1" applyNumberFormat="1" applyFont="1"/>
    <xf numFmtId="165" fontId="5" fillId="0" borderId="0" xfId="1" applyNumberFormat="1" applyFont="1"/>
    <xf numFmtId="0" fontId="3" fillId="0" borderId="0" xfId="0" applyFont="1" applyAlignment="1"/>
    <xf numFmtId="49" fontId="1" fillId="0" borderId="0" xfId="1" applyNumberFormat="1" applyFont="1" applyAlignment="1"/>
    <xf numFmtId="49" fontId="3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3" fillId="0" borderId="0" xfId="0" applyNumberFormat="1" applyFont="1" applyAlignment="1"/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49" fontId="3" fillId="0" borderId="0" xfId="0" applyNumberFormat="1" applyFont="1" applyFill="1" applyBorder="1" applyAlignment="1"/>
    <xf numFmtId="165" fontId="17" fillId="0" borderId="0" xfId="1" applyNumberFormat="1" applyFont="1" applyAlignment="1">
      <alignment horizontal="left"/>
    </xf>
    <xf numFmtId="49" fontId="3" fillId="0" borderId="0" xfId="1" applyNumberFormat="1" applyFont="1"/>
    <xf numFmtId="0" fontId="3" fillId="5" borderId="0" xfId="0" applyFont="1" applyFill="1" applyBorder="1"/>
    <xf numFmtId="49" fontId="3" fillId="5" borderId="0" xfId="1" applyNumberFormat="1" applyFont="1" applyFill="1" applyBorder="1"/>
    <xf numFmtId="49" fontId="3" fillId="5" borderId="0" xfId="0" applyNumberFormat="1" applyFont="1" applyFill="1" applyBorder="1"/>
    <xf numFmtId="165" fontId="3" fillId="5" borderId="0" xfId="1" applyNumberFormat="1" applyFont="1" applyFill="1" applyBorder="1" applyAlignment="1">
      <alignment horizontal="center"/>
    </xf>
    <xf numFmtId="166" fontId="3" fillId="5" borderId="0" xfId="2" applyNumberFormat="1" applyFont="1" applyFill="1" applyBorder="1" applyAlignment="1">
      <alignment horizontal="center"/>
    </xf>
    <xf numFmtId="166" fontId="3" fillId="0" borderId="0" xfId="2" applyNumberFormat="1" applyFont="1" applyFill="1" applyBorder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5" borderId="0" xfId="1" applyNumberFormat="1" applyFont="1" applyFill="1" applyBorder="1"/>
    <xf numFmtId="49" fontId="4" fillId="5" borderId="0" xfId="0" applyNumberFormat="1" applyFont="1" applyFill="1" applyBorder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3" fillId="5" borderId="1" xfId="1" applyNumberFormat="1" applyFont="1" applyFill="1" applyBorder="1" applyAlignment="1">
      <alignment horizontal="center"/>
    </xf>
    <xf numFmtId="167" fontId="19" fillId="5" borderId="1" xfId="2" applyNumberFormat="1" applyFont="1" applyFill="1" applyBorder="1" applyAlignment="1">
      <alignment horizontal="center"/>
    </xf>
    <xf numFmtId="166" fontId="3" fillId="5" borderId="1" xfId="2" applyNumberFormat="1" applyFon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Fill="1"/>
    <xf numFmtId="165" fontId="22" fillId="0" borderId="0" xfId="1" applyNumberFormat="1" applyFont="1" applyFill="1"/>
    <xf numFmtId="166" fontId="23" fillId="10" borderId="0" xfId="2" applyNumberFormat="1" applyFont="1" applyFill="1"/>
    <xf numFmtId="44" fontId="3" fillId="0" borderId="0" xfId="2" applyNumberFormat="1"/>
    <xf numFmtId="44" fontId="3" fillId="3" borderId="0" xfId="2" applyNumberFormat="1" applyFill="1"/>
    <xf numFmtId="44" fontId="3" fillId="0" borderId="0" xfId="2" applyNumberFormat="1" applyFill="1"/>
    <xf numFmtId="44" fontId="3" fillId="0" borderId="0" xfId="0" applyNumberFormat="1" applyFont="1"/>
    <xf numFmtId="166" fontId="23" fillId="11" borderId="0" xfId="2" applyNumberFormat="1" applyFont="1" applyFill="1"/>
    <xf numFmtId="44" fontId="3" fillId="0" borderId="11" xfId="2" applyNumberFormat="1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 applyFill="1"/>
    <xf numFmtId="165" fontId="25" fillId="12" borderId="0" xfId="1" applyNumberFormat="1" applyFont="1" applyFill="1"/>
    <xf numFmtId="44" fontId="4" fillId="0" borderId="0" xfId="0" applyNumberFormat="1" applyFont="1" applyFill="1"/>
    <xf numFmtId="44" fontId="3" fillId="0" borderId="0" xfId="0" applyNumberFormat="1" applyFont="1" applyFill="1"/>
    <xf numFmtId="165" fontId="26" fillId="13" borderId="0" xfId="1" applyNumberFormat="1" applyFont="1" applyFill="1"/>
    <xf numFmtId="44" fontId="27" fillId="3" borderId="0" xfId="2" applyNumberFormat="1" applyFont="1" applyFill="1"/>
    <xf numFmtId="44" fontId="27" fillId="0" borderId="0" xfId="2" applyNumberFormat="1" applyFont="1" applyFill="1"/>
    <xf numFmtId="44" fontId="3" fillId="14" borderId="0" xfId="2" applyNumberFormat="1" applyFill="1"/>
    <xf numFmtId="165" fontId="28" fillId="0" borderId="0" xfId="1" applyNumberFormat="1" applyFont="1" applyFill="1"/>
    <xf numFmtId="165" fontId="29" fillId="12" borderId="0" xfId="1" applyNumberFormat="1" applyFont="1" applyFill="1"/>
    <xf numFmtId="165" fontId="18" fillId="0" borderId="0" xfId="1" applyNumberFormat="1" applyFont="1" applyFill="1"/>
    <xf numFmtId="165" fontId="30" fillId="13" borderId="0" xfId="1" applyNumberFormat="1" applyFont="1" applyFill="1"/>
    <xf numFmtId="165" fontId="26" fillId="0" borderId="0" xfId="1" applyNumberFormat="1" applyFont="1" applyFill="1"/>
    <xf numFmtId="166" fontId="19" fillId="11" borderId="0" xfId="2" applyNumberFormat="1" applyFont="1" applyFill="1"/>
    <xf numFmtId="166" fontId="3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 applyFill="1"/>
    <xf numFmtId="165" fontId="9" fillId="0" borderId="0" xfId="1" applyNumberFormat="1" applyFont="1" applyFill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3" fillId="0" borderId="0" xfId="0" applyNumberFormat="1" applyFont="1" applyAlignment="1">
      <alignment horizontal="right"/>
    </xf>
    <xf numFmtId="49" fontId="4" fillId="0" borderId="0" xfId="0" applyNumberFormat="1" applyFont="1"/>
    <xf numFmtId="165" fontId="1" fillId="0" borderId="0" xfId="1" applyNumberFormat="1" applyFont="1"/>
    <xf numFmtId="165" fontId="8" fillId="0" borderId="0" xfId="1" applyNumberFormat="1" applyFont="1"/>
    <xf numFmtId="44" fontId="4" fillId="6" borderId="0" xfId="0" applyNumberFormat="1" applyFont="1" applyFill="1" applyBorder="1" applyAlignment="1">
      <alignment horizontal="center"/>
    </xf>
    <xf numFmtId="44" fontId="4" fillId="8" borderId="0" xfId="0" applyNumberFormat="1" applyFont="1" applyFill="1" applyBorder="1" applyAlignment="1">
      <alignment horizontal="center"/>
    </xf>
    <xf numFmtId="44" fontId="4" fillId="15" borderId="11" xfId="2" applyFont="1" applyFill="1" applyBorder="1"/>
    <xf numFmtId="44" fontId="4" fillId="0" borderId="0" xfId="2" applyNumberFormat="1" applyFont="1"/>
    <xf numFmtId="44" fontId="4" fillId="3" borderId="0" xfId="2" applyNumberFormat="1" applyFont="1" applyFill="1"/>
    <xf numFmtId="49" fontId="8" fillId="0" borderId="0" xfId="0" applyNumberFormat="1" applyFont="1"/>
    <xf numFmtId="165" fontId="8" fillId="12" borderId="0" xfId="1" applyNumberFormat="1" applyFont="1" applyFill="1"/>
    <xf numFmtId="168" fontId="3" fillId="0" borderId="0" xfId="2" applyNumberFormat="1"/>
    <xf numFmtId="44" fontId="28" fillId="0" borderId="0" xfId="2" applyNumberFormat="1" applyFont="1"/>
    <xf numFmtId="165" fontId="2" fillId="0" borderId="0" xfId="1" applyNumberFormat="1" applyFont="1" applyAlignment="1">
      <alignment horizontal="center"/>
    </xf>
    <xf numFmtId="44" fontId="3" fillId="0" borderId="0" xfId="2" applyNumberFormat="1" applyFont="1"/>
    <xf numFmtId="165" fontId="2" fillId="0" borderId="0" xfId="1" applyNumberFormat="1" applyFont="1" applyAlignment="1">
      <alignment horizontal="center" vertical="center"/>
    </xf>
    <xf numFmtId="165" fontId="3" fillId="0" borderId="0" xfId="1" applyNumberFormat="1"/>
    <xf numFmtId="44" fontId="4" fillId="0" borderId="0" xfId="2" applyNumberFormat="1" applyFont="1" applyAlignment="1">
      <alignment horizontal="left"/>
    </xf>
    <xf numFmtId="165" fontId="28" fillId="0" borderId="0" xfId="1" applyNumberFormat="1" applyFont="1"/>
    <xf numFmtId="166" fontId="3" fillId="0" borderId="0" xfId="2" applyNumberFormat="1" applyFont="1" applyAlignment="1">
      <alignment horizontal="left"/>
    </xf>
    <xf numFmtId="43" fontId="3" fillId="0" borderId="0" xfId="1" applyFont="1" applyAlignment="1">
      <alignment horizontal="left"/>
    </xf>
    <xf numFmtId="169" fontId="3" fillId="0" borderId="0" xfId="2" applyNumberFormat="1"/>
    <xf numFmtId="44" fontId="28" fillId="0" borderId="0" xfId="2" applyFont="1" applyFill="1"/>
    <xf numFmtId="44" fontId="3" fillId="0" borderId="0" xfId="2"/>
    <xf numFmtId="43" fontId="4" fillId="0" borderId="0" xfId="1" applyFont="1" applyAlignment="1">
      <alignment horizontal="left"/>
    </xf>
    <xf numFmtId="44" fontId="23" fillId="0" borderId="0" xfId="2" applyFont="1" applyFill="1"/>
    <xf numFmtId="43" fontId="3" fillId="0" borderId="0" xfId="1"/>
    <xf numFmtId="44" fontId="4" fillId="0" borderId="0" xfId="2" applyFont="1"/>
    <xf numFmtId="44" fontId="3" fillId="0" borderId="12" xfId="2" applyFont="1" applyBorder="1"/>
    <xf numFmtId="165" fontId="3" fillId="0" borderId="2" xfId="1" applyNumberFormat="1" applyFont="1" applyBorder="1"/>
    <xf numFmtId="44" fontId="3" fillId="0" borderId="2" xfId="2" applyFont="1" applyBorder="1"/>
    <xf numFmtId="43" fontId="3" fillId="0" borderId="0" xfId="1" applyNumberFormat="1" applyFont="1"/>
    <xf numFmtId="165" fontId="5" fillId="0" borderId="0" xfId="1" applyNumberFormat="1" applyFont="1" applyFill="1"/>
    <xf numFmtId="49" fontId="6" fillId="0" borderId="0" xfId="1" applyNumberFormat="1" applyFont="1" applyAlignment="1"/>
    <xf numFmtId="49" fontId="5" fillId="0" borderId="0" xfId="1" applyNumberFormat="1" applyFont="1"/>
    <xf numFmtId="49" fontId="2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NumberFormat="1" applyFont="1"/>
    <xf numFmtId="165" fontId="5" fillId="16" borderId="0" xfId="1" applyNumberFormat="1" applyFont="1" applyFill="1"/>
    <xf numFmtId="43" fontId="37" fillId="0" borderId="0" xfId="1" applyNumberFormat="1" applyFont="1"/>
    <xf numFmtId="165" fontId="34" fillId="0" borderId="0" xfId="1" applyNumberFormat="1" applyFont="1" applyFill="1"/>
    <xf numFmtId="43" fontId="34" fillId="0" borderId="0" xfId="1" applyFont="1" applyFill="1"/>
    <xf numFmtId="164" fontId="9" fillId="0" borderId="0" xfId="1" applyNumberFormat="1" applyFont="1" applyBorder="1" applyAlignment="1">
      <alignment horizontal="center"/>
    </xf>
    <xf numFmtId="164" fontId="38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"/>
    </xf>
    <xf numFmtId="165" fontId="1" fillId="0" borderId="0" xfId="1" applyNumberFormat="1" applyFont="1" applyAlignment="1">
      <alignment horizontal="center"/>
    </xf>
    <xf numFmtId="165" fontId="24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49" fontId="8" fillId="0" borderId="0" xfId="1" applyNumberFormat="1" applyFont="1" applyBorder="1"/>
    <xf numFmtId="43" fontId="5" fillId="0" borderId="0" xfId="1" applyNumberFormat="1" applyFont="1" applyBorder="1"/>
    <xf numFmtId="165" fontId="34" fillId="0" borderId="0" xfId="1" applyNumberFormat="1" applyFont="1"/>
    <xf numFmtId="165" fontId="3" fillId="16" borderId="0" xfId="1" applyNumberFormat="1" applyFont="1" applyFill="1"/>
    <xf numFmtId="164" fontId="9" fillId="0" borderId="0" xfId="1" applyNumberFormat="1" applyFont="1" applyBorder="1" applyAlignment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8" fillId="0" borderId="1" xfId="1" applyNumberFormat="1" applyFont="1" applyBorder="1"/>
    <xf numFmtId="165" fontId="1" fillId="0" borderId="1" xfId="1" applyNumberFormat="1" applyFont="1" applyBorder="1" applyAlignment="1">
      <alignment horizontal="center"/>
    </xf>
    <xf numFmtId="165" fontId="1" fillId="0" borderId="1" xfId="1" applyNumberFormat="1" applyFont="1" applyBorder="1" applyAlignment="1">
      <alignment horizontal="center" vertical="center"/>
    </xf>
    <xf numFmtId="165" fontId="1" fillId="0" borderId="0" xfId="1" applyNumberFormat="1" applyFont="1" applyAlignment="1">
      <alignment vertical="center"/>
    </xf>
    <xf numFmtId="165" fontId="1" fillId="16" borderId="0" xfId="1" applyNumberFormat="1" applyFont="1" applyFill="1"/>
    <xf numFmtId="165" fontId="8" fillId="0" borderId="1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4" fillId="5" borderId="1" xfId="1" applyNumberFormat="1" applyFont="1" applyFill="1" applyBorder="1" applyAlignment="1">
      <alignment horizontal="left"/>
    </xf>
    <xf numFmtId="165" fontId="3" fillId="5" borderId="1" xfId="1" applyNumberFormat="1" applyFont="1" applyFill="1" applyBorder="1"/>
    <xf numFmtId="165" fontId="21" fillId="5" borderId="2" xfId="1" applyNumberFormat="1" applyFont="1" applyFill="1" applyBorder="1" applyAlignment="1">
      <alignment horizontal="center"/>
    </xf>
    <xf numFmtId="43" fontId="21" fillId="5" borderId="2" xfId="1" applyNumberFormat="1" applyFont="1" applyFill="1" applyBorder="1" applyAlignment="1">
      <alignment horizontal="center"/>
    </xf>
    <xf numFmtId="165" fontId="21" fillId="5" borderId="1" xfId="1" applyNumberFormat="1" applyFont="1" applyFill="1" applyBorder="1" applyAlignment="1">
      <alignment horizontal="center"/>
    </xf>
    <xf numFmtId="43" fontId="21" fillId="5" borderId="1" xfId="1" applyNumberFormat="1" applyFont="1" applyFill="1" applyBorder="1" applyAlignment="1">
      <alignment horizontal="center"/>
    </xf>
    <xf numFmtId="165" fontId="33" fillId="5" borderId="1" xfId="1" applyNumberFormat="1" applyFont="1" applyFill="1" applyBorder="1" applyAlignment="1">
      <alignment horizontal="center"/>
    </xf>
    <xf numFmtId="165" fontId="33" fillId="5" borderId="2" xfId="1" applyNumberFormat="1" applyFont="1" applyFill="1" applyBorder="1" applyAlignment="1">
      <alignment horizontal="center"/>
    </xf>
    <xf numFmtId="43" fontId="33" fillId="5" borderId="2" xfId="1" applyNumberFormat="1" applyFont="1" applyFill="1" applyBorder="1" applyAlignment="1">
      <alignment horizontal="center"/>
    </xf>
    <xf numFmtId="43" fontId="33" fillId="5" borderId="1" xfId="1" applyNumberFormat="1" applyFont="1" applyFill="1" applyBorder="1" applyAlignment="1">
      <alignment horizontal="center"/>
    </xf>
    <xf numFmtId="165" fontId="39" fillId="5" borderId="1" xfId="1" applyNumberFormat="1" applyFont="1" applyFill="1" applyBorder="1" applyAlignment="1">
      <alignment horizontal="center"/>
    </xf>
    <xf numFmtId="43" fontId="21" fillId="0" borderId="0" xfId="1" applyNumberFormat="1" applyFont="1" applyAlignment="1">
      <alignment horizontal="center"/>
    </xf>
    <xf numFmtId="49" fontId="3" fillId="17" borderId="0" xfId="1" applyNumberFormat="1" applyFont="1" applyFill="1" applyAlignment="1">
      <alignment horizontal="right"/>
    </xf>
    <xf numFmtId="0" fontId="3" fillId="17" borderId="0" xfId="1" applyNumberFormat="1" applyFont="1" applyFill="1" applyAlignment="1">
      <alignment horizontal="center"/>
    </xf>
    <xf numFmtId="0" fontId="8" fillId="0" borderId="0" xfId="1" applyNumberFormat="1" applyFont="1" applyAlignment="1">
      <alignment horizontal="center"/>
    </xf>
    <xf numFmtId="165" fontId="32" fillId="0" borderId="0" xfId="1" applyNumberFormat="1" applyFont="1" applyAlignment="1">
      <alignment horizontal="center"/>
    </xf>
    <xf numFmtId="44" fontId="32" fillId="0" borderId="0" xfId="2" applyFont="1"/>
    <xf numFmtId="165" fontId="3" fillId="0" borderId="0" xfId="1" applyNumberFormat="1" applyFont="1" applyAlignment="1">
      <alignment horizontal="left" indent="3"/>
    </xf>
    <xf numFmtId="44" fontId="3" fillId="18" borderId="0" xfId="2" applyFont="1" applyFill="1"/>
    <xf numFmtId="165" fontId="3" fillId="0" borderId="0" xfId="1" applyNumberFormat="1" applyFont="1" applyFill="1" applyAlignment="1">
      <alignment horizontal="left"/>
    </xf>
    <xf numFmtId="44" fontId="16" fillId="18" borderId="0" xfId="2" applyFont="1" applyFill="1"/>
    <xf numFmtId="165" fontId="32" fillId="0" borderId="0" xfId="1" applyNumberFormat="1" applyFont="1" applyAlignment="1">
      <alignment horizontal="left"/>
    </xf>
    <xf numFmtId="44" fontId="9" fillId="18" borderId="0" xfId="2" applyFont="1" applyFill="1"/>
    <xf numFmtId="0" fontId="8" fillId="18" borderId="0" xfId="2" applyNumberFormat="1" applyFont="1" applyFill="1" applyAlignment="1">
      <alignment horizontal="center"/>
    </xf>
    <xf numFmtId="165" fontId="40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165" fontId="32" fillId="0" borderId="0" xfId="1" applyNumberFormat="1" applyFont="1"/>
    <xf numFmtId="165" fontId="3" fillId="0" borderId="0" xfId="1" applyNumberFormat="1" applyFont="1" applyFill="1"/>
    <xf numFmtId="44" fontId="3" fillId="19" borderId="0" xfId="2" applyNumberFormat="1" applyFont="1" applyFill="1"/>
    <xf numFmtId="44" fontId="3" fillId="19" borderId="0" xfId="2" applyFont="1" applyFill="1"/>
    <xf numFmtId="165" fontId="16" fillId="0" borderId="0" xfId="1" applyNumberFormat="1" applyFont="1"/>
    <xf numFmtId="44" fontId="16" fillId="3" borderId="0" xfId="2" applyFont="1" applyFill="1"/>
    <xf numFmtId="165" fontId="41" fillId="0" borderId="0" xfId="1" applyNumberFormat="1" applyFont="1" applyAlignment="1">
      <alignment horizontal="left"/>
    </xf>
    <xf numFmtId="44" fontId="16" fillId="19" borderId="0" xfId="2" applyFont="1" applyFill="1"/>
    <xf numFmtId="165" fontId="41" fillId="0" borderId="0" xfId="1" applyNumberFormat="1" applyFont="1" applyAlignment="1">
      <alignment horizontal="left" indent="1"/>
    </xf>
    <xf numFmtId="44" fontId="35" fillId="20" borderId="0" xfId="2" applyFont="1" applyFill="1"/>
    <xf numFmtId="0" fontId="8" fillId="19" borderId="0" xfId="1" applyNumberFormat="1" applyFont="1" applyFill="1" applyAlignment="1">
      <alignment horizontal="center"/>
    </xf>
    <xf numFmtId="165" fontId="3" fillId="0" borderId="0" xfId="1" applyNumberFormat="1" applyFont="1" applyFill="1" applyAlignment="1">
      <alignment horizontal="left" indent="3"/>
    </xf>
    <xf numFmtId="165" fontId="3" fillId="0" borderId="0" xfId="1" applyNumberFormat="1" applyFont="1" applyAlignment="1">
      <alignment horizontal="left" indent="4"/>
    </xf>
    <xf numFmtId="44" fontId="9" fillId="19" borderId="0" xfId="2" applyFont="1" applyFill="1"/>
    <xf numFmtId="165" fontId="42" fillId="0" borderId="0" xfId="1" applyNumberFormat="1" applyFont="1" applyAlignment="1">
      <alignment horizontal="left" indent="4"/>
    </xf>
    <xf numFmtId="165" fontId="43" fillId="0" borderId="0" xfId="1" applyNumberFormat="1" applyFont="1" applyAlignment="1">
      <alignment horizontal="left"/>
    </xf>
    <xf numFmtId="43" fontId="5" fillId="16" borderId="0" xfId="1" applyFont="1" applyFill="1"/>
    <xf numFmtId="44" fontId="16" fillId="19" borderId="0" xfId="2" applyNumberFormat="1" applyFont="1" applyFill="1"/>
    <xf numFmtId="49" fontId="3" fillId="2" borderId="0" xfId="1" applyNumberFormat="1" applyFont="1" applyFill="1" applyAlignment="1">
      <alignment horizontal="right"/>
    </xf>
    <xf numFmtId="0" fontId="3" fillId="2" borderId="0" xfId="1" applyNumberFormat="1" applyFont="1" applyFill="1" applyAlignment="1">
      <alignment horizontal="center"/>
    </xf>
    <xf numFmtId="0" fontId="8" fillId="21" borderId="0" xfId="1" applyNumberFormat="1" applyFont="1" applyFill="1" applyAlignment="1">
      <alignment horizontal="center"/>
    </xf>
    <xf numFmtId="165" fontId="3" fillId="21" borderId="0" xfId="1" applyNumberFormat="1" applyFont="1" applyFill="1"/>
    <xf numFmtId="44" fontId="16" fillId="21" borderId="0" xfId="2" applyFont="1" applyFill="1"/>
    <xf numFmtId="165" fontId="40" fillId="0" borderId="0" xfId="1" applyNumberFormat="1" applyFont="1"/>
    <xf numFmtId="165" fontId="32" fillId="16" borderId="0" xfId="1" applyNumberFormat="1" applyFont="1" applyFill="1" applyAlignment="1">
      <alignment horizontal="left" vertical="top"/>
    </xf>
    <xf numFmtId="43" fontId="44" fillId="0" borderId="0" xfId="1" applyFont="1"/>
    <xf numFmtId="165" fontId="42" fillId="0" borderId="0" xfId="1" applyNumberFormat="1" applyFont="1" applyAlignment="1">
      <alignment horizontal="left"/>
    </xf>
    <xf numFmtId="165" fontId="44" fillId="0" borderId="0" xfId="1" applyNumberFormat="1" applyFont="1"/>
    <xf numFmtId="165" fontId="3" fillId="0" borderId="1" xfId="1" applyNumberFormat="1" applyFont="1" applyBorder="1"/>
    <xf numFmtId="44" fontId="3" fillId="19" borderId="1" xfId="2" applyFont="1" applyFill="1" applyBorder="1"/>
    <xf numFmtId="165" fontId="28" fillId="0" borderId="1" xfId="1" applyNumberFormat="1" applyFont="1" applyBorder="1"/>
    <xf numFmtId="44" fontId="28" fillId="19" borderId="0" xfId="2" applyFont="1" applyFill="1"/>
    <xf numFmtId="44" fontId="9" fillId="19" borderId="1" xfId="2" applyFont="1" applyFill="1" applyBorder="1"/>
    <xf numFmtId="49" fontId="3" fillId="17" borderId="0" xfId="1" applyNumberFormat="1" applyFont="1" applyFill="1" applyAlignment="1">
      <alignment horizontal="center"/>
    </xf>
    <xf numFmtId="49" fontId="8" fillId="0" borderId="0" xfId="1" applyNumberFormat="1" applyFont="1" applyAlignment="1">
      <alignment horizontal="center"/>
    </xf>
    <xf numFmtId="43" fontId="3" fillId="0" borderId="2" xfId="1" applyNumberFormat="1" applyFont="1" applyBorder="1"/>
    <xf numFmtId="165" fontId="32" fillId="0" borderId="12" xfId="1" applyNumberFormat="1" applyFont="1" applyBorder="1"/>
    <xf numFmtId="44" fontId="32" fillId="0" borderId="12" xfId="2" applyFont="1" applyBorder="1"/>
    <xf numFmtId="165" fontId="3" fillId="0" borderId="12" xfId="1" applyNumberFormat="1" applyFont="1" applyBorder="1"/>
    <xf numFmtId="44" fontId="1" fillId="0" borderId="2" xfId="2" applyFont="1" applyBorder="1"/>
    <xf numFmtId="165" fontId="5" fillId="0" borderId="2" xfId="1" applyNumberFormat="1" applyFont="1" applyBorder="1" applyAlignment="1">
      <alignment horizontal="left"/>
    </xf>
    <xf numFmtId="44" fontId="34" fillId="0" borderId="0" xfId="2" applyFont="1"/>
    <xf numFmtId="43" fontId="32" fillId="0" borderId="12" xfId="1" applyNumberFormat="1" applyFont="1" applyBorder="1"/>
    <xf numFmtId="165" fontId="5" fillId="0" borderId="0" xfId="1" applyNumberFormat="1" applyFont="1" applyFill="1" applyAlignment="1">
      <alignment horizontal="left"/>
    </xf>
    <xf numFmtId="43" fontId="32" fillId="0" borderId="0" xfId="1" applyNumberFormat="1" applyFont="1"/>
    <xf numFmtId="165" fontId="32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165" fontId="32" fillId="0" borderId="0" xfId="1" applyNumberFormat="1" applyFont="1" applyAlignment="1"/>
    <xf numFmtId="44" fontId="9" fillId="18" borderId="0" xfId="2" applyFont="1" applyFill="1" applyAlignment="1"/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3" fillId="18" borderId="1" xfId="2" applyFont="1" applyFill="1" applyBorder="1"/>
    <xf numFmtId="165" fontId="3" fillId="0" borderId="0" xfId="1" applyNumberFormat="1" applyFont="1" applyAlignment="1">
      <alignment horizontal="center"/>
    </xf>
    <xf numFmtId="165" fontId="3" fillId="0" borderId="1" xfId="1" applyNumberFormat="1" applyFont="1" applyBorder="1" applyAlignment="1">
      <alignment horizontal="left" indent="3"/>
    </xf>
    <xf numFmtId="44" fontId="16" fillId="18" borderId="1" xfId="2" applyFont="1" applyFill="1" applyBorder="1"/>
    <xf numFmtId="165" fontId="32" fillId="0" borderId="2" xfId="1" applyNumberFormat="1" applyFont="1" applyBorder="1"/>
    <xf numFmtId="44" fontId="32" fillId="0" borderId="2" xfId="2" applyFont="1" applyBorder="1"/>
    <xf numFmtId="165" fontId="32" fillId="0" borderId="2" xfId="1" applyNumberFormat="1" applyFont="1" applyBorder="1" applyAlignment="1">
      <alignment horizontal="left" indent="3"/>
    </xf>
    <xf numFmtId="165" fontId="3" fillId="0" borderId="12" xfId="1" applyNumberFormat="1" applyFont="1" applyBorder="1" applyAlignment="1">
      <alignment horizontal="left" indent="3"/>
    </xf>
    <xf numFmtId="44" fontId="8" fillId="0" borderId="2" xfId="2" applyFont="1" applyBorder="1"/>
    <xf numFmtId="165" fontId="32" fillId="0" borderId="2" xfId="1" applyNumberFormat="1" applyFont="1" applyBorder="1" applyAlignment="1"/>
    <xf numFmtId="44" fontId="1" fillId="0" borderId="12" xfId="2" applyFont="1" applyBorder="1"/>
    <xf numFmtId="165" fontId="5" fillId="0" borderId="12" xfId="1" applyNumberFormat="1" applyFont="1" applyBorder="1"/>
    <xf numFmtId="165" fontId="32" fillId="0" borderId="12" xfId="1" applyNumberFormat="1" applyFont="1" applyBorder="1" applyAlignment="1">
      <alignment horizontal="left" indent="3"/>
    </xf>
    <xf numFmtId="165" fontId="8" fillId="0" borderId="0" xfId="1" applyNumberFormat="1" applyFont="1" applyAlignment="1">
      <alignment horizontal="left"/>
    </xf>
    <xf numFmtId="165" fontId="1" fillId="0" borderId="0" xfId="1" applyNumberFormat="1" applyFont="1" applyAlignment="1">
      <alignment horizontal="left"/>
    </xf>
    <xf numFmtId="44" fontId="32" fillId="0" borderId="1" xfId="2" applyFont="1" applyBorder="1"/>
    <xf numFmtId="44" fontId="16" fillId="19" borderId="1" xfId="2" applyFont="1" applyFill="1" applyBorder="1"/>
    <xf numFmtId="165" fontId="40" fillId="0" borderId="1" xfId="1" applyNumberFormat="1" applyFont="1" applyBorder="1" applyAlignment="1"/>
    <xf numFmtId="49" fontId="8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 applyAlignment="1">
      <alignment horizontal="left"/>
    </xf>
    <xf numFmtId="165" fontId="4" fillId="0" borderId="2" xfId="1" applyNumberFormat="1" applyFont="1" applyBorder="1"/>
    <xf numFmtId="165" fontId="5" fillId="0" borderId="0" xfId="1" applyNumberFormat="1" applyFont="1" applyAlignment="1">
      <alignment horizontal="left" indent="1"/>
    </xf>
    <xf numFmtId="43" fontId="5" fillId="0" borderId="2" xfId="1" applyNumberFormat="1" applyFont="1" applyBorder="1"/>
    <xf numFmtId="43" fontId="32" fillId="0" borderId="2" xfId="1" applyNumberFormat="1" applyFont="1" applyBorder="1"/>
    <xf numFmtId="165" fontId="32" fillId="0" borderId="0" xfId="1" applyNumberFormat="1" applyFont="1" applyFill="1" applyAlignment="1">
      <alignment horizontal="left"/>
    </xf>
    <xf numFmtId="44" fontId="4" fillId="0" borderId="2" xfId="2" applyFont="1" applyBorder="1"/>
    <xf numFmtId="165" fontId="5" fillId="0" borderId="2" xfId="1" applyNumberFormat="1" applyFont="1" applyBorder="1"/>
    <xf numFmtId="165" fontId="1" fillId="0" borderId="2" xfId="1" applyNumberFormat="1" applyFont="1" applyBorder="1"/>
    <xf numFmtId="165" fontId="1" fillId="0" borderId="0" xfId="1" applyNumberFormat="1" applyFont="1" applyFill="1" applyAlignment="1">
      <alignment horizontal="left"/>
    </xf>
    <xf numFmtId="165" fontId="8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12" xfId="1" applyNumberFormat="1" applyFont="1" applyBorder="1"/>
    <xf numFmtId="165" fontId="4" fillId="0" borderId="0" xfId="1" applyNumberFormat="1" applyFont="1" applyAlignment="1">
      <alignment horizontal="center"/>
    </xf>
    <xf numFmtId="44" fontId="1" fillId="4" borderId="0" xfId="2" applyFont="1" applyFill="1"/>
    <xf numFmtId="44" fontId="1" fillId="9" borderId="0" xfId="2" applyFont="1" applyFill="1"/>
    <xf numFmtId="165" fontId="32" fillId="16" borderId="0" xfId="1" applyNumberFormat="1" applyFont="1" applyFill="1"/>
    <xf numFmtId="44" fontId="8" fillId="19" borderId="0" xfId="2" applyFont="1" applyFill="1"/>
    <xf numFmtId="44" fontId="1" fillId="19" borderId="0" xfId="2" applyFont="1" applyFill="1"/>
    <xf numFmtId="44" fontId="5" fillId="20" borderId="0" xfId="2" applyFont="1" applyFill="1"/>
    <xf numFmtId="44" fontId="8" fillId="18" borderId="0" xfId="2" applyFont="1" applyFill="1"/>
    <xf numFmtId="44" fontId="1" fillId="18" borderId="0" xfId="2" applyFont="1" applyFill="1"/>
    <xf numFmtId="44" fontId="5" fillId="18" borderId="0" xfId="2" applyFont="1" applyFill="1"/>
    <xf numFmtId="165" fontId="32" fillId="0" borderId="0" xfId="1" applyNumberFormat="1" applyFont="1" applyFill="1"/>
    <xf numFmtId="44" fontId="34" fillId="0" borderId="2" xfId="2" applyFont="1" applyBorder="1"/>
    <xf numFmtId="44" fontId="34" fillId="0" borderId="0" xfId="2" applyFont="1" applyBorder="1"/>
    <xf numFmtId="44" fontId="1" fillId="0" borderId="0" xfId="2" applyNumberFormat="1" applyFont="1" applyBorder="1"/>
    <xf numFmtId="43" fontId="8" fillId="3" borderId="2" xfId="1" applyNumberFormat="1" applyFont="1" applyFill="1" applyBorder="1"/>
    <xf numFmtId="165" fontId="45" fillId="0" borderId="0" xfId="1" applyNumberFormat="1" applyFont="1" applyFill="1"/>
    <xf numFmtId="43" fontId="8" fillId="0" borderId="0" xfId="1" applyNumberFormat="1" applyFont="1" applyFill="1" applyAlignment="1">
      <alignment horizontal="left"/>
    </xf>
    <xf numFmtId="43" fontId="4" fillId="0" borderId="12" xfId="1" applyFont="1" applyBorder="1"/>
    <xf numFmtId="165" fontId="46" fillId="0" borderId="0" xfId="1" applyNumberFormat="1" applyFont="1" applyAlignment="1">
      <alignment horizontal="left" wrapText="1"/>
    </xf>
    <xf numFmtId="43" fontId="5" fillId="0" borderId="0" xfId="1" applyNumberFormat="1" applyFont="1" applyAlignment="1">
      <alignment horizontal="left"/>
    </xf>
    <xf numFmtId="165" fontId="45" fillId="0" borderId="0" xfId="1" applyNumberFormat="1" applyFont="1"/>
    <xf numFmtId="43" fontId="8" fillId="0" borderId="0" xfId="1" applyNumberFormat="1" applyFont="1" applyAlignment="1">
      <alignment horizontal="left"/>
    </xf>
    <xf numFmtId="165" fontId="5" fillId="0" borderId="0" xfId="1" applyNumberFormat="1" applyFont="1" applyBorder="1"/>
    <xf numFmtId="43" fontId="8" fillId="22" borderId="2" xfId="1" applyNumberFormat="1" applyFont="1" applyFill="1" applyBorder="1" applyAlignment="1">
      <alignment horizontal="left"/>
    </xf>
    <xf numFmtId="165" fontId="34" fillId="0" borderId="0" xfId="1" applyNumberFormat="1" applyFont="1" applyBorder="1"/>
    <xf numFmtId="43" fontId="1" fillId="0" borderId="0" xfId="1" applyNumberFormat="1" applyFont="1" applyBorder="1" applyAlignment="1">
      <alignment horizontal="left"/>
    </xf>
    <xf numFmtId="43" fontId="5" fillId="0" borderId="0" xfId="1" applyFont="1"/>
    <xf numFmtId="49" fontId="1" fillId="16" borderId="0" xfId="0" applyNumberFormat="1" applyFont="1" applyFill="1" applyAlignment="1">
      <alignment horizontal="right"/>
    </xf>
    <xf numFmtId="49" fontId="3" fillId="16" borderId="0" xfId="0" applyNumberFormat="1" applyFont="1" applyFill="1" applyAlignment="1">
      <alignment horizontal="right"/>
    </xf>
    <xf numFmtId="49" fontId="1" fillId="0" borderId="0" xfId="0" applyNumberFormat="1" applyFont="1" applyAlignment="1">
      <alignment horizontal="center"/>
    </xf>
    <xf numFmtId="43" fontId="8" fillId="0" borderId="0" xfId="1" applyNumberFormat="1" applyFont="1" applyBorder="1" applyAlignment="1">
      <alignment horizontal="left"/>
    </xf>
    <xf numFmtId="0" fontId="5" fillId="0" borderId="0" xfId="1" applyNumberFormat="1" applyFont="1"/>
    <xf numFmtId="15" fontId="5" fillId="0" borderId="0" xfId="1" applyNumberFormat="1" applyFont="1"/>
    <xf numFmtId="49" fontId="1" fillId="7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9" fontId="3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center"/>
    </xf>
    <xf numFmtId="43" fontId="8" fillId="0" borderId="0" xfId="1" applyFont="1"/>
    <xf numFmtId="165" fontId="32" fillId="0" borderId="0" xfId="1" applyNumberFormat="1" applyFont="1" applyAlignment="1">
      <alignment horizontal="right"/>
    </xf>
    <xf numFmtId="43" fontId="8" fillId="0" borderId="0" xfId="1" applyFont="1" applyFill="1"/>
    <xf numFmtId="43" fontId="8" fillId="0" borderId="12" xfId="1" applyNumberFormat="1" applyFont="1" applyBorder="1" applyAlignment="1">
      <alignment vertical="center"/>
    </xf>
    <xf numFmtId="165" fontId="8" fillId="0" borderId="0" xfId="1" applyNumberFormat="1" applyFont="1" applyBorder="1"/>
    <xf numFmtId="43" fontId="8" fillId="0" borderId="0" xfId="1" applyNumberFormat="1" applyFont="1" applyBorder="1"/>
    <xf numFmtId="171" fontId="34" fillId="0" borderId="0" xfId="1" applyNumberFormat="1" applyFont="1"/>
    <xf numFmtId="171" fontId="5" fillId="0" borderId="0" xfId="1" applyNumberFormat="1" applyFont="1"/>
    <xf numFmtId="0" fontId="3" fillId="0" borderId="0" xfId="4"/>
    <xf numFmtId="0" fontId="3" fillId="0" borderId="0" xfId="4" applyFill="1"/>
    <xf numFmtId="165" fontId="5" fillId="0" borderId="0" xfId="5" applyNumberFormat="1" applyFont="1" applyFill="1"/>
    <xf numFmtId="0" fontId="3" fillId="0" borderId="0" xfId="4" applyFill="1" applyAlignment="1">
      <alignment horizontal="center"/>
    </xf>
    <xf numFmtId="44" fontId="3" fillId="0" borderId="0" xfId="4" applyNumberFormat="1" applyFill="1"/>
    <xf numFmtId="0" fontId="3" fillId="0" borderId="0" xfId="4" applyFont="1" applyFill="1"/>
    <xf numFmtId="0" fontId="3" fillId="0" borderId="0" xfId="4" applyFont="1" applyFill="1" applyBorder="1"/>
    <xf numFmtId="0" fontId="9" fillId="0" borderId="0" xfId="4" applyFont="1" applyFill="1" applyAlignment="1">
      <alignment horizontal="center"/>
    </xf>
    <xf numFmtId="0" fontId="9" fillId="0" borderId="10" xfId="4" applyFont="1" applyFill="1" applyBorder="1" applyAlignment="1">
      <alignment horizontal="center"/>
    </xf>
    <xf numFmtId="0" fontId="1" fillId="0" borderId="0" xfId="4" applyFont="1" applyFill="1" applyAlignment="1">
      <alignment horizontal="right"/>
    </xf>
    <xf numFmtId="44" fontId="1" fillId="0" borderId="0" xfId="4" applyNumberFormat="1" applyFont="1" applyFill="1" applyAlignment="1">
      <alignment horizontal="right"/>
    </xf>
    <xf numFmtId="165" fontId="3" fillId="0" borderId="0" xfId="5" applyNumberFormat="1" applyFont="1" applyFill="1"/>
    <xf numFmtId="44" fontId="1" fillId="0" borderId="0" xfId="4" applyNumberFormat="1" applyFont="1" applyFill="1"/>
    <xf numFmtId="44" fontId="1" fillId="0" borderId="4" xfId="4" applyNumberFormat="1" applyFont="1" applyFill="1" applyBorder="1"/>
    <xf numFmtId="0" fontId="1" fillId="0" borderId="0" xfId="4" applyFont="1" applyFill="1"/>
    <xf numFmtId="49" fontId="7" fillId="0" borderId="4" xfId="4" applyNumberFormat="1" applyFont="1" applyFill="1" applyBorder="1" applyAlignment="1">
      <alignment horizontal="center"/>
    </xf>
    <xf numFmtId="49" fontId="7" fillId="0" borderId="0" xfId="4" applyNumberFormat="1" applyFont="1" applyFill="1" applyAlignment="1">
      <alignment horizontal="center"/>
    </xf>
    <xf numFmtId="44" fontId="9" fillId="0" borderId="4" xfId="4" applyNumberFormat="1" applyFont="1" applyFill="1" applyBorder="1" applyAlignment="1">
      <alignment horizontal="center"/>
    </xf>
    <xf numFmtId="44" fontId="1" fillId="0" borderId="8" xfId="4" applyNumberFormat="1" applyFont="1" applyFill="1" applyBorder="1" applyAlignment="1">
      <alignment horizontal="left"/>
    </xf>
    <xf numFmtId="44" fontId="1" fillId="0" borderId="0" xfId="4" applyNumberFormat="1" applyFont="1" applyFill="1" applyAlignment="1">
      <alignment horizontal="center"/>
    </xf>
    <xf numFmtId="0" fontId="1" fillId="0" borderId="4" xfId="4" applyFont="1" applyFill="1" applyBorder="1"/>
    <xf numFmtId="0" fontId="1" fillId="0" borderId="8" xfId="4" applyFont="1" applyFill="1" applyBorder="1"/>
    <xf numFmtId="44" fontId="8" fillId="0" borderId="2" xfId="4" applyNumberFormat="1" applyFont="1" applyFill="1" applyBorder="1"/>
    <xf numFmtId="44" fontId="8" fillId="0" borderId="9" xfId="4" applyNumberFormat="1" applyFont="1" applyFill="1" applyBorder="1"/>
    <xf numFmtId="0" fontId="4" fillId="0" borderId="2" xfId="4" applyFont="1" applyFill="1" applyBorder="1"/>
    <xf numFmtId="0" fontId="8" fillId="0" borderId="2" xfId="4" applyFont="1" applyFill="1" applyBorder="1" applyAlignment="1">
      <alignment horizontal="left" indent="1"/>
    </xf>
    <xf numFmtId="44" fontId="1" fillId="0" borderId="0" xfId="6" applyFont="1" applyFill="1"/>
    <xf numFmtId="44" fontId="1" fillId="0" borderId="4" xfId="6" applyFont="1" applyFill="1" applyBorder="1"/>
    <xf numFmtId="0" fontId="1" fillId="0" borderId="1" xfId="4" applyFont="1" applyFill="1" applyBorder="1"/>
    <xf numFmtId="0" fontId="1" fillId="0" borderId="1" xfId="4" applyFont="1" applyFill="1" applyBorder="1" applyAlignment="1"/>
    <xf numFmtId="44" fontId="1" fillId="0" borderId="0" xfId="6" applyFont="1" applyFill="1" applyBorder="1"/>
    <xf numFmtId="0" fontId="1" fillId="0" borderId="0" xfId="6" applyNumberFormat="1" applyFont="1" applyFill="1" applyBorder="1" applyAlignment="1">
      <alignment horizontal="left"/>
    </xf>
    <xf numFmtId="44" fontId="1" fillId="0" borderId="8" xfId="6" applyFont="1" applyFill="1" applyBorder="1"/>
    <xf numFmtId="0" fontId="1" fillId="0" borderId="0" xfId="4" applyFont="1" applyFill="1" applyAlignment="1"/>
    <xf numFmtId="44" fontId="1" fillId="0" borderId="7" xfId="6" applyFont="1" applyFill="1" applyBorder="1"/>
    <xf numFmtId="44" fontId="1" fillId="0" borderId="1" xfId="4" applyNumberFormat="1" applyFont="1" applyFill="1" applyBorder="1"/>
    <xf numFmtId="44" fontId="1" fillId="0" borderId="5" xfId="6" applyFont="1" applyFill="1" applyBorder="1"/>
    <xf numFmtId="44" fontId="1" fillId="0" borderId="1" xfId="6" applyFont="1" applyFill="1" applyBorder="1"/>
    <xf numFmtId="44" fontId="1" fillId="0" borderId="6" xfId="4" applyNumberFormat="1" applyFont="1" applyFill="1" applyBorder="1" applyAlignment="1">
      <alignment horizontal="center"/>
    </xf>
    <xf numFmtId="44" fontId="1" fillId="0" borderId="4" xfId="4" applyNumberFormat="1" applyFont="1" applyFill="1" applyBorder="1" applyAlignment="1">
      <alignment horizontal="center"/>
    </xf>
    <xf numFmtId="44" fontId="1" fillId="0" borderId="0" xfId="4" applyNumberFormat="1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1" fillId="0" borderId="5" xfId="4" applyFont="1" applyFill="1" applyBorder="1" applyAlignment="1">
      <alignment horizontal="center"/>
    </xf>
    <xf numFmtId="0" fontId="8" fillId="0" borderId="1" xfId="4" applyFont="1" applyFill="1" applyBorder="1"/>
    <xf numFmtId="0" fontId="7" fillId="0" borderId="0" xfId="4" applyFont="1" applyFill="1" applyBorder="1" applyAlignment="1">
      <alignment horizontal="center"/>
    </xf>
    <xf numFmtId="0" fontId="7" fillId="0" borderId="4" xfId="4" applyFont="1" applyFill="1" applyBorder="1" applyAlignment="1">
      <alignment horizontal="center"/>
    </xf>
    <xf numFmtId="0" fontId="4" fillId="0" borderId="0" xfId="4" applyFont="1" applyFill="1" applyBorder="1"/>
    <xf numFmtId="0" fontId="3" fillId="0" borderId="1" xfId="4" applyFill="1" applyBorder="1" applyAlignment="1">
      <alignment horizontal="center"/>
    </xf>
    <xf numFmtId="0" fontId="3" fillId="0" borderId="3" xfId="4" applyFill="1" applyBorder="1" applyAlignment="1">
      <alignment horizontal="center"/>
    </xf>
    <xf numFmtId="0" fontId="3" fillId="0" borderId="1" xfId="4" applyFill="1" applyBorder="1" applyAlignment="1">
      <alignment horizontal="center"/>
    </xf>
    <xf numFmtId="164" fontId="6" fillId="0" borderId="0" xfId="4" applyNumberFormat="1" applyFont="1" applyFill="1" applyBorder="1" applyAlignment="1"/>
    <xf numFmtId="164" fontId="6" fillId="0" borderId="0" xfId="4" applyNumberFormat="1" applyFont="1" applyFill="1" applyBorder="1" applyAlignment="1">
      <alignment horizontal="left"/>
    </xf>
    <xf numFmtId="0" fontId="6" fillId="0" borderId="0" xfId="4" applyFont="1" applyFill="1" applyAlignment="1"/>
    <xf numFmtId="0" fontId="4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right"/>
    </xf>
  </cellXfs>
  <cellStyles count="7">
    <cellStyle name="Comma" xfId="1" builtinId="3"/>
    <cellStyle name="Comma 3" xfId="5" xr:uid="{D6DC5BD0-FC0B-46B4-96F6-6869B30F20D3}"/>
    <cellStyle name="Currency" xfId="2" builtinId="4"/>
    <cellStyle name="Currency 3" xfId="6" xr:uid="{455E3C34-D0B4-473B-913B-BBEFB8CFF2C3}"/>
    <cellStyle name="Normal" xfId="0" builtinId="0"/>
    <cellStyle name="Normal 2" xfId="4" xr:uid="{324ECFBC-CF66-4A40-B22B-09B82E386370}"/>
    <cellStyle name="Normal 3" xfId="3" xr:uid="{BC355404-A945-467A-8BE3-3B4E45E8A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9\04-2019\Core%20GC%20Allocations%2004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19\Gas%20Supply%20Analysis\3-2019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Global%20Software%20SSJDE/Spreadsheet%20Server%20for%20JDE/GSI_SSJDE.xl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%202019\04-2019\WA\UG-180788%20CNGC%20Monthly%20PGA%20Rpt%20April%202019,%205.31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WA Deferrals"/>
      <sheetName val="OR Deferrals"/>
      <sheetName val="WA Rates Old Rates"/>
      <sheetName val="OR Rates 2015"/>
      <sheetName val="OR Deferrals Incl true-up 2"/>
      <sheetName val="WA Rates"/>
      <sheetName val="OR Rates Old Rates"/>
      <sheetName val="WA Rates New Rates"/>
      <sheetName val="OR Rates"/>
      <sheetName val="Core Cost Incur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>
            <v>43580</v>
          </cell>
        </row>
        <row r="42">
          <cell r="K42">
            <v>4899518.6500000004</v>
          </cell>
        </row>
        <row r="43">
          <cell r="K43">
            <v>3809668.2599999993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Gas - Accrual"/>
      <sheetName val="Core Gas - Actual"/>
      <sheetName val="Core Gas - True-Up"/>
      <sheetName val="Demand Charges"/>
      <sheetName val="Supplier Invoic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5">
          <cell r="Q95">
            <v>-72201.423820000709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GSI_SSJDE"/>
      <sheetName val="YTD DOWNLOAD"/>
      <sheetName val="Links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  <sheetName val="PRINT_MACRO"/>
    </sheetNames>
    <definedNames>
      <definedName name="SSGXA4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6"/>
      <sheetName val="DG 2530.01288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0.20481"/>
      <sheetName val="FERC Interest Rates"/>
      <sheetName val="Therm S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5.45E-2</v>
          </cell>
          <cell r="C88">
            <v>31</v>
          </cell>
        </row>
        <row r="89">
          <cell r="A89">
            <v>43708</v>
          </cell>
          <cell r="B89">
            <v>5.45E-2</v>
          </cell>
          <cell r="C89">
            <v>31</v>
          </cell>
        </row>
        <row r="90">
          <cell r="A90">
            <v>43738</v>
          </cell>
          <cell r="B90">
            <v>5.45E-2</v>
          </cell>
          <cell r="C90">
            <v>30</v>
          </cell>
        </row>
        <row r="91">
          <cell r="A91">
            <v>43769</v>
          </cell>
          <cell r="B91">
            <v>5.45E-2</v>
          </cell>
          <cell r="C91">
            <v>31</v>
          </cell>
        </row>
        <row r="92">
          <cell r="A92">
            <v>43799</v>
          </cell>
          <cell r="B92">
            <v>5.45E-2</v>
          </cell>
          <cell r="C92">
            <v>30</v>
          </cell>
        </row>
        <row r="93">
          <cell r="A93">
            <v>43830</v>
          </cell>
          <cell r="B93">
            <v>5.45E-2</v>
          </cell>
          <cell r="C93">
            <v>31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7C9FF-9FEE-4A69-B0DF-872121EFC027}">
  <dimension ref="B1:AK110"/>
  <sheetViews>
    <sheetView showGridLines="0" tabSelected="1" zoomScale="70" zoomScaleNormal="70" workbookViewId="0">
      <selection activeCell="N51" sqref="N51"/>
    </sheetView>
  </sheetViews>
  <sheetFormatPr defaultRowHeight="12.75" x14ac:dyDescent="0.2"/>
  <cols>
    <col min="1" max="1" width="1.7109375" customWidth="1"/>
    <col min="2" max="2" width="21.7109375" style="3" customWidth="1"/>
    <col min="3" max="3" width="26.140625" style="22" customWidth="1"/>
    <col min="4" max="4" width="3.5703125" style="11" hidden="1" customWidth="1"/>
    <col min="5" max="5" width="4" style="11" bestFit="1" customWidth="1"/>
    <col min="6" max="6" width="13.7109375" style="11" customWidth="1"/>
    <col min="7" max="7" width="15" style="95" bestFit="1" customWidth="1"/>
    <col min="8" max="8" width="12.140625" style="71" customWidth="1"/>
    <col min="9" max="9" width="11.85546875" style="71" bestFit="1" customWidth="1"/>
    <col min="10" max="10" width="14" style="71" bestFit="1" customWidth="1"/>
    <col min="11" max="12" width="16.140625" style="71" bestFit="1" customWidth="1"/>
    <col min="13" max="13" width="14.5703125" style="71" bestFit="1" customWidth="1"/>
    <col min="14" max="14" width="16.85546875" style="71" bestFit="1" customWidth="1"/>
    <col min="15" max="15" width="16.85546875" style="71" customWidth="1"/>
    <col min="16" max="16" width="1.7109375" customWidth="1"/>
    <col min="17" max="17" width="16.42578125" bestFit="1" customWidth="1"/>
    <col min="18" max="18" width="14.7109375" bestFit="1" customWidth="1"/>
    <col min="19" max="19" width="9.7109375" customWidth="1"/>
    <col min="20" max="20" width="13.85546875" bestFit="1" customWidth="1"/>
    <col min="21" max="21" width="12.85546875" bestFit="1" customWidth="1"/>
    <col min="22" max="28" width="9.7109375" customWidth="1"/>
    <col min="29" max="29" width="25.28515625" customWidth="1"/>
    <col min="30" max="30" width="19.28515625" bestFit="1" customWidth="1"/>
    <col min="31" max="31" width="11.42578125" bestFit="1" customWidth="1"/>
    <col min="32" max="32" width="17" bestFit="1" customWidth="1"/>
    <col min="33" max="33" width="14.7109375" customWidth="1"/>
    <col min="35" max="35" width="17" bestFit="1" customWidth="1"/>
    <col min="36" max="36" width="13.85546875" bestFit="1" customWidth="1"/>
    <col min="37" max="37" width="31.7109375" customWidth="1"/>
  </cols>
  <sheetData>
    <row r="1" spans="2:37" ht="14.25" customHeight="1" x14ac:dyDescent="0.2">
      <c r="B1" s="9" t="s">
        <v>25</v>
      </c>
      <c r="C1" s="10"/>
      <c r="E1" s="12" t="s">
        <v>124</v>
      </c>
      <c r="F1" s="12"/>
      <c r="G1" s="12"/>
      <c r="H1" s="12"/>
      <c r="I1" s="12"/>
      <c r="J1" s="12"/>
      <c r="K1" s="12"/>
      <c r="L1" s="13"/>
      <c r="M1" s="13"/>
      <c r="N1" s="13"/>
      <c r="O1" s="13"/>
      <c r="P1" s="13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</row>
    <row r="2" spans="2:37" ht="14.25" customHeight="1" x14ac:dyDescent="0.25">
      <c r="B2" s="9" t="s">
        <v>26</v>
      </c>
      <c r="C2" s="10"/>
      <c r="D2" s="14"/>
      <c r="E2" s="12"/>
      <c r="F2" s="12"/>
      <c r="G2" s="12"/>
      <c r="H2" s="12"/>
      <c r="I2" s="12"/>
      <c r="J2" s="12"/>
      <c r="K2" s="12"/>
      <c r="L2" s="15" t="s">
        <v>27</v>
      </c>
      <c r="M2" s="15"/>
      <c r="N2" s="15"/>
      <c r="O2" s="15"/>
      <c r="P2" s="15"/>
    </row>
    <row r="3" spans="2:37" ht="14.25" customHeight="1" x14ac:dyDescent="0.25">
      <c r="B3" s="16" t="s">
        <v>28</v>
      </c>
      <c r="C3" s="16"/>
      <c r="D3" s="14"/>
      <c r="E3" s="17"/>
      <c r="F3" s="18">
        <f>'Core Cost Incurred'!B2</f>
        <v>43580</v>
      </c>
      <c r="G3" s="18"/>
      <c r="H3" s="18"/>
      <c r="I3" s="18"/>
      <c r="J3" s="18"/>
      <c r="K3" s="18"/>
      <c r="L3" s="19" t="s">
        <v>29</v>
      </c>
      <c r="M3" s="19"/>
      <c r="N3" s="19"/>
      <c r="O3" s="19"/>
      <c r="P3" s="19"/>
    </row>
    <row r="4" spans="2:37" ht="14.25" customHeight="1" x14ac:dyDescent="0.25">
      <c r="B4" s="20" t="s">
        <v>30</v>
      </c>
      <c r="C4" s="20"/>
      <c r="D4" s="14"/>
      <c r="E4" s="17"/>
      <c r="F4" s="18"/>
      <c r="G4" s="18"/>
      <c r="H4" s="18"/>
      <c r="I4" s="18"/>
      <c r="J4" s="18"/>
      <c r="K4" s="18"/>
      <c r="L4" s="21" t="s">
        <v>31</v>
      </c>
      <c r="M4" s="21"/>
      <c r="N4" s="21"/>
      <c r="O4" s="21"/>
      <c r="P4" s="21"/>
    </row>
    <row r="5" spans="2:37" ht="14.25" customHeight="1" x14ac:dyDescent="0.2">
      <c r="D5" s="14"/>
      <c r="E5" s="17"/>
      <c r="F5" s="17"/>
      <c r="G5" s="17"/>
      <c r="H5" s="17"/>
      <c r="I5" s="17"/>
      <c r="J5" s="17"/>
      <c r="K5" s="17"/>
      <c r="L5" s="13"/>
      <c r="M5" s="13"/>
      <c r="N5" s="13"/>
      <c r="O5" s="13"/>
      <c r="P5" s="13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2:37" ht="15" x14ac:dyDescent="0.25">
      <c r="B6" s="23"/>
      <c r="C6" s="24"/>
      <c r="D6" s="25"/>
      <c r="E6" s="25"/>
      <c r="F6" s="25"/>
      <c r="G6" s="26" t="s">
        <v>32</v>
      </c>
      <c r="H6" s="27" t="s">
        <v>3</v>
      </c>
      <c r="I6" s="27" t="s">
        <v>6</v>
      </c>
      <c r="J6" s="27" t="s">
        <v>33</v>
      </c>
      <c r="K6" s="27" t="s">
        <v>3</v>
      </c>
      <c r="L6" s="27" t="s">
        <v>6</v>
      </c>
      <c r="M6" s="27"/>
      <c r="N6" s="27" t="s">
        <v>12</v>
      </c>
      <c r="O6" s="28"/>
      <c r="Q6" s="29"/>
      <c r="R6" s="34">
        <v>200294.94</v>
      </c>
      <c r="S6" s="29"/>
      <c r="T6" s="29"/>
      <c r="U6" s="34">
        <v>140046.39000000001</v>
      </c>
      <c r="V6" s="29"/>
      <c r="W6" s="29"/>
      <c r="X6" s="29"/>
      <c r="Y6" s="29"/>
      <c r="Z6" s="29"/>
      <c r="AA6" s="29"/>
      <c r="AB6" s="29"/>
      <c r="AC6" s="30"/>
    </row>
    <row r="7" spans="2:37" ht="15" x14ac:dyDescent="0.25">
      <c r="B7" s="31"/>
      <c r="C7" s="32"/>
      <c r="D7" s="33"/>
      <c r="E7" s="33"/>
      <c r="F7" s="31" t="s">
        <v>34</v>
      </c>
      <c r="G7" s="26" t="s">
        <v>35</v>
      </c>
      <c r="H7" s="27" t="s">
        <v>36</v>
      </c>
      <c r="I7" s="27" t="s">
        <v>36</v>
      </c>
      <c r="J7" s="27" t="s">
        <v>11</v>
      </c>
      <c r="K7" s="27" t="s">
        <v>37</v>
      </c>
      <c r="L7" s="27" t="s">
        <v>37</v>
      </c>
      <c r="M7" s="27" t="s">
        <v>33</v>
      </c>
      <c r="N7" s="27" t="s">
        <v>33</v>
      </c>
      <c r="O7" s="28"/>
      <c r="Q7" s="34">
        <v>11214374</v>
      </c>
      <c r="R7" s="34">
        <f>2345597.06+78799.97+56688.77</f>
        <v>2481085.8000000003</v>
      </c>
      <c r="S7" s="29"/>
      <c r="T7" s="34">
        <v>2845776</v>
      </c>
      <c r="U7" s="34">
        <v>459339.89</v>
      </c>
      <c r="V7" s="29"/>
      <c r="W7" s="29"/>
      <c r="X7" s="29"/>
      <c r="Y7" s="29"/>
      <c r="Z7" s="29"/>
      <c r="AA7" s="29"/>
      <c r="AB7" s="29"/>
      <c r="AC7" s="35"/>
      <c r="AD7" s="2"/>
    </row>
    <row r="8" spans="2:37" s="43" customFormat="1" x14ac:dyDescent="0.2">
      <c r="B8" s="36"/>
      <c r="C8" s="37"/>
      <c r="D8" s="36" t="s">
        <v>38</v>
      </c>
      <c r="E8" s="36" t="s">
        <v>39</v>
      </c>
      <c r="F8" s="36" t="s">
        <v>39</v>
      </c>
      <c r="G8" s="38" t="s">
        <v>40</v>
      </c>
      <c r="H8" s="39" t="s">
        <v>125</v>
      </c>
      <c r="I8" s="39" t="str">
        <f>+H8</f>
        <v>Nov 1 2018</v>
      </c>
      <c r="J8" s="39" t="str">
        <f>I8</f>
        <v>Nov 1 2018</v>
      </c>
      <c r="K8" s="40" t="s">
        <v>41</v>
      </c>
      <c r="L8" s="40" t="s">
        <v>41</v>
      </c>
      <c r="M8" s="40" t="s">
        <v>11</v>
      </c>
      <c r="N8" s="40" t="s">
        <v>41</v>
      </c>
      <c r="O8" s="28"/>
      <c r="P8"/>
      <c r="V8" s="29"/>
      <c r="W8" s="29"/>
      <c r="X8" s="29"/>
      <c r="Y8" s="29"/>
      <c r="Z8" s="29"/>
      <c r="AA8" s="29"/>
      <c r="AB8" s="29"/>
      <c r="AC8" s="41"/>
      <c r="AD8" s="2" t="s">
        <v>42</v>
      </c>
      <c r="AE8" s="2" t="s">
        <v>43</v>
      </c>
      <c r="AF8" s="2" t="s">
        <v>44</v>
      </c>
      <c r="AG8" s="42" t="s">
        <v>0</v>
      </c>
      <c r="AH8" s="2" t="s">
        <v>45</v>
      </c>
      <c r="AI8" s="2" t="s">
        <v>46</v>
      </c>
      <c r="AJ8" s="2" t="s">
        <v>47</v>
      </c>
      <c r="AK8" s="2" t="s">
        <v>48</v>
      </c>
    </row>
    <row r="9" spans="2:37" ht="15.75" x14ac:dyDescent="0.25">
      <c r="B9" s="44" t="s">
        <v>49</v>
      </c>
      <c r="C9" s="22" t="s">
        <v>52</v>
      </c>
      <c r="D9" s="45">
        <v>1</v>
      </c>
      <c r="E9" s="11" t="s">
        <v>53</v>
      </c>
      <c r="F9" s="46" t="s">
        <v>54</v>
      </c>
      <c r="G9" s="47">
        <v>0</v>
      </c>
      <c r="H9" s="48">
        <v>0.2424</v>
      </c>
      <c r="I9" s="48">
        <v>0.1736</v>
      </c>
      <c r="J9" s="48">
        <v>7.4000000000000003E-3</v>
      </c>
      <c r="K9" s="49">
        <f>ROUND(H9*G9,2)</f>
        <v>0</v>
      </c>
      <c r="L9" s="49">
        <f>ROUND(G9*I9,2)</f>
        <v>0</v>
      </c>
      <c r="M9" s="54">
        <f>ROUND(G9*J9,2)</f>
        <v>0</v>
      </c>
      <c r="N9" s="49">
        <f>SUM(K9:M9)</f>
        <v>0</v>
      </c>
      <c r="O9" s="51"/>
      <c r="Q9" s="55">
        <f>+-1529533-194708</f>
        <v>-1724241</v>
      </c>
      <c r="R9" s="55">
        <f>+-304369.99-70364.48</f>
        <v>-374734.47</v>
      </c>
      <c r="S9" s="52"/>
      <c r="T9" s="56">
        <f>+-505447-64182</f>
        <v>-569629</v>
      </c>
      <c r="U9" s="56">
        <f>+-100581.61-23194.4</f>
        <v>-123776.01000000001</v>
      </c>
      <c r="V9" s="52"/>
      <c r="W9" s="52"/>
      <c r="X9" s="52"/>
      <c r="Y9" s="52"/>
      <c r="Z9" s="52"/>
      <c r="AA9" s="52"/>
      <c r="AB9" s="52"/>
      <c r="AC9" s="29"/>
      <c r="AD9" t="s">
        <v>51</v>
      </c>
      <c r="AG9" s="29">
        <v>0</v>
      </c>
      <c r="AK9" t="s">
        <v>55</v>
      </c>
    </row>
    <row r="10" spans="2:37" ht="15.75" x14ac:dyDescent="0.25">
      <c r="B10" s="44" t="s">
        <v>49</v>
      </c>
      <c r="C10" s="22" t="s">
        <v>56</v>
      </c>
      <c r="D10" s="45">
        <v>1</v>
      </c>
      <c r="E10" s="11" t="s">
        <v>57</v>
      </c>
      <c r="F10" s="46" t="s">
        <v>58</v>
      </c>
      <c r="G10" s="57">
        <v>8910896</v>
      </c>
      <c r="H10" s="53">
        <f>$H$9</f>
        <v>0.2424</v>
      </c>
      <c r="I10" s="48">
        <v>0.17624999999999999</v>
      </c>
      <c r="J10" s="53">
        <f>+$J$9</f>
        <v>7.4000000000000003E-3</v>
      </c>
      <c r="K10" s="49">
        <f>ROUND(H10*G10,2)</f>
        <v>2160001.19</v>
      </c>
      <c r="L10" s="49">
        <f>ROUND(G10*I10,2)</f>
        <v>1570545.42</v>
      </c>
      <c r="M10" s="54">
        <f>ROUND(G10*J10,2)</f>
        <v>65940.63</v>
      </c>
      <c r="N10" s="50">
        <f>SUM(K10:M10)</f>
        <v>3796487.2399999998</v>
      </c>
      <c r="O10" s="51"/>
      <c r="Q10" s="56"/>
      <c r="R10" s="56"/>
      <c r="S10" s="56"/>
      <c r="T10" s="56"/>
      <c r="U10" s="56"/>
      <c r="V10" s="52"/>
      <c r="W10" s="52"/>
      <c r="X10" s="52"/>
      <c r="Y10" s="52"/>
      <c r="Z10" s="52"/>
      <c r="AA10" s="52"/>
      <c r="AB10" s="52"/>
      <c r="AC10" s="29"/>
      <c r="AD10" t="s">
        <v>51</v>
      </c>
      <c r="AG10" s="29">
        <v>0</v>
      </c>
      <c r="AK10" t="s">
        <v>59</v>
      </c>
    </row>
    <row r="11" spans="2:37" ht="15.75" x14ac:dyDescent="0.25">
      <c r="B11" s="44" t="s">
        <v>60</v>
      </c>
      <c r="C11" s="22" t="s">
        <v>61</v>
      </c>
      <c r="D11" s="45">
        <v>1</v>
      </c>
      <c r="E11" s="11" t="s">
        <v>57</v>
      </c>
      <c r="F11" s="46" t="s">
        <v>58</v>
      </c>
      <c r="G11" s="58">
        <v>-11032733</v>
      </c>
      <c r="H11" s="53">
        <f>$H$9</f>
        <v>0.2424</v>
      </c>
      <c r="I11" s="53">
        <f>$I$10</f>
        <v>0.17624999999999999</v>
      </c>
      <c r="J11" s="53">
        <f>+$J$9</f>
        <v>7.4000000000000003E-3</v>
      </c>
      <c r="K11" s="49">
        <f>ROUND(H11*G11,2)</f>
        <v>-2674334.48</v>
      </c>
      <c r="L11" s="49">
        <f>ROUND(G11*I11,2)</f>
        <v>-1944519.19</v>
      </c>
      <c r="M11" s="54"/>
      <c r="N11" s="50">
        <f>SUM(K11:M11)</f>
        <v>-4618853.67</v>
      </c>
      <c r="O11" s="51"/>
      <c r="Q11" s="59"/>
      <c r="R11" s="59"/>
      <c r="S11" s="59"/>
      <c r="T11" s="59"/>
      <c r="U11" s="59"/>
      <c r="V11" s="60"/>
      <c r="W11" s="60"/>
      <c r="X11" s="60"/>
      <c r="Y11" s="60"/>
      <c r="Z11" s="60"/>
      <c r="AA11" s="60"/>
      <c r="AB11" s="60"/>
      <c r="AC11" s="29"/>
      <c r="AD11" t="s">
        <v>51</v>
      </c>
      <c r="AG11" s="29">
        <v>0</v>
      </c>
      <c r="AK11" t="s">
        <v>59</v>
      </c>
    </row>
    <row r="12" spans="2:37" ht="15" x14ac:dyDescent="0.2">
      <c r="B12" s="44" t="s">
        <v>60</v>
      </c>
      <c r="C12" s="22" t="s">
        <v>62</v>
      </c>
      <c r="D12" s="45">
        <v>1</v>
      </c>
      <c r="E12" s="11" t="s">
        <v>57</v>
      </c>
      <c r="F12" s="46" t="s">
        <v>58</v>
      </c>
      <c r="G12" s="61"/>
      <c r="H12" s="53">
        <f>$H$9</f>
        <v>0.2424</v>
      </c>
      <c r="I12" s="53">
        <f>$I$10</f>
        <v>0.17624999999999999</v>
      </c>
      <c r="J12" s="53">
        <f>+$J$9</f>
        <v>7.4000000000000003E-3</v>
      </c>
      <c r="K12" s="49">
        <f>ROUND(H12*G12,2)</f>
        <v>0</v>
      </c>
      <c r="L12" s="49">
        <f>ROUND(G12*I12,2)</f>
        <v>0</v>
      </c>
      <c r="M12" s="54"/>
      <c r="N12" s="50">
        <f>SUM(K12:M12)</f>
        <v>0</v>
      </c>
      <c r="O12" s="51"/>
      <c r="Q12" s="59"/>
      <c r="R12" s="59"/>
      <c r="S12" s="59"/>
      <c r="T12" s="59"/>
      <c r="U12" s="59"/>
      <c r="V12" s="60"/>
      <c r="W12" s="60"/>
      <c r="X12" s="60"/>
      <c r="Y12" s="60"/>
      <c r="Z12" s="60"/>
      <c r="AA12" s="60"/>
      <c r="AB12" s="60"/>
      <c r="AC12" s="29"/>
      <c r="AD12" t="s">
        <v>51</v>
      </c>
      <c r="AG12" s="29">
        <v>0</v>
      </c>
      <c r="AK12" t="s">
        <v>59</v>
      </c>
    </row>
    <row r="13" spans="2:37" ht="12.2" customHeight="1" x14ac:dyDescent="0.2">
      <c r="B13" s="44"/>
      <c r="D13" s="45"/>
      <c r="F13" s="46"/>
      <c r="G13" s="47"/>
      <c r="H13" s="53"/>
      <c r="I13" s="53"/>
      <c r="J13" s="53"/>
      <c r="K13" s="49"/>
      <c r="L13" s="49"/>
      <c r="M13" s="54"/>
      <c r="N13" s="49"/>
      <c r="O13" s="51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29"/>
      <c r="AG13" s="29"/>
    </row>
    <row r="14" spans="2:37" ht="15.75" x14ac:dyDescent="0.25">
      <c r="B14" s="44" t="s">
        <v>63</v>
      </c>
      <c r="C14" s="22" t="s">
        <v>64</v>
      </c>
      <c r="D14" s="45">
        <v>2</v>
      </c>
      <c r="E14" s="11" t="s">
        <v>65</v>
      </c>
      <c r="F14" s="46" t="s">
        <v>66</v>
      </c>
      <c r="G14" s="57">
        <f>6877033-3527</f>
        <v>6873506</v>
      </c>
      <c r="H14" s="53">
        <f>$H$9</f>
        <v>0.2424</v>
      </c>
      <c r="I14" s="53">
        <f>+$I$9</f>
        <v>0.1736</v>
      </c>
      <c r="J14" s="53">
        <f>+$J$9</f>
        <v>7.4000000000000003E-3</v>
      </c>
      <c r="K14" s="49">
        <f>ROUND(H14*G14,2)</f>
        <v>1666137.85</v>
      </c>
      <c r="L14" s="49">
        <f>ROUND(G14*I14,2)</f>
        <v>1193240.6399999999</v>
      </c>
      <c r="M14" s="54">
        <f>ROUND(G14*J14,2)</f>
        <v>50863.94</v>
      </c>
      <c r="N14" s="62">
        <f>SUM(K14:M14)</f>
        <v>2910242.43</v>
      </c>
      <c r="O14" s="63">
        <v>-0.02</v>
      </c>
      <c r="Q14" s="52" t="s">
        <v>50</v>
      </c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29"/>
      <c r="AD14" t="s">
        <v>51</v>
      </c>
      <c r="AG14" s="29">
        <v>0</v>
      </c>
      <c r="AK14" t="s">
        <v>67</v>
      </c>
    </row>
    <row r="15" spans="2:37" ht="15.75" x14ac:dyDescent="0.25">
      <c r="B15" s="44" t="s">
        <v>68</v>
      </c>
      <c r="C15" s="22" t="s">
        <v>69</v>
      </c>
      <c r="D15" s="45">
        <v>2</v>
      </c>
      <c r="E15" s="11" t="s">
        <v>65</v>
      </c>
      <c r="F15" s="46" t="s">
        <v>66</v>
      </c>
      <c r="G15" s="58">
        <v>-8619566</v>
      </c>
      <c r="H15" s="53">
        <f>$H$9</f>
        <v>0.2424</v>
      </c>
      <c r="I15" s="53">
        <f>+$I$9</f>
        <v>0.1736</v>
      </c>
      <c r="J15" s="53">
        <f>+$J$9</f>
        <v>7.4000000000000003E-3</v>
      </c>
      <c r="K15" s="49">
        <f>ROUND(H15*G15,2)</f>
        <v>-2089382.8</v>
      </c>
      <c r="L15" s="49">
        <f>ROUND(G15*I15,2)</f>
        <v>-1496356.66</v>
      </c>
      <c r="M15" s="54"/>
      <c r="N15" s="62">
        <f>SUM(K15:M15)</f>
        <v>-3585739.46</v>
      </c>
      <c r="O15" s="63"/>
      <c r="Q15" s="60" t="s">
        <v>70</v>
      </c>
      <c r="R15" s="60">
        <f>101807.82+3135667.8</f>
        <v>3237475.6199999996</v>
      </c>
      <c r="S15" s="60"/>
      <c r="T15" s="60"/>
      <c r="U15" s="59">
        <f>242253.38+412186.68</f>
        <v>654440.06000000006</v>
      </c>
      <c r="V15" s="60"/>
      <c r="W15" s="60"/>
      <c r="X15" s="60"/>
      <c r="Y15" s="60"/>
      <c r="Z15" s="60"/>
      <c r="AA15" s="60"/>
      <c r="AB15" s="60"/>
      <c r="AC15" s="29"/>
      <c r="AD15" t="s">
        <v>51</v>
      </c>
      <c r="AG15" s="29">
        <v>0</v>
      </c>
      <c r="AK15" t="s">
        <v>67</v>
      </c>
    </row>
    <row r="16" spans="2:37" ht="15" x14ac:dyDescent="0.2">
      <c r="B16" s="44" t="s">
        <v>68</v>
      </c>
      <c r="C16" s="22" t="s">
        <v>71</v>
      </c>
      <c r="D16" s="45">
        <v>2</v>
      </c>
      <c r="E16" s="11" t="s">
        <v>65</v>
      </c>
      <c r="F16" s="46" t="s">
        <v>66</v>
      </c>
      <c r="G16" s="61"/>
      <c r="H16" s="53">
        <f>$H$9</f>
        <v>0.2424</v>
      </c>
      <c r="I16" s="53">
        <f>+$I$9</f>
        <v>0.1736</v>
      </c>
      <c r="J16" s="53">
        <f>+$J$9</f>
        <v>7.4000000000000003E-3</v>
      </c>
      <c r="K16" s="49">
        <f>ROUND(H16*G16,2)</f>
        <v>0</v>
      </c>
      <c r="L16" s="49">
        <f>ROUND(G16*I16,2)</f>
        <v>0</v>
      </c>
      <c r="M16" s="54"/>
      <c r="N16" s="50">
        <f>SUM(K16:M16)</f>
        <v>0</v>
      </c>
      <c r="O16" s="51"/>
      <c r="Q16" s="60" t="s">
        <v>70</v>
      </c>
      <c r="R16" s="60">
        <v>55387.57</v>
      </c>
      <c r="S16" s="60"/>
      <c r="T16" s="60"/>
      <c r="U16" s="59">
        <v>7182.43</v>
      </c>
      <c r="V16" s="60"/>
      <c r="W16" s="60"/>
      <c r="X16" s="60"/>
      <c r="Y16" s="60"/>
      <c r="Z16" s="60"/>
      <c r="AA16" s="60"/>
      <c r="AB16" s="60"/>
      <c r="AC16" s="29"/>
      <c r="AD16" t="s">
        <v>51</v>
      </c>
      <c r="AG16" s="29">
        <v>0</v>
      </c>
      <c r="AK16" t="s">
        <v>67</v>
      </c>
    </row>
    <row r="17" spans="2:37" ht="12.2" customHeight="1" x14ac:dyDescent="0.2">
      <c r="B17" s="44"/>
      <c r="D17" s="45"/>
      <c r="F17" s="46"/>
      <c r="G17" s="47"/>
      <c r="H17" s="53"/>
      <c r="I17" s="53"/>
      <c r="J17" s="53"/>
      <c r="K17" s="49"/>
      <c r="L17" s="49"/>
      <c r="M17" s="54"/>
      <c r="N17" s="49"/>
      <c r="O17" s="51"/>
      <c r="Q17" s="4"/>
      <c r="R17" s="4"/>
      <c r="S17" s="4"/>
      <c r="T17" s="4"/>
      <c r="U17" s="56"/>
      <c r="V17" s="4"/>
      <c r="W17" s="4"/>
      <c r="X17" s="4"/>
      <c r="Y17" s="4"/>
      <c r="Z17" s="4"/>
      <c r="AA17" s="4"/>
      <c r="AB17" s="4"/>
      <c r="AC17" s="29"/>
      <c r="AG17" s="29"/>
    </row>
    <row r="18" spans="2:37" ht="15.75" x14ac:dyDescent="0.25">
      <c r="B18" s="44" t="s">
        <v>63</v>
      </c>
      <c r="C18" s="22" t="s">
        <v>72</v>
      </c>
      <c r="D18" s="45">
        <v>2</v>
      </c>
      <c r="E18" s="11" t="s">
        <v>73</v>
      </c>
      <c r="F18" s="46" t="s">
        <v>74</v>
      </c>
      <c r="G18" s="57">
        <v>737068</v>
      </c>
      <c r="H18" s="53">
        <f>$H$9</f>
        <v>0.2424</v>
      </c>
      <c r="I18" s="48">
        <v>0.16053999999999999</v>
      </c>
      <c r="J18" s="53">
        <f t="shared" ref="J18:J23" si="0">+$J$9</f>
        <v>7.4000000000000003E-3</v>
      </c>
      <c r="K18" s="49">
        <f t="shared" ref="K18:K23" si="1">ROUND(H18*G18,2)</f>
        <v>178665.28</v>
      </c>
      <c r="L18" s="49">
        <f t="shared" ref="L18:L23" si="2">ROUND(G18*I18,2)</f>
        <v>118328.9</v>
      </c>
      <c r="M18" s="54">
        <f t="shared" ref="M18:M23" si="3">ROUND(G18*J18,2)</f>
        <v>5454.3</v>
      </c>
      <c r="N18" s="64">
        <f t="shared" ref="N18:N23" si="4">SUM(K18:M18)</f>
        <v>302448.48</v>
      </c>
      <c r="O18" s="63">
        <v>2.0699999999999998</v>
      </c>
      <c r="Q18" s="52" t="s">
        <v>50</v>
      </c>
      <c r="R18" s="52">
        <v>625208.07999999996</v>
      </c>
      <c r="S18" s="52"/>
      <c r="T18" s="52"/>
      <c r="U18" s="56">
        <f>44136.69+5300</f>
        <v>49436.69</v>
      </c>
      <c r="V18" s="52"/>
      <c r="W18" s="52"/>
      <c r="X18" s="52"/>
      <c r="Y18" s="52"/>
      <c r="Z18" s="52"/>
      <c r="AA18" s="52"/>
      <c r="AB18" s="52"/>
      <c r="AC18" s="29"/>
      <c r="AD18" t="s">
        <v>51</v>
      </c>
      <c r="AG18" s="29">
        <v>0</v>
      </c>
      <c r="AK18" t="s">
        <v>75</v>
      </c>
    </row>
    <row r="19" spans="2:37" ht="15" x14ac:dyDescent="0.2">
      <c r="B19" s="44" t="s">
        <v>63</v>
      </c>
      <c r="C19" s="22" t="s">
        <v>76</v>
      </c>
      <c r="D19" s="45">
        <v>2</v>
      </c>
      <c r="E19" s="11" t="s">
        <v>77</v>
      </c>
      <c r="F19" s="46" t="s">
        <v>78</v>
      </c>
      <c r="G19" s="47"/>
      <c r="H19" s="53">
        <f t="shared" ref="H19:H23" si="5">$H$9</f>
        <v>0.2424</v>
      </c>
      <c r="I19" s="53">
        <f>+$I$9</f>
        <v>0.1736</v>
      </c>
      <c r="J19" s="53">
        <f t="shared" si="0"/>
        <v>7.4000000000000003E-3</v>
      </c>
      <c r="K19" s="49">
        <f t="shared" si="1"/>
        <v>0</v>
      </c>
      <c r="L19" s="49">
        <f t="shared" si="2"/>
        <v>0</v>
      </c>
      <c r="M19" s="54">
        <f t="shared" si="3"/>
        <v>0</v>
      </c>
      <c r="N19" s="50">
        <f>SUM(K19:M19)</f>
        <v>0</v>
      </c>
      <c r="O19" s="51">
        <v>0.01</v>
      </c>
      <c r="Q19" s="52" t="s">
        <v>50</v>
      </c>
      <c r="R19" s="52">
        <f>+-128.04-565547.01</f>
        <v>-565675.05000000005</v>
      </c>
      <c r="S19" s="52"/>
      <c r="T19" s="52"/>
      <c r="U19" s="56">
        <f>+-193.7-79036.58</f>
        <v>-79230.28</v>
      </c>
      <c r="V19" s="52"/>
      <c r="W19" s="52"/>
      <c r="X19" s="52"/>
      <c r="Y19" s="52"/>
      <c r="Z19" s="52"/>
      <c r="AA19" s="52"/>
      <c r="AB19" s="52"/>
      <c r="AC19" s="65"/>
      <c r="AD19" t="s">
        <v>51</v>
      </c>
      <c r="AG19" s="29">
        <v>0</v>
      </c>
      <c r="AK19" t="s">
        <v>79</v>
      </c>
    </row>
    <row r="20" spans="2:37" ht="15" x14ac:dyDescent="0.2">
      <c r="B20" s="44" t="s">
        <v>63</v>
      </c>
      <c r="C20" s="22" t="s">
        <v>80</v>
      </c>
      <c r="D20" s="45">
        <v>2</v>
      </c>
      <c r="E20" s="11" t="s">
        <v>53</v>
      </c>
      <c r="F20" s="46" t="s">
        <v>54</v>
      </c>
      <c r="G20" s="47">
        <v>0</v>
      </c>
      <c r="H20" s="53">
        <f t="shared" si="5"/>
        <v>0.2424</v>
      </c>
      <c r="I20" s="53">
        <f>+$I$9</f>
        <v>0.1736</v>
      </c>
      <c r="J20" s="53">
        <f t="shared" si="0"/>
        <v>7.4000000000000003E-3</v>
      </c>
      <c r="K20" s="49">
        <f t="shared" si="1"/>
        <v>0</v>
      </c>
      <c r="L20" s="49">
        <f t="shared" si="2"/>
        <v>0</v>
      </c>
      <c r="M20" s="54">
        <f t="shared" si="3"/>
        <v>0</v>
      </c>
      <c r="N20" s="49">
        <f t="shared" si="4"/>
        <v>0</v>
      </c>
      <c r="O20" s="51"/>
      <c r="Q20" s="52" t="s">
        <v>50</v>
      </c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65"/>
      <c r="AD20" t="s">
        <v>51</v>
      </c>
      <c r="AG20" s="29">
        <v>0</v>
      </c>
      <c r="AK20" t="s">
        <v>81</v>
      </c>
    </row>
    <row r="21" spans="2:37" ht="15" x14ac:dyDescent="0.2">
      <c r="B21" s="44" t="s">
        <v>63</v>
      </c>
      <c r="C21" s="22" t="s">
        <v>72</v>
      </c>
      <c r="D21" s="45">
        <v>2</v>
      </c>
      <c r="E21" s="11" t="s">
        <v>73</v>
      </c>
      <c r="F21" s="46" t="s">
        <v>83</v>
      </c>
      <c r="G21" s="47">
        <v>3527</v>
      </c>
      <c r="H21" s="53">
        <f t="shared" si="5"/>
        <v>0.2424</v>
      </c>
      <c r="I21" s="53">
        <f>+$I$9</f>
        <v>0.1736</v>
      </c>
      <c r="J21" s="53">
        <f t="shared" si="0"/>
        <v>7.4000000000000003E-3</v>
      </c>
      <c r="K21" s="49">
        <f t="shared" si="1"/>
        <v>854.94</v>
      </c>
      <c r="L21" s="49">
        <f t="shared" si="2"/>
        <v>612.29</v>
      </c>
      <c r="M21" s="54">
        <f t="shared" si="3"/>
        <v>26.1</v>
      </c>
      <c r="N21" s="62">
        <f t="shared" si="4"/>
        <v>1493.33</v>
      </c>
      <c r="O21" s="63"/>
      <c r="Q21" s="52" t="s">
        <v>50</v>
      </c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29"/>
      <c r="AD21" t="s">
        <v>51</v>
      </c>
      <c r="AG21" s="29">
        <v>0</v>
      </c>
      <c r="AK21" t="s">
        <v>75</v>
      </c>
    </row>
    <row r="22" spans="2:37" ht="15.75" x14ac:dyDescent="0.25">
      <c r="B22" s="44" t="s">
        <v>68</v>
      </c>
      <c r="C22" s="22" t="s">
        <v>82</v>
      </c>
      <c r="D22" s="45">
        <v>2</v>
      </c>
      <c r="E22" s="11" t="s">
        <v>73</v>
      </c>
      <c r="F22" s="46" t="s">
        <v>83</v>
      </c>
      <c r="G22" s="66">
        <v>-3527</v>
      </c>
      <c r="H22" s="53">
        <f t="shared" si="5"/>
        <v>0.2424</v>
      </c>
      <c r="I22" s="53">
        <f>+$I$9</f>
        <v>0.1736</v>
      </c>
      <c r="J22" s="53">
        <f t="shared" si="0"/>
        <v>7.4000000000000003E-3</v>
      </c>
      <c r="K22" s="49">
        <f t="shared" si="1"/>
        <v>-854.94</v>
      </c>
      <c r="L22" s="49">
        <f t="shared" si="2"/>
        <v>-612.29</v>
      </c>
      <c r="M22" s="54">
        <f t="shared" si="3"/>
        <v>-26.1</v>
      </c>
      <c r="N22" s="62">
        <f t="shared" si="4"/>
        <v>-1493.33</v>
      </c>
      <c r="O22" s="63"/>
      <c r="Q22" s="4"/>
      <c r="R22" s="4">
        <v>57899.56</v>
      </c>
      <c r="S22" s="4"/>
      <c r="T22" s="4"/>
      <c r="U22" s="56">
        <v>8091.98</v>
      </c>
      <c r="V22" s="4"/>
      <c r="W22" s="4"/>
      <c r="X22" s="4"/>
      <c r="Y22" s="4"/>
      <c r="Z22" s="4"/>
      <c r="AA22" s="4"/>
      <c r="AB22" s="4"/>
      <c r="AC22" s="67"/>
      <c r="AD22" t="s">
        <v>51</v>
      </c>
      <c r="AG22" s="29">
        <v>0</v>
      </c>
      <c r="AK22" t="s">
        <v>75</v>
      </c>
    </row>
    <row r="23" spans="2:37" ht="15" x14ac:dyDescent="0.2">
      <c r="B23" s="44" t="s">
        <v>68</v>
      </c>
      <c r="C23" s="22" t="s">
        <v>84</v>
      </c>
      <c r="D23" s="45">
        <v>2</v>
      </c>
      <c r="E23" s="11" t="s">
        <v>73</v>
      </c>
      <c r="F23" s="46" t="s">
        <v>83</v>
      </c>
      <c r="G23" s="68"/>
      <c r="H23" s="53">
        <f t="shared" si="5"/>
        <v>0.2424</v>
      </c>
      <c r="I23" s="53">
        <f>+$I$9</f>
        <v>0.1736</v>
      </c>
      <c r="J23" s="53">
        <f t="shared" si="0"/>
        <v>7.4000000000000003E-3</v>
      </c>
      <c r="K23" s="49">
        <f t="shared" si="1"/>
        <v>0</v>
      </c>
      <c r="L23" s="49">
        <f t="shared" si="2"/>
        <v>0</v>
      </c>
      <c r="M23" s="54">
        <f t="shared" si="3"/>
        <v>0</v>
      </c>
      <c r="N23" s="50">
        <f t="shared" si="4"/>
        <v>0</v>
      </c>
      <c r="O23" s="51"/>
      <c r="Q23" s="4"/>
      <c r="R23" s="4">
        <v>61282.61</v>
      </c>
      <c r="S23" s="4"/>
      <c r="T23" s="4"/>
      <c r="U23" s="56">
        <v>6665.73</v>
      </c>
      <c r="V23" s="4"/>
      <c r="W23" s="4"/>
      <c r="X23" s="4"/>
      <c r="Y23" s="4"/>
      <c r="Z23" s="4"/>
      <c r="AA23" s="4"/>
      <c r="AB23" s="4"/>
      <c r="AC23" s="67"/>
      <c r="AD23" t="s">
        <v>51</v>
      </c>
      <c r="AG23" s="29">
        <v>0</v>
      </c>
      <c r="AK23" t="s">
        <v>75</v>
      </c>
    </row>
    <row r="24" spans="2:37" ht="12.2" customHeight="1" x14ac:dyDescent="0.2">
      <c r="B24" s="44"/>
      <c r="D24" s="45"/>
      <c r="F24" s="46"/>
      <c r="G24" s="69"/>
      <c r="H24" s="70"/>
      <c r="I24" s="53"/>
      <c r="J24" s="53"/>
      <c r="K24" s="49"/>
      <c r="L24" s="49"/>
      <c r="M24" s="54"/>
      <c r="N24" s="49"/>
      <c r="O24" s="51"/>
      <c r="Q24" s="4"/>
      <c r="R24" s="4"/>
      <c r="S24" s="4"/>
      <c r="T24" s="4"/>
      <c r="U24" s="56"/>
      <c r="V24" s="4"/>
      <c r="W24" s="4"/>
      <c r="X24" s="4"/>
      <c r="Y24" s="4"/>
      <c r="Z24" s="4"/>
      <c r="AA24" s="4"/>
      <c r="AB24" s="4"/>
      <c r="AC24" s="67"/>
      <c r="AG24" s="29"/>
    </row>
    <row r="25" spans="2:37" ht="15.75" x14ac:dyDescent="0.25">
      <c r="B25" s="44" t="s">
        <v>85</v>
      </c>
      <c r="C25" s="22" t="s">
        <v>86</v>
      </c>
      <c r="D25" s="45">
        <v>3</v>
      </c>
      <c r="E25" s="11" t="s">
        <v>87</v>
      </c>
      <c r="F25" s="46" t="s">
        <v>88</v>
      </c>
      <c r="G25" s="57">
        <v>1008488</v>
      </c>
      <c r="H25" s="53">
        <f t="shared" ref="H25:H44" si="6">$H$9</f>
        <v>0.2424</v>
      </c>
      <c r="I25" s="53">
        <f>$I$18</f>
        <v>0.16053999999999999</v>
      </c>
      <c r="J25" s="53">
        <f t="shared" ref="J25:J44" si="7">+$J$9</f>
        <v>7.4000000000000003E-3</v>
      </c>
      <c r="K25" s="49">
        <f>ROUND(H25*G25,2)</f>
        <v>244457.49</v>
      </c>
      <c r="L25" s="49">
        <f>ROUND(G25*I25,2)</f>
        <v>161902.66</v>
      </c>
      <c r="M25" s="54">
        <f>ROUND(G25*J25,2)</f>
        <v>7462.81</v>
      </c>
      <c r="N25" s="50">
        <f>SUM(K25:M25)</f>
        <v>413822.96</v>
      </c>
      <c r="O25" s="51">
        <v>-0.01</v>
      </c>
      <c r="Q25" s="52" t="s">
        <v>50</v>
      </c>
      <c r="R25" s="52">
        <v>49965.85</v>
      </c>
      <c r="S25" s="52"/>
      <c r="T25" s="52"/>
      <c r="U25" s="56">
        <v>5434.8</v>
      </c>
      <c r="V25" s="52"/>
      <c r="W25" s="52"/>
      <c r="X25" s="52"/>
      <c r="Y25" s="52"/>
      <c r="Z25" s="52"/>
      <c r="AA25" s="52"/>
      <c r="AB25" s="52"/>
      <c r="AC25" s="65"/>
      <c r="AD25" t="s">
        <v>51</v>
      </c>
      <c r="AG25" s="29">
        <v>0</v>
      </c>
      <c r="AK25" t="s">
        <v>89</v>
      </c>
    </row>
    <row r="26" spans="2:37" ht="15.75" x14ac:dyDescent="0.25">
      <c r="B26" s="44" t="s">
        <v>85</v>
      </c>
      <c r="C26" s="22" t="s">
        <v>90</v>
      </c>
      <c r="D26" s="45">
        <v>3</v>
      </c>
      <c r="E26" s="11" t="s">
        <v>73</v>
      </c>
      <c r="F26" s="46" t="s">
        <v>74</v>
      </c>
      <c r="G26" s="57">
        <v>235257</v>
      </c>
      <c r="H26" s="53">
        <f t="shared" si="6"/>
        <v>0.2424</v>
      </c>
      <c r="I26" s="53">
        <f>$I$18</f>
        <v>0.16053999999999999</v>
      </c>
      <c r="J26" s="53">
        <f t="shared" si="7"/>
        <v>7.4000000000000003E-3</v>
      </c>
      <c r="K26" s="49">
        <f>ROUND(H26*G26,2)</f>
        <v>57026.3</v>
      </c>
      <c r="L26" s="49">
        <f>ROUND(G26*I26,2)</f>
        <v>37768.160000000003</v>
      </c>
      <c r="M26" s="54">
        <f>ROUND(G26*J26,2)</f>
        <v>1740.9</v>
      </c>
      <c r="N26" s="50">
        <f>SUM(K26:M26)</f>
        <v>96535.360000000001</v>
      </c>
      <c r="O26" s="51"/>
      <c r="Q26" s="52" t="s">
        <v>50</v>
      </c>
      <c r="R26" s="52"/>
      <c r="S26" s="52"/>
      <c r="T26" s="52"/>
      <c r="U26" s="56"/>
      <c r="V26" s="52"/>
      <c r="W26" s="52"/>
      <c r="X26" s="52"/>
      <c r="Y26" s="52"/>
      <c r="Z26" s="52"/>
      <c r="AA26" s="52"/>
      <c r="AB26" s="52"/>
      <c r="AC26" s="65"/>
      <c r="AD26" t="s">
        <v>51</v>
      </c>
      <c r="AG26" s="29">
        <v>0</v>
      </c>
      <c r="AK26" t="s">
        <v>91</v>
      </c>
    </row>
    <row r="27" spans="2:37" ht="15" x14ac:dyDescent="0.2">
      <c r="B27" s="44" t="s">
        <v>85</v>
      </c>
      <c r="C27" s="22" t="s">
        <v>92</v>
      </c>
      <c r="D27" s="45">
        <v>3</v>
      </c>
      <c r="E27" s="11" t="s">
        <v>77</v>
      </c>
      <c r="F27" s="46" t="s">
        <v>78</v>
      </c>
      <c r="G27" s="47">
        <v>0</v>
      </c>
      <c r="H27" s="53">
        <f t="shared" si="6"/>
        <v>0.2424</v>
      </c>
      <c r="I27" s="53">
        <f>+$I$9</f>
        <v>0.1736</v>
      </c>
      <c r="J27" s="53">
        <f t="shared" si="7"/>
        <v>7.4000000000000003E-3</v>
      </c>
      <c r="K27" s="49">
        <f>ROUND(H27*G27,2)</f>
        <v>0</v>
      </c>
      <c r="L27" s="49">
        <f>ROUND(G27*I27,2)</f>
        <v>0</v>
      </c>
      <c r="M27" s="54">
        <f>ROUND(G27*J27,2)</f>
        <v>0</v>
      </c>
      <c r="N27" s="49">
        <f>SUM(K27:M27)</f>
        <v>0</v>
      </c>
      <c r="O27" s="51"/>
      <c r="Q27" s="4"/>
      <c r="R27" s="4"/>
      <c r="S27" s="4"/>
      <c r="T27" s="4"/>
      <c r="U27" s="56"/>
      <c r="V27" s="4"/>
      <c r="W27" s="4"/>
      <c r="X27" s="4"/>
      <c r="Y27" s="4"/>
      <c r="Z27" s="4"/>
      <c r="AA27" s="4"/>
      <c r="AB27" s="4"/>
      <c r="AC27" s="29"/>
      <c r="AD27" t="s">
        <v>51</v>
      </c>
      <c r="AG27" s="29">
        <v>0</v>
      </c>
      <c r="AK27" t="s">
        <v>93</v>
      </c>
    </row>
    <row r="28" spans="2:37" ht="12.2" customHeight="1" x14ac:dyDescent="0.2">
      <c r="B28" s="44"/>
      <c r="D28" s="45"/>
      <c r="F28" s="46"/>
      <c r="G28" s="47"/>
      <c r="H28" s="53"/>
      <c r="I28" s="53"/>
      <c r="J28" s="53"/>
      <c r="K28" s="49"/>
      <c r="L28" s="49"/>
      <c r="M28" s="54"/>
      <c r="N28" s="49"/>
      <c r="O28" s="51"/>
      <c r="Q28" s="4"/>
      <c r="R28" s="4">
        <v>17029.240000000002</v>
      </c>
      <c r="S28" s="4"/>
      <c r="T28" s="4"/>
      <c r="U28" s="56">
        <v>1729.72</v>
      </c>
      <c r="V28" s="4"/>
      <c r="W28" s="4"/>
      <c r="X28" s="4"/>
      <c r="Y28" s="4"/>
      <c r="Z28" s="4"/>
      <c r="AA28" s="4"/>
      <c r="AB28" s="4"/>
      <c r="AC28" s="29"/>
      <c r="AG28" s="29"/>
    </row>
    <row r="29" spans="2:37" ht="15" x14ac:dyDescent="0.2">
      <c r="B29" s="44" t="s">
        <v>94</v>
      </c>
      <c r="C29" s="22" t="s">
        <v>95</v>
      </c>
      <c r="D29" s="45">
        <v>3</v>
      </c>
      <c r="E29" s="11" t="s">
        <v>87</v>
      </c>
      <c r="F29" s="46" t="s">
        <v>96</v>
      </c>
      <c r="G29" s="47">
        <v>0</v>
      </c>
      <c r="H29" s="53">
        <f t="shared" si="6"/>
        <v>0.2424</v>
      </c>
      <c r="I29" s="53">
        <f>$I$18</f>
        <v>0.16053999999999999</v>
      </c>
      <c r="J29" s="53">
        <f t="shared" si="7"/>
        <v>7.4000000000000003E-3</v>
      </c>
      <c r="K29" s="49">
        <f t="shared" ref="K29:K31" si="8">ROUND(H29*G29,2)</f>
        <v>0</v>
      </c>
      <c r="L29" s="49">
        <f t="shared" ref="L29:L31" si="9">ROUND(G29*I29,2)</f>
        <v>0</v>
      </c>
      <c r="M29" s="54">
        <f t="shared" ref="M29:M31" si="10">ROUND(G29*J29,2)</f>
        <v>0</v>
      </c>
      <c r="N29" s="49">
        <f t="shared" ref="N29:N31" si="11">SUM(K29:M29)</f>
        <v>0</v>
      </c>
      <c r="O29" s="51"/>
      <c r="Q29" s="52" t="s">
        <v>50</v>
      </c>
      <c r="R29" s="52"/>
      <c r="S29" s="52"/>
      <c r="T29" s="52"/>
      <c r="U29" s="56"/>
      <c r="V29" s="52"/>
      <c r="W29" s="52"/>
      <c r="X29" s="52"/>
      <c r="Y29" s="52"/>
      <c r="Z29" s="52"/>
      <c r="AA29" s="52"/>
      <c r="AB29" s="52"/>
      <c r="AC29" s="65"/>
      <c r="AD29" t="s">
        <v>51</v>
      </c>
      <c r="AG29" s="29">
        <v>0</v>
      </c>
      <c r="AK29" t="s">
        <v>89</v>
      </c>
    </row>
    <row r="30" spans="2:37" ht="15" x14ac:dyDescent="0.2">
      <c r="B30" s="44" t="s">
        <v>97</v>
      </c>
      <c r="C30" s="22" t="s">
        <v>82</v>
      </c>
      <c r="D30" s="45">
        <v>3</v>
      </c>
      <c r="E30" s="11" t="s">
        <v>87</v>
      </c>
      <c r="F30" s="46" t="s">
        <v>96</v>
      </c>
      <c r="G30" s="72">
        <v>0</v>
      </c>
      <c r="H30" s="53">
        <f t="shared" si="6"/>
        <v>0.2424</v>
      </c>
      <c r="I30" s="53">
        <f>$I$18</f>
        <v>0.16053999999999999</v>
      </c>
      <c r="J30" s="53">
        <f t="shared" si="7"/>
        <v>7.4000000000000003E-3</v>
      </c>
      <c r="K30" s="49">
        <f t="shared" si="8"/>
        <v>0</v>
      </c>
      <c r="L30" s="49">
        <f t="shared" si="9"/>
        <v>0</v>
      </c>
      <c r="M30" s="54">
        <f t="shared" si="10"/>
        <v>0</v>
      </c>
      <c r="N30" s="49">
        <f t="shared" si="11"/>
        <v>0</v>
      </c>
      <c r="O30" s="51"/>
      <c r="Q30" s="4"/>
      <c r="R30" s="4">
        <v>128505.68</v>
      </c>
      <c r="S30" s="4"/>
      <c r="T30" s="4"/>
      <c r="U30" s="56">
        <v>17959.87</v>
      </c>
      <c r="V30" s="4"/>
      <c r="W30" s="4"/>
      <c r="X30" s="4"/>
      <c r="Y30" s="4"/>
      <c r="Z30" s="4"/>
      <c r="AA30" s="4"/>
      <c r="AB30" s="4"/>
      <c r="AC30" s="67"/>
      <c r="AD30" t="s">
        <v>51</v>
      </c>
      <c r="AG30" s="29">
        <v>0</v>
      </c>
      <c r="AK30" t="s">
        <v>89</v>
      </c>
    </row>
    <row r="31" spans="2:37" ht="15" x14ac:dyDescent="0.2">
      <c r="B31" s="44" t="s">
        <v>97</v>
      </c>
      <c r="C31" s="22" t="s">
        <v>84</v>
      </c>
      <c r="D31" s="45">
        <v>3</v>
      </c>
      <c r="E31" s="11" t="s">
        <v>87</v>
      </c>
      <c r="F31" s="46" t="s">
        <v>96</v>
      </c>
      <c r="G31" s="72">
        <v>0</v>
      </c>
      <c r="H31" s="53">
        <f t="shared" si="6"/>
        <v>0.2424</v>
      </c>
      <c r="I31" s="53">
        <f>$I$18</f>
        <v>0.16053999999999999</v>
      </c>
      <c r="J31" s="53">
        <f t="shared" si="7"/>
        <v>7.4000000000000003E-3</v>
      </c>
      <c r="K31" s="49">
        <f t="shared" si="8"/>
        <v>0</v>
      </c>
      <c r="L31" s="49">
        <f t="shared" si="9"/>
        <v>0</v>
      </c>
      <c r="M31" s="54">
        <f t="shared" si="10"/>
        <v>0</v>
      </c>
      <c r="N31" s="49">
        <f t="shared" si="11"/>
        <v>0</v>
      </c>
      <c r="O31" s="49"/>
      <c r="Q31" s="4"/>
      <c r="R31" s="4">
        <v>97.86</v>
      </c>
      <c r="S31" s="4"/>
      <c r="T31" s="4"/>
      <c r="U31" s="56">
        <v>10.64</v>
      </c>
      <c r="V31" s="4"/>
      <c r="W31" s="4"/>
      <c r="X31" s="4"/>
      <c r="Y31" s="4"/>
      <c r="Z31" s="4"/>
      <c r="AA31" s="4"/>
      <c r="AB31" s="4"/>
      <c r="AC31" s="67"/>
      <c r="AD31" t="s">
        <v>51</v>
      </c>
      <c r="AG31" s="29">
        <v>0</v>
      </c>
      <c r="AK31" t="s">
        <v>89</v>
      </c>
    </row>
    <row r="32" spans="2:37" ht="12.2" customHeight="1" x14ac:dyDescent="0.2">
      <c r="B32" s="44"/>
      <c r="D32" s="45"/>
      <c r="F32" s="46"/>
      <c r="G32" s="47"/>
      <c r="H32" s="53"/>
      <c r="I32" s="53"/>
      <c r="J32" s="53"/>
      <c r="K32" s="49"/>
      <c r="L32" s="49"/>
      <c r="M32" s="54"/>
      <c r="N32" s="49"/>
      <c r="O32" s="49"/>
      <c r="Q32" s="4"/>
      <c r="R32" s="4"/>
      <c r="S32" s="4"/>
      <c r="T32" s="4"/>
      <c r="U32" s="56"/>
      <c r="V32" s="4"/>
      <c r="W32" s="4"/>
      <c r="X32" s="4"/>
      <c r="Y32" s="4"/>
      <c r="Z32" s="4"/>
      <c r="AA32" s="4"/>
      <c r="AB32" s="4"/>
      <c r="AC32" s="65"/>
      <c r="AG32" s="29"/>
    </row>
    <row r="33" spans="2:37" ht="15" x14ac:dyDescent="0.2">
      <c r="B33" s="44" t="s">
        <v>94</v>
      </c>
      <c r="C33" s="22" t="s">
        <v>98</v>
      </c>
      <c r="D33" s="45" t="s">
        <v>15</v>
      </c>
      <c r="E33" s="11" t="s">
        <v>99</v>
      </c>
      <c r="F33" s="46" t="s">
        <v>100</v>
      </c>
      <c r="G33" s="47">
        <v>0</v>
      </c>
      <c r="H33" s="53">
        <f t="shared" si="6"/>
        <v>0.2424</v>
      </c>
      <c r="I33" s="48">
        <v>0.14752999999999999</v>
      </c>
      <c r="J33" s="53">
        <f t="shared" si="7"/>
        <v>7.4000000000000003E-3</v>
      </c>
      <c r="K33" s="49">
        <f>ROUND(H33*G33,2)</f>
        <v>0</v>
      </c>
      <c r="L33" s="49">
        <f>ROUND(G33*I33,2)</f>
        <v>0</v>
      </c>
      <c r="M33" s="54">
        <f>ROUND(G33*J33,2)</f>
        <v>0</v>
      </c>
      <c r="N33" s="64">
        <f>SUM(K33:M33)</f>
        <v>0</v>
      </c>
      <c r="Q33" s="4"/>
      <c r="R33" s="4"/>
      <c r="S33" s="4"/>
      <c r="T33" s="4"/>
      <c r="U33" s="56"/>
      <c r="V33" s="4"/>
      <c r="W33" s="4"/>
      <c r="X33" s="4"/>
      <c r="Y33" s="4"/>
      <c r="Z33" s="4"/>
      <c r="AA33" s="4"/>
      <c r="AB33" s="4"/>
      <c r="AC33" s="29"/>
      <c r="AD33" t="s">
        <v>51</v>
      </c>
      <c r="AG33" s="29">
        <v>0</v>
      </c>
      <c r="AK33" t="s">
        <v>101</v>
      </c>
    </row>
    <row r="34" spans="2:37" ht="15" x14ac:dyDescent="0.2">
      <c r="B34" s="44" t="s">
        <v>97</v>
      </c>
      <c r="C34" s="22" t="s">
        <v>82</v>
      </c>
      <c r="D34" s="45">
        <v>4</v>
      </c>
      <c r="E34" s="11" t="s">
        <v>99</v>
      </c>
      <c r="F34" s="46" t="s">
        <v>100</v>
      </c>
      <c r="G34" s="72">
        <v>0</v>
      </c>
      <c r="H34" s="53">
        <f t="shared" si="6"/>
        <v>0.2424</v>
      </c>
      <c r="I34" s="53">
        <f>$I$33</f>
        <v>0.14752999999999999</v>
      </c>
      <c r="J34" s="53">
        <f t="shared" si="7"/>
        <v>7.4000000000000003E-3</v>
      </c>
      <c r="K34" s="49">
        <f>ROUND(H34*G34,2)</f>
        <v>0</v>
      </c>
      <c r="L34" s="49">
        <f>ROUND(G34*I34,2)</f>
        <v>0</v>
      </c>
      <c r="M34" s="54">
        <f>ROUND(G34*J34,2)</f>
        <v>0</v>
      </c>
      <c r="N34" s="50">
        <f>SUM(K34:M34)</f>
        <v>0</v>
      </c>
      <c r="O34" s="49">
        <f>-N34-80.06</f>
        <v>-80.06</v>
      </c>
      <c r="Q34" s="4"/>
      <c r="R34" s="4">
        <v>18307.25</v>
      </c>
      <c r="S34" s="4"/>
      <c r="T34" s="4"/>
      <c r="U34" s="56">
        <v>1859.59</v>
      </c>
      <c r="V34" s="4"/>
      <c r="W34" s="4"/>
      <c r="X34" s="4"/>
      <c r="Y34" s="4"/>
      <c r="Z34" s="4"/>
      <c r="AA34" s="4"/>
      <c r="AB34" s="4"/>
      <c r="AC34" s="67"/>
      <c r="AD34" t="s">
        <v>51</v>
      </c>
      <c r="AG34" s="29">
        <v>0</v>
      </c>
      <c r="AK34" t="s">
        <v>102</v>
      </c>
    </row>
    <row r="35" spans="2:37" ht="15" x14ac:dyDescent="0.2">
      <c r="B35" s="44" t="s">
        <v>97</v>
      </c>
      <c r="C35" s="22" t="s">
        <v>84</v>
      </c>
      <c r="D35" s="45">
        <v>4</v>
      </c>
      <c r="E35" s="11" t="s">
        <v>99</v>
      </c>
      <c r="F35" s="46" t="s">
        <v>100</v>
      </c>
      <c r="G35" s="72">
        <v>0</v>
      </c>
      <c r="H35" s="53">
        <f t="shared" si="6"/>
        <v>0.2424</v>
      </c>
      <c r="I35" s="53">
        <f>$I$33</f>
        <v>0.14752999999999999</v>
      </c>
      <c r="J35" s="53">
        <f t="shared" si="7"/>
        <v>7.4000000000000003E-3</v>
      </c>
      <c r="K35" s="49">
        <f>ROUND(H35*G35,2)</f>
        <v>0</v>
      </c>
      <c r="L35" s="49">
        <f>ROUND(G35*I35,2)</f>
        <v>0</v>
      </c>
      <c r="M35" s="54">
        <f>ROUND(G35*J35,2)</f>
        <v>0</v>
      </c>
      <c r="N35" s="49">
        <f>SUM(K35:M35)</f>
        <v>0</v>
      </c>
      <c r="O35" s="49"/>
      <c r="Q35" s="4"/>
      <c r="R35" s="4"/>
      <c r="S35" s="4"/>
      <c r="T35" s="4"/>
      <c r="U35" s="56"/>
      <c r="V35" s="4"/>
      <c r="W35" s="4"/>
      <c r="X35" s="4"/>
      <c r="Y35" s="4"/>
      <c r="Z35" s="4"/>
      <c r="AA35" s="4"/>
      <c r="AB35" s="4"/>
      <c r="AC35" s="67"/>
      <c r="AD35" t="s">
        <v>51</v>
      </c>
      <c r="AG35" s="29">
        <v>0</v>
      </c>
      <c r="AK35" t="s">
        <v>102</v>
      </c>
    </row>
    <row r="36" spans="2:37" ht="12.2" customHeight="1" x14ac:dyDescent="0.2">
      <c r="B36" s="44"/>
      <c r="D36" s="45"/>
      <c r="F36" s="46"/>
      <c r="G36" s="47"/>
      <c r="H36" s="53"/>
      <c r="I36" s="53"/>
      <c r="J36" s="53"/>
      <c r="M36" s="5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29"/>
      <c r="AG36" s="29"/>
    </row>
    <row r="37" spans="2:37" ht="15.75" x14ac:dyDescent="0.25">
      <c r="B37" s="44" t="s">
        <v>103</v>
      </c>
      <c r="C37" s="22" t="s">
        <v>104</v>
      </c>
      <c r="D37" s="45" t="s">
        <v>24</v>
      </c>
      <c r="E37" s="11" t="s">
        <v>99</v>
      </c>
      <c r="F37" s="46" t="s">
        <v>100</v>
      </c>
      <c r="G37" s="57">
        <v>248145</v>
      </c>
      <c r="H37" s="53">
        <f t="shared" si="6"/>
        <v>0.2424</v>
      </c>
      <c r="I37" s="53">
        <f t="shared" ref="I37:I42" si="12">$I$33</f>
        <v>0.14752999999999999</v>
      </c>
      <c r="J37" s="53">
        <f t="shared" si="7"/>
        <v>7.4000000000000003E-3</v>
      </c>
      <c r="K37" s="49">
        <f t="shared" ref="K37:K42" si="13">ROUND(H37*G37,2)</f>
        <v>60150.35</v>
      </c>
      <c r="L37" s="49">
        <f t="shared" ref="L37:L42" si="14">ROUND(G37*I37,2)</f>
        <v>36608.83</v>
      </c>
      <c r="M37" s="54">
        <f t="shared" ref="M37:M41" si="15">ROUND(G37*J37,2)</f>
        <v>1836.27</v>
      </c>
      <c r="N37" s="50">
        <f>SUM(K37:M37)</f>
        <v>98595.45</v>
      </c>
      <c r="O37" s="49">
        <v>0.01</v>
      </c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29"/>
      <c r="AD37" t="s">
        <v>51</v>
      </c>
      <c r="AG37" s="29">
        <v>0</v>
      </c>
      <c r="AK37" t="s">
        <v>102</v>
      </c>
    </row>
    <row r="38" spans="2:37" ht="15.75" x14ac:dyDescent="0.25">
      <c r="B38" s="44" t="s">
        <v>103</v>
      </c>
      <c r="C38" s="22" t="s">
        <v>82</v>
      </c>
      <c r="D38" s="45">
        <v>5</v>
      </c>
      <c r="E38" s="11" t="s">
        <v>99</v>
      </c>
      <c r="F38" s="46" t="s">
        <v>100</v>
      </c>
      <c r="G38" s="66">
        <v>-248145</v>
      </c>
      <c r="H38" s="53">
        <f t="shared" si="6"/>
        <v>0.2424</v>
      </c>
      <c r="I38" s="53">
        <f t="shared" si="12"/>
        <v>0.14752999999999999</v>
      </c>
      <c r="J38" s="53">
        <f t="shared" si="7"/>
        <v>7.4000000000000003E-3</v>
      </c>
      <c r="K38" s="49">
        <f t="shared" si="13"/>
        <v>-60150.35</v>
      </c>
      <c r="L38" s="49">
        <f t="shared" si="14"/>
        <v>-36608.83</v>
      </c>
      <c r="M38" s="54">
        <f t="shared" si="15"/>
        <v>-1836.27</v>
      </c>
      <c r="N38" s="50">
        <f t="shared" ref="N38:N42" si="16">SUM(K38:M38)</f>
        <v>-98595.45</v>
      </c>
      <c r="O38" s="49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67"/>
      <c r="AD38" t="s">
        <v>51</v>
      </c>
      <c r="AG38" s="29">
        <v>0</v>
      </c>
      <c r="AK38" t="s">
        <v>101</v>
      </c>
    </row>
    <row r="39" spans="2:37" ht="15" x14ac:dyDescent="0.2">
      <c r="B39" s="44" t="s">
        <v>103</v>
      </c>
      <c r="C39" s="22" t="s">
        <v>105</v>
      </c>
      <c r="D39" s="45">
        <v>5</v>
      </c>
      <c r="E39" s="11" t="s">
        <v>99</v>
      </c>
      <c r="F39" s="46" t="s">
        <v>100</v>
      </c>
      <c r="G39" s="68"/>
      <c r="H39" s="53">
        <f t="shared" si="6"/>
        <v>0.2424</v>
      </c>
      <c r="I39" s="53">
        <f t="shared" si="12"/>
        <v>0.14752999999999999</v>
      </c>
      <c r="J39" s="53">
        <f t="shared" si="7"/>
        <v>7.4000000000000003E-3</v>
      </c>
      <c r="K39" s="49">
        <f t="shared" si="13"/>
        <v>0</v>
      </c>
      <c r="L39" s="49">
        <f t="shared" si="14"/>
        <v>0</v>
      </c>
      <c r="M39" s="54">
        <f t="shared" si="15"/>
        <v>0</v>
      </c>
      <c r="N39" s="50">
        <f t="shared" si="16"/>
        <v>0</v>
      </c>
      <c r="O39" s="49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67"/>
      <c r="AD39" t="s">
        <v>51</v>
      </c>
      <c r="AG39" s="29">
        <v>0</v>
      </c>
      <c r="AK39" t="s">
        <v>101</v>
      </c>
    </row>
    <row r="40" spans="2:37" ht="15" x14ac:dyDescent="0.2">
      <c r="B40" s="44" t="s">
        <v>106</v>
      </c>
      <c r="C40" s="22" t="s">
        <v>107</v>
      </c>
      <c r="D40" s="45">
        <v>5</v>
      </c>
      <c r="E40" s="11" t="s">
        <v>108</v>
      </c>
      <c r="F40" s="46" t="s">
        <v>109</v>
      </c>
      <c r="G40" s="47"/>
      <c r="H40" s="53">
        <f t="shared" si="6"/>
        <v>0.2424</v>
      </c>
      <c r="I40" s="53">
        <f t="shared" si="12"/>
        <v>0.14752999999999999</v>
      </c>
      <c r="J40" s="53">
        <f t="shared" si="7"/>
        <v>7.4000000000000003E-3</v>
      </c>
      <c r="K40" s="49">
        <f t="shared" si="13"/>
        <v>0</v>
      </c>
      <c r="L40" s="49">
        <f t="shared" si="14"/>
        <v>0</v>
      </c>
      <c r="M40" s="54">
        <f t="shared" si="15"/>
        <v>0</v>
      </c>
      <c r="N40" s="50">
        <f t="shared" si="16"/>
        <v>0</v>
      </c>
      <c r="O40" s="49">
        <v>-0.01</v>
      </c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29"/>
      <c r="AD40" t="s">
        <v>51</v>
      </c>
      <c r="AG40" s="29">
        <v>0</v>
      </c>
      <c r="AK40" t="s">
        <v>110</v>
      </c>
    </row>
    <row r="41" spans="2:37" ht="15" x14ac:dyDescent="0.2">
      <c r="B41" s="44" t="s">
        <v>103</v>
      </c>
      <c r="C41" s="22" t="s">
        <v>82</v>
      </c>
      <c r="D41" s="45">
        <v>5</v>
      </c>
      <c r="E41" s="11" t="s">
        <v>108</v>
      </c>
      <c r="F41" s="46" t="s">
        <v>109</v>
      </c>
      <c r="G41" s="72">
        <v>0</v>
      </c>
      <c r="H41" s="53">
        <f t="shared" si="6"/>
        <v>0.2424</v>
      </c>
      <c r="I41" s="53">
        <f t="shared" si="12"/>
        <v>0.14752999999999999</v>
      </c>
      <c r="J41" s="53">
        <f t="shared" si="7"/>
        <v>7.4000000000000003E-3</v>
      </c>
      <c r="K41" s="49">
        <f>ROUND(H41*G41,2)</f>
        <v>0</v>
      </c>
      <c r="L41" s="49">
        <f t="shared" si="14"/>
        <v>0</v>
      </c>
      <c r="M41" s="54">
        <f t="shared" si="15"/>
        <v>0</v>
      </c>
      <c r="N41" s="50">
        <f t="shared" si="16"/>
        <v>0</v>
      </c>
      <c r="O41" s="49">
        <v>-0.01</v>
      </c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67"/>
      <c r="AD41" t="s">
        <v>51</v>
      </c>
      <c r="AG41" s="29">
        <v>0</v>
      </c>
      <c r="AK41" t="s">
        <v>101</v>
      </c>
    </row>
    <row r="42" spans="2:37" ht="15" x14ac:dyDescent="0.2">
      <c r="B42" s="44" t="s">
        <v>103</v>
      </c>
      <c r="C42" s="22" t="s">
        <v>105</v>
      </c>
      <c r="D42" s="45">
        <v>5</v>
      </c>
      <c r="E42" s="11" t="s">
        <v>108</v>
      </c>
      <c r="F42" s="46" t="s">
        <v>109</v>
      </c>
      <c r="G42" s="72">
        <v>0</v>
      </c>
      <c r="H42" s="53">
        <f t="shared" si="6"/>
        <v>0.2424</v>
      </c>
      <c r="I42" s="53">
        <f t="shared" si="12"/>
        <v>0.14752999999999999</v>
      </c>
      <c r="J42" s="53">
        <f t="shared" si="7"/>
        <v>7.4000000000000003E-3</v>
      </c>
      <c r="K42" s="49">
        <f t="shared" si="13"/>
        <v>0</v>
      </c>
      <c r="L42" s="49">
        <f t="shared" si="14"/>
        <v>0</v>
      </c>
      <c r="M42" s="54">
        <f>ROUND(G42*J42,2)</f>
        <v>0</v>
      </c>
      <c r="N42" s="50">
        <f t="shared" si="16"/>
        <v>0</v>
      </c>
      <c r="O42" s="49">
        <v>0.01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67"/>
      <c r="AD42" t="s">
        <v>51</v>
      </c>
      <c r="AG42" s="29">
        <v>0</v>
      </c>
      <c r="AK42" t="s">
        <v>101</v>
      </c>
    </row>
    <row r="43" spans="2:37" ht="12.2" customHeight="1" x14ac:dyDescent="0.2">
      <c r="B43" s="44"/>
      <c r="D43" s="45"/>
      <c r="F43" s="46"/>
      <c r="G43" s="73"/>
      <c r="H43" s="53"/>
      <c r="I43" s="53"/>
      <c r="J43" s="53"/>
      <c r="K43" s="49"/>
      <c r="L43" s="49"/>
      <c r="M43" s="54"/>
      <c r="N43" s="49"/>
      <c r="O43" s="49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67"/>
      <c r="AG43" s="29"/>
    </row>
    <row r="44" spans="2:37" ht="14.25" x14ac:dyDescent="0.2">
      <c r="B44" s="44" t="s">
        <v>106</v>
      </c>
      <c r="C44" s="22" t="s">
        <v>111</v>
      </c>
      <c r="D44" s="45">
        <v>6</v>
      </c>
      <c r="E44" s="11" t="s">
        <v>99</v>
      </c>
      <c r="F44" s="46"/>
      <c r="G44" s="74">
        <f>'[2]Core Billed Therms '!$J$88</f>
        <v>0</v>
      </c>
      <c r="H44" s="53">
        <f t="shared" si="6"/>
        <v>0.2424</v>
      </c>
      <c r="I44" s="53">
        <f>$I$33</f>
        <v>0.14752999999999999</v>
      </c>
      <c r="J44" s="53">
        <f t="shared" si="7"/>
        <v>7.4000000000000003E-3</v>
      </c>
      <c r="K44" s="49">
        <f>ROUND(H44*G44,2)</f>
        <v>0</v>
      </c>
      <c r="L44" s="49">
        <f>ROUND(G44*I44,2)</f>
        <v>0</v>
      </c>
      <c r="M44" s="54">
        <f>ROUND(G44*J44,2)</f>
        <v>0</v>
      </c>
      <c r="N44" s="49">
        <f>SUM(K44:M44)</f>
        <v>0</v>
      </c>
      <c r="O44" s="49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29"/>
      <c r="AD44" t="s">
        <v>51</v>
      </c>
      <c r="AG44" s="29">
        <v>0</v>
      </c>
      <c r="AK44" t="s">
        <v>112</v>
      </c>
    </row>
    <row r="45" spans="2:37" ht="12.2" customHeight="1" x14ac:dyDescent="0.2">
      <c r="B45" s="44"/>
      <c r="D45" s="45"/>
      <c r="G45" s="74"/>
      <c r="J45" s="75"/>
      <c r="K45" s="49"/>
      <c r="L45" s="49"/>
      <c r="M45" s="54"/>
      <c r="N45" s="49"/>
      <c r="O45" s="49"/>
      <c r="AC45" s="29"/>
      <c r="AG45" s="29"/>
    </row>
    <row r="46" spans="2:37" ht="15" x14ac:dyDescent="0.25">
      <c r="B46" s="76"/>
      <c r="D46" s="77"/>
      <c r="E46" s="78"/>
      <c r="F46" s="11" t="s">
        <v>115</v>
      </c>
      <c r="G46" s="79" t="e">
        <f>+#REF!</f>
        <v>#REF!</v>
      </c>
      <c r="H46" s="80" t="s">
        <v>114</v>
      </c>
      <c r="K46" s="81">
        <f>SUM(K9:K45)</f>
        <v>-457429.17</v>
      </c>
      <c r="L46" s="82">
        <f>SUM(L9:L45)</f>
        <v>-359090.06999999995</v>
      </c>
      <c r="M46" s="83">
        <f>SUM(M9:M45)</f>
        <v>131462.58000000002</v>
      </c>
      <c r="N46" s="84">
        <f>SUM(N9:N45)</f>
        <v>-685056.66</v>
      </c>
      <c r="O46" s="85">
        <v>0.03</v>
      </c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29"/>
      <c r="AG46" s="29"/>
    </row>
    <row r="47" spans="2:37" ht="14.25" x14ac:dyDescent="0.2">
      <c r="C47" s="3"/>
      <c r="D47" s="77"/>
      <c r="F47" s="11" t="s">
        <v>113</v>
      </c>
      <c r="G47" s="79">
        <f>SUM(G9:G45)</f>
        <v>-1887084</v>
      </c>
      <c r="K47" s="84" t="s">
        <v>116</v>
      </c>
      <c r="L47" s="84" t="s">
        <v>116</v>
      </c>
      <c r="M47" s="84"/>
      <c r="N47" s="84"/>
      <c r="O47" s="84"/>
      <c r="Q47" s="84">
        <f>-N46</f>
        <v>685056.66</v>
      </c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3" t="s">
        <v>117</v>
      </c>
      <c r="AD47" t="s">
        <v>51</v>
      </c>
      <c r="AG47" s="29">
        <v>0</v>
      </c>
      <c r="AK47" t="s">
        <v>118</v>
      </c>
    </row>
    <row r="48" spans="2:37" ht="15" x14ac:dyDescent="0.25">
      <c r="F48" s="86" t="s">
        <v>119</v>
      </c>
      <c r="G48" s="87" t="e">
        <f>+G46+G47</f>
        <v>#REF!</v>
      </c>
      <c r="H48" s="88"/>
      <c r="K48" s="84">
        <f>SUM(K46:K47)</f>
        <v>-457429.17</v>
      </c>
      <c r="L48" s="84">
        <f>SUM(L46:L47)</f>
        <v>-359090.06999999995</v>
      </c>
      <c r="M48" s="84">
        <f>SUM(M46:M47)</f>
        <v>131462.58000000002</v>
      </c>
      <c r="N48" s="84">
        <f>SUM(N46:N47)</f>
        <v>-685056.66</v>
      </c>
      <c r="O48" s="84"/>
      <c r="P48" s="4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E48" s="29"/>
    </row>
    <row r="49" spans="6:15" ht="21.75" customHeight="1" x14ac:dyDescent="0.25">
      <c r="G49" s="90" t="s">
        <v>120</v>
      </c>
      <c r="K49" s="84"/>
      <c r="L49" s="91"/>
      <c r="M49" s="84"/>
      <c r="N49" s="84"/>
      <c r="O49" s="84"/>
    </row>
    <row r="50" spans="6:15" ht="21.75" customHeight="1" x14ac:dyDescent="0.2">
      <c r="G50" s="92" t="s">
        <v>121</v>
      </c>
      <c r="H50" s="93"/>
      <c r="L50" s="94"/>
      <c r="M50" s="49"/>
      <c r="N50" s="49"/>
      <c r="O50" s="49"/>
    </row>
    <row r="51" spans="6:15" x14ac:dyDescent="0.2">
      <c r="H51" s="93"/>
      <c r="L51" s="96"/>
      <c r="N51" s="91"/>
      <c r="O51" s="91"/>
    </row>
    <row r="52" spans="6:15" x14ac:dyDescent="0.2">
      <c r="F52" s="11" t="s">
        <v>122</v>
      </c>
      <c r="L52" s="97"/>
      <c r="N52" s="98"/>
      <c r="O52" s="98"/>
    </row>
    <row r="53" spans="6:15" x14ac:dyDescent="0.2">
      <c r="L53" s="97"/>
      <c r="M53" s="99"/>
    </row>
    <row r="54" spans="6:15" x14ac:dyDescent="0.2">
      <c r="L54" s="97"/>
      <c r="M54" s="99"/>
      <c r="N54" s="5"/>
      <c r="O54" s="5"/>
    </row>
    <row r="55" spans="6:15" x14ac:dyDescent="0.2">
      <c r="L55" s="97"/>
      <c r="M55" s="99"/>
      <c r="N55" s="100"/>
      <c r="O55" s="100"/>
    </row>
    <row r="56" spans="6:15" x14ac:dyDescent="0.2">
      <c r="L56" s="97"/>
      <c r="M56" s="99"/>
      <c r="N56" s="100"/>
      <c r="O56" s="100"/>
    </row>
    <row r="57" spans="6:15" x14ac:dyDescent="0.2">
      <c r="L57" s="97"/>
      <c r="M57" s="100"/>
      <c r="N57" s="99"/>
      <c r="O57" s="99"/>
    </row>
    <row r="58" spans="6:15" x14ac:dyDescent="0.2">
      <c r="L58" s="101"/>
      <c r="N58" s="102"/>
      <c r="O58" s="102"/>
    </row>
    <row r="59" spans="6:15" x14ac:dyDescent="0.2">
      <c r="L59" s="96"/>
      <c r="N59" s="103"/>
      <c r="O59" s="103"/>
    </row>
    <row r="71" spans="2:37" s="71" customFormat="1" x14ac:dyDescent="0.2">
      <c r="B71" s="3"/>
      <c r="C71" s="22"/>
      <c r="D71" s="11"/>
      <c r="E71" s="11"/>
      <c r="F71" s="11"/>
      <c r="G71" s="95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106" spans="2:28" x14ac:dyDescent="0.2">
      <c r="B106" s="7"/>
      <c r="D106" s="77"/>
    </row>
    <row r="107" spans="2:28" x14ac:dyDescent="0.2">
      <c r="B107" s="7"/>
      <c r="D107" s="77"/>
      <c r="Q107" s="96"/>
      <c r="R107" s="96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</row>
    <row r="108" spans="2:28" x14ac:dyDescent="0.2">
      <c r="Q108" s="96"/>
      <c r="R108" s="96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</row>
    <row r="109" spans="2:28" x14ac:dyDescent="0.2">
      <c r="D109" s="77"/>
    </row>
    <row r="110" spans="2:28" x14ac:dyDescent="0.2">
      <c r="D110" s="77"/>
    </row>
  </sheetData>
  <mergeCells count="9">
    <mergeCell ref="L5:P5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634AF-67CB-4D09-8BDA-153CE0859830}">
  <dimension ref="B1:AG71"/>
  <sheetViews>
    <sheetView showGridLines="0" zoomScale="60" zoomScaleNormal="60" zoomScaleSheetLayoutView="100" workbookViewId="0">
      <pane xSplit="6" topLeftCell="I1" activePane="topRight" state="frozen"/>
      <selection activeCell="B6" sqref="B6"/>
      <selection pane="topRight" activeCell="M8" sqref="M8"/>
    </sheetView>
  </sheetViews>
  <sheetFormatPr defaultColWidth="9.140625" defaultRowHeight="14.1" customHeight="1" x14ac:dyDescent="0.25"/>
  <cols>
    <col min="1" max="1" width="1.7109375" style="8" customWidth="1"/>
    <col min="2" max="2" width="3.42578125" style="111" customWidth="1"/>
    <col min="3" max="3" width="5.5703125" style="111" customWidth="1"/>
    <col min="4" max="4" width="6.42578125" style="111" customWidth="1"/>
    <col min="5" max="5" width="8.85546875" style="236" customWidth="1"/>
    <col min="6" max="6" width="29.5703125" style="8" customWidth="1"/>
    <col min="7" max="7" width="11.140625" style="8" bestFit="1" customWidth="1"/>
    <col min="8" max="8" width="14.5703125" style="114" bestFit="1" customWidth="1"/>
    <col min="9" max="9" width="2.7109375" style="8" customWidth="1"/>
    <col min="10" max="10" width="12.7109375" style="8" bestFit="1" customWidth="1"/>
    <col min="11" max="11" width="16.85546875" style="114" bestFit="1" customWidth="1"/>
    <col min="12" max="12" width="2.7109375" style="8" customWidth="1"/>
    <col min="13" max="13" width="13.42578125" style="8" bestFit="1" customWidth="1"/>
    <col min="14" max="14" width="16.28515625" style="114" customWidth="1"/>
    <col min="15" max="15" width="3" style="8" customWidth="1"/>
    <col min="16" max="16" width="17.28515625" style="127" customWidth="1"/>
    <col min="17" max="17" width="19.7109375" style="127" customWidth="1"/>
    <col min="18" max="18" width="3.7109375" style="127" customWidth="1"/>
    <col min="19" max="19" width="16.85546875" style="127" customWidth="1"/>
    <col min="20" max="20" width="20.140625" style="127" customWidth="1"/>
    <col min="21" max="21" width="3.5703125" style="8" customWidth="1"/>
    <col min="22" max="22" width="11.42578125" style="8" customWidth="1"/>
    <col min="23" max="23" width="18.7109375" style="8" customWidth="1"/>
    <col min="24" max="24" width="1.7109375" style="8" hidden="1" customWidth="1"/>
    <col min="25" max="25" width="14.5703125" style="8" customWidth="1"/>
    <col min="26" max="26" width="16.5703125" style="8" customWidth="1"/>
    <col min="27" max="27" width="1.7109375" style="8" hidden="1" customWidth="1"/>
    <col min="28" max="29" width="15.7109375" style="8" hidden="1" customWidth="1"/>
    <col min="30" max="30" width="2.140625" style="8" customWidth="1"/>
    <col min="31" max="31" width="14.85546875" style="8" bestFit="1" customWidth="1"/>
    <col min="32" max="32" width="10.7109375" style="8" bestFit="1" customWidth="1"/>
    <col min="33" max="33" width="13.7109375" style="8" bestFit="1" customWidth="1"/>
    <col min="34" max="16384" width="9.140625" style="8"/>
  </cols>
  <sheetData>
    <row r="1" spans="2:33" ht="17.45" customHeight="1" x14ac:dyDescent="0.25">
      <c r="B1" s="110" t="s">
        <v>126</v>
      </c>
      <c r="D1" s="112"/>
      <c r="E1" s="112"/>
      <c r="F1" s="112"/>
      <c r="G1" s="113"/>
      <c r="I1" s="115"/>
      <c r="K1" s="116"/>
      <c r="O1" s="115"/>
      <c r="P1" s="117"/>
      <c r="Q1" s="118"/>
      <c r="R1" s="117"/>
      <c r="S1" s="117"/>
      <c r="T1" s="117"/>
      <c r="U1" s="115"/>
      <c r="W1" s="119">
        <f>B2-31</f>
        <v>43549</v>
      </c>
      <c r="X1" s="119"/>
      <c r="Y1" s="119"/>
    </row>
    <row r="2" spans="2:33" ht="15" customHeight="1" x14ac:dyDescent="0.25">
      <c r="B2" s="120">
        <v>43580</v>
      </c>
      <c r="C2" s="120"/>
      <c r="D2" s="120"/>
      <c r="E2" s="120"/>
      <c r="G2" s="121" t="s">
        <v>12</v>
      </c>
      <c r="H2" s="121"/>
      <c r="I2" s="115"/>
      <c r="J2" s="122" t="s">
        <v>127</v>
      </c>
      <c r="K2" s="122"/>
      <c r="L2" s="122"/>
      <c r="M2" s="122"/>
      <c r="N2" s="122"/>
      <c r="O2" s="115"/>
      <c r="P2" s="123" t="s">
        <v>128</v>
      </c>
      <c r="Q2" s="123"/>
      <c r="R2" s="123"/>
      <c r="S2" s="123"/>
      <c r="T2" s="123"/>
      <c r="U2" s="115"/>
      <c r="W2" s="124" t="s">
        <v>129</v>
      </c>
      <c r="X2" s="124"/>
      <c r="Y2" s="124"/>
    </row>
    <row r="3" spans="2:33" ht="15" x14ac:dyDescent="0.25">
      <c r="E3" s="125"/>
      <c r="H3" s="126"/>
      <c r="I3" s="115"/>
      <c r="K3" s="116"/>
      <c r="O3" s="115"/>
      <c r="U3" s="128"/>
      <c r="W3" s="119">
        <f>B2</f>
        <v>43580</v>
      </c>
      <c r="X3" s="119"/>
      <c r="Y3" s="119"/>
      <c r="Z3" s="129"/>
      <c r="AB3" s="130" t="s">
        <v>130</v>
      </c>
      <c r="AC3" s="130"/>
      <c r="AD3" s="131"/>
    </row>
    <row r="4" spans="2:33" ht="16.5" customHeight="1" x14ac:dyDescent="0.25">
      <c r="B4" s="132"/>
      <c r="C4" s="132"/>
      <c r="D4" s="132"/>
      <c r="E4" s="133"/>
      <c r="F4" s="134" t="s">
        <v>131</v>
      </c>
      <c r="I4" s="115"/>
      <c r="J4" s="135" t="s">
        <v>132</v>
      </c>
      <c r="K4" s="135"/>
      <c r="L4" s="136"/>
      <c r="M4" s="135" t="s">
        <v>133</v>
      </c>
      <c r="N4" s="135"/>
      <c r="O4" s="137"/>
      <c r="P4" s="138" t="s">
        <v>132</v>
      </c>
      <c r="Q4" s="138"/>
      <c r="R4" s="139"/>
      <c r="S4" s="138" t="s">
        <v>133</v>
      </c>
      <c r="T4" s="138"/>
      <c r="U4" s="137"/>
      <c r="V4" s="135" t="s">
        <v>132</v>
      </c>
      <c r="W4" s="135"/>
      <c r="X4" s="136"/>
      <c r="Y4" s="135" t="s">
        <v>133</v>
      </c>
      <c r="Z4" s="135"/>
      <c r="AB4" s="140" t="s">
        <v>2</v>
      </c>
      <c r="AC4" s="140" t="s">
        <v>8</v>
      </c>
      <c r="AD4" s="140"/>
    </row>
    <row r="5" spans="2:33" s="7" customFormat="1" ht="15.75" customHeight="1" x14ac:dyDescent="0.2">
      <c r="B5" s="141" t="s">
        <v>134</v>
      </c>
      <c r="C5" s="141"/>
      <c r="D5" s="141"/>
      <c r="E5" s="141"/>
      <c r="F5" s="142"/>
      <c r="G5" s="143" t="s">
        <v>35</v>
      </c>
      <c r="H5" s="144" t="s">
        <v>135</v>
      </c>
      <c r="I5" s="115"/>
      <c r="J5" s="145" t="s">
        <v>35</v>
      </c>
      <c r="K5" s="146" t="s">
        <v>135</v>
      </c>
      <c r="L5" s="147"/>
      <c r="M5" s="145" t="s">
        <v>35</v>
      </c>
      <c r="N5" s="146" t="s">
        <v>135</v>
      </c>
      <c r="O5" s="115"/>
      <c r="P5" s="148" t="s">
        <v>35</v>
      </c>
      <c r="Q5" s="149" t="s">
        <v>135</v>
      </c>
      <c r="R5" s="147"/>
      <c r="S5" s="147" t="s">
        <v>35</v>
      </c>
      <c r="T5" s="150" t="s">
        <v>135</v>
      </c>
      <c r="U5" s="115"/>
      <c r="V5" s="145" t="s">
        <v>136</v>
      </c>
      <c r="W5" s="150" t="s">
        <v>135</v>
      </c>
      <c r="X5" s="147"/>
      <c r="Y5" s="151" t="s">
        <v>136</v>
      </c>
      <c r="Z5" s="150" t="s">
        <v>135</v>
      </c>
      <c r="AB5" s="152" t="s">
        <v>135</v>
      </c>
      <c r="AC5" s="152" t="s">
        <v>135</v>
      </c>
      <c r="AD5" s="152"/>
    </row>
    <row r="6" spans="2:33" ht="14.25" customHeight="1" x14ac:dyDescent="0.25">
      <c r="B6" s="153" t="s">
        <v>137</v>
      </c>
      <c r="C6" s="154">
        <v>6011</v>
      </c>
      <c r="D6" s="154">
        <v>28040</v>
      </c>
      <c r="E6" s="155">
        <v>671010</v>
      </c>
      <c r="F6" s="7" t="s">
        <v>138</v>
      </c>
      <c r="G6" s="156" t="s">
        <v>139</v>
      </c>
      <c r="H6" s="157">
        <f>K6+N6</f>
        <v>342142.5</v>
      </c>
      <c r="I6" s="115"/>
      <c r="J6" s="158"/>
      <c r="K6" s="159">
        <f>+Q6+W6</f>
        <v>41570.31</v>
      </c>
      <c r="L6" s="160" t="s">
        <v>140</v>
      </c>
      <c r="M6" s="158"/>
      <c r="N6" s="159">
        <f>+T6+Z6</f>
        <v>300572.19</v>
      </c>
      <c r="O6" s="115" t="s">
        <v>140</v>
      </c>
      <c r="P6" s="158"/>
      <c r="Q6" s="161">
        <v>41570.31</v>
      </c>
      <c r="R6" s="7"/>
      <c r="S6" s="158"/>
      <c r="T6" s="161">
        <v>300572.19</v>
      </c>
      <c r="U6" s="115"/>
      <c r="V6" s="162"/>
      <c r="W6" s="163"/>
      <c r="Y6" s="113"/>
      <c r="Z6" s="163"/>
      <c r="AE6" s="164">
        <v>671010</v>
      </c>
    </row>
    <row r="7" spans="2:33" ht="14.25" customHeight="1" x14ac:dyDescent="0.25">
      <c r="B7" s="153" t="s">
        <v>137</v>
      </c>
      <c r="C7" s="154">
        <v>6011</v>
      </c>
      <c r="D7" s="154">
        <v>28040</v>
      </c>
      <c r="E7" s="155">
        <v>671030</v>
      </c>
      <c r="F7" s="7" t="s">
        <v>141</v>
      </c>
      <c r="G7" s="156" t="s">
        <v>139</v>
      </c>
      <c r="H7" s="157">
        <f t="shared" ref="H7:H13" si="0">+K7+N7</f>
        <v>408459.63</v>
      </c>
      <c r="I7" s="115"/>
      <c r="J7" s="158"/>
      <c r="K7" s="159">
        <f>+Q7+W7</f>
        <v>248576.68</v>
      </c>
      <c r="L7" s="160" t="s">
        <v>140</v>
      </c>
      <c r="M7" s="158"/>
      <c r="N7" s="159">
        <f>+T7+Z7</f>
        <v>159882.94999999998</v>
      </c>
      <c r="O7" s="115" t="s">
        <v>140</v>
      </c>
      <c r="P7" s="158"/>
      <c r="Q7" s="163">
        <v>241138.65</v>
      </c>
      <c r="R7" s="7"/>
      <c r="S7" s="158"/>
      <c r="T7" s="161">
        <v>159895.01999999999</v>
      </c>
      <c r="U7" s="115"/>
      <c r="V7" s="165"/>
      <c r="W7" s="161">
        <v>7438.03</v>
      </c>
      <c r="X7" s="127"/>
      <c r="Y7" s="166"/>
      <c r="Z7" s="161">
        <v>-12.07</v>
      </c>
      <c r="AE7" s="164">
        <v>671030</v>
      </c>
    </row>
    <row r="8" spans="2:33" ht="14.25" customHeight="1" x14ac:dyDescent="0.25">
      <c r="B8" s="153" t="s">
        <v>137</v>
      </c>
      <c r="C8" s="154">
        <v>6011</v>
      </c>
      <c r="D8" s="154">
        <v>28040</v>
      </c>
      <c r="E8" s="155">
        <v>671050</v>
      </c>
      <c r="F8" s="7" t="s">
        <v>142</v>
      </c>
      <c r="G8" s="167">
        <f t="shared" ref="G8:G14" si="1">+J8+M8</f>
        <v>23980210</v>
      </c>
      <c r="H8" s="157">
        <f t="shared" si="0"/>
        <v>5570612.5200000005</v>
      </c>
      <c r="I8" s="115"/>
      <c r="J8" s="168">
        <f>+P8+V8</f>
        <v>16964099</v>
      </c>
      <c r="K8" s="169">
        <f>+Q8+W8</f>
        <v>4231197.3100000005</v>
      </c>
      <c r="L8" s="160" t="s">
        <v>143</v>
      </c>
      <c r="M8" s="7">
        <f>+S8+Y8</f>
        <v>7016111</v>
      </c>
      <c r="N8" s="170">
        <f>+T8+Z8</f>
        <v>1339415.2100000002</v>
      </c>
      <c r="O8" s="115" t="s">
        <v>143</v>
      </c>
      <c r="P8" s="171">
        <v>17060976</v>
      </c>
      <c r="Q8" s="172">
        <f>4327605.16+500+500+7280</f>
        <v>4335885.16</v>
      </c>
      <c r="R8" s="7"/>
      <c r="S8" s="171">
        <v>7049614</v>
      </c>
      <c r="T8" s="172">
        <v>1371349.12</v>
      </c>
      <c r="U8" s="115"/>
      <c r="V8" s="173">
        <v>-96877</v>
      </c>
      <c r="W8" s="174">
        <v>-104687.85</v>
      </c>
      <c r="X8" s="127"/>
      <c r="Y8" s="175">
        <v>-33503</v>
      </c>
      <c r="Z8" s="174">
        <v>-31933.91</v>
      </c>
      <c r="AB8" s="176">
        <v>0</v>
      </c>
      <c r="AC8" s="176">
        <v>0</v>
      </c>
      <c r="AE8" s="177">
        <v>671050</v>
      </c>
    </row>
    <row r="9" spans="2:33" ht="14.25" customHeight="1" x14ac:dyDescent="0.25">
      <c r="B9" s="153" t="s">
        <v>137</v>
      </c>
      <c r="C9" s="154">
        <v>6011</v>
      </c>
      <c r="D9" s="154">
        <v>28040</v>
      </c>
      <c r="E9" s="155">
        <v>671051</v>
      </c>
      <c r="F9" s="7" t="s">
        <v>144</v>
      </c>
      <c r="G9" s="156" t="s">
        <v>139</v>
      </c>
      <c r="H9" s="157">
        <f t="shared" si="0"/>
        <v>0</v>
      </c>
      <c r="I9" s="115"/>
      <c r="J9" s="178"/>
      <c r="K9" s="170">
        <f t="shared" ref="J9:K14" si="2">+Q9+W9</f>
        <v>0</v>
      </c>
      <c r="L9" s="160" t="s">
        <v>143</v>
      </c>
      <c r="M9" s="179"/>
      <c r="N9" s="170">
        <f>+T9+Z9</f>
        <v>0</v>
      </c>
      <c r="O9" s="115" t="s">
        <v>143</v>
      </c>
      <c r="P9" s="158"/>
      <c r="Q9" s="180"/>
      <c r="R9" s="7"/>
      <c r="S9" s="158"/>
      <c r="T9" s="180"/>
      <c r="U9" s="115"/>
      <c r="V9" s="181"/>
      <c r="W9" s="180"/>
      <c r="X9" s="113"/>
      <c r="Y9" s="182"/>
      <c r="Z9" s="180"/>
      <c r="AE9" s="177">
        <v>671051</v>
      </c>
    </row>
    <row r="10" spans="2:33" ht="14.25" customHeight="1" x14ac:dyDescent="0.25">
      <c r="B10" s="153" t="s">
        <v>137</v>
      </c>
      <c r="C10" s="154">
        <v>6011</v>
      </c>
      <c r="D10" s="154">
        <v>28040</v>
      </c>
      <c r="E10" s="155">
        <v>671070</v>
      </c>
      <c r="F10" s="7" t="s">
        <v>145</v>
      </c>
      <c r="G10" s="167">
        <f t="shared" si="1"/>
        <v>1921520</v>
      </c>
      <c r="H10" s="157">
        <f>+K10+N10</f>
        <v>1826957.73</v>
      </c>
      <c r="I10" s="115"/>
      <c r="J10" s="168">
        <f t="shared" si="2"/>
        <v>1471271</v>
      </c>
      <c r="K10" s="170">
        <f t="shared" si="2"/>
        <v>1371236.9</v>
      </c>
      <c r="L10" s="160" t="s">
        <v>143</v>
      </c>
      <c r="M10" s="7">
        <f>+S10+Y10</f>
        <v>450249</v>
      </c>
      <c r="N10" s="170">
        <f>+T10+Z10</f>
        <v>455720.82999999996</v>
      </c>
      <c r="O10" s="183" t="s">
        <v>143</v>
      </c>
      <c r="P10" s="171">
        <f>+-356239+1827510</f>
        <v>1471271</v>
      </c>
      <c r="Q10" s="184">
        <f>+-90716.27+1461953.17</f>
        <v>1371236.9</v>
      </c>
      <c r="R10" s="7"/>
      <c r="S10" s="171">
        <f>+-175191+625440</f>
        <v>450249</v>
      </c>
      <c r="T10" s="174">
        <f>+-44612.41+500333.24</f>
        <v>455720.82999999996</v>
      </c>
      <c r="U10" s="115"/>
      <c r="V10" s="181"/>
      <c r="W10" s="180"/>
      <c r="X10" s="113">
        <v>0</v>
      </c>
      <c r="Y10" s="182"/>
      <c r="Z10" s="180"/>
      <c r="AE10" s="177">
        <v>671070</v>
      </c>
    </row>
    <row r="11" spans="2:33" ht="14.25" customHeight="1" x14ac:dyDescent="0.25">
      <c r="B11" s="185" t="s">
        <v>137</v>
      </c>
      <c r="C11" s="186">
        <v>6011</v>
      </c>
      <c r="D11" s="186">
        <v>28081</v>
      </c>
      <c r="E11" s="187">
        <v>671050</v>
      </c>
      <c r="F11" s="188" t="s">
        <v>146</v>
      </c>
      <c r="G11" s="167">
        <f t="shared" si="1"/>
        <v>0</v>
      </c>
      <c r="H11" s="157">
        <f t="shared" si="0"/>
        <v>0</v>
      </c>
      <c r="I11" s="115"/>
      <c r="J11" s="168">
        <f t="shared" si="2"/>
        <v>0</v>
      </c>
      <c r="K11" s="170">
        <f t="shared" si="2"/>
        <v>0</v>
      </c>
      <c r="L11" s="160" t="s">
        <v>143</v>
      </c>
      <c r="M11" s="7">
        <f t="shared" ref="M11:N14" si="3">+S11+Y11</f>
        <v>0</v>
      </c>
      <c r="N11" s="170">
        <f t="shared" si="3"/>
        <v>0</v>
      </c>
      <c r="O11" s="115" t="s">
        <v>143</v>
      </c>
      <c r="P11" s="171">
        <v>0</v>
      </c>
      <c r="Q11" s="189">
        <v>0</v>
      </c>
      <c r="R11" s="190">
        <v>-1</v>
      </c>
      <c r="S11" s="171">
        <v>0</v>
      </c>
      <c r="T11" s="189">
        <v>0</v>
      </c>
      <c r="U11" s="191">
        <v>-4</v>
      </c>
      <c r="V11" s="181"/>
      <c r="W11" s="180"/>
      <c r="X11" s="113"/>
      <c r="Y11" s="182"/>
      <c r="Z11" s="180"/>
      <c r="AE11" s="187">
        <v>671050</v>
      </c>
      <c r="AF11" s="127"/>
    </row>
    <row r="12" spans="2:33" ht="14.25" customHeight="1" x14ac:dyDescent="0.25">
      <c r="B12" s="185" t="s">
        <v>137</v>
      </c>
      <c r="C12" s="186">
        <v>6011</v>
      </c>
      <c r="D12" s="186">
        <v>28082</v>
      </c>
      <c r="E12" s="187">
        <v>671050</v>
      </c>
      <c r="F12" s="188" t="s">
        <v>147</v>
      </c>
      <c r="G12" s="167">
        <f t="shared" si="1"/>
        <v>-3254880</v>
      </c>
      <c r="H12" s="157">
        <f t="shared" si="0"/>
        <v>-877178.75</v>
      </c>
      <c r="I12" s="115"/>
      <c r="J12" s="168">
        <f t="shared" si="2"/>
        <v>-3254880</v>
      </c>
      <c r="K12" s="170">
        <f t="shared" si="2"/>
        <v>-877178.75</v>
      </c>
      <c r="L12" s="160" t="s">
        <v>143</v>
      </c>
      <c r="M12" s="95">
        <f t="shared" si="3"/>
        <v>0</v>
      </c>
      <c r="N12" s="170">
        <f t="shared" si="3"/>
        <v>0</v>
      </c>
      <c r="O12" s="115" t="s">
        <v>143</v>
      </c>
      <c r="P12" s="171">
        <v>-3254880</v>
      </c>
      <c r="Q12" s="189">
        <v>-877178.75</v>
      </c>
      <c r="R12" s="190">
        <v>-2</v>
      </c>
      <c r="S12" s="192"/>
      <c r="T12" s="189"/>
      <c r="U12" s="191"/>
      <c r="V12" s="193"/>
      <c r="W12" s="180"/>
      <c r="X12" s="113"/>
      <c r="Y12" s="182"/>
      <c r="Z12" s="180"/>
      <c r="AE12" s="187">
        <v>671050</v>
      </c>
      <c r="AF12" s="127"/>
      <c r="AG12" s="171"/>
    </row>
    <row r="13" spans="2:33" ht="14.25" customHeight="1" x14ac:dyDescent="0.25">
      <c r="B13" s="185" t="s">
        <v>137</v>
      </c>
      <c r="C13" s="186">
        <v>6011</v>
      </c>
      <c r="D13" s="186">
        <v>28120</v>
      </c>
      <c r="E13" s="187">
        <v>671070</v>
      </c>
      <c r="F13" s="188" t="s">
        <v>148</v>
      </c>
      <c r="G13" s="167">
        <f t="shared" si="1"/>
        <v>-31944</v>
      </c>
      <c r="H13" s="157">
        <f t="shared" si="0"/>
        <v>-7532.3099999999995</v>
      </c>
      <c r="I13" s="115"/>
      <c r="J13" s="168">
        <f t="shared" si="2"/>
        <v>-27913</v>
      </c>
      <c r="K13" s="170">
        <f>+Q13+W13</f>
        <v>-6765.99</v>
      </c>
      <c r="L13" s="160" t="s">
        <v>143</v>
      </c>
      <c r="M13" s="7">
        <f t="shared" si="3"/>
        <v>-4031</v>
      </c>
      <c r="N13" s="170">
        <f t="shared" si="3"/>
        <v>-766.32</v>
      </c>
      <c r="O13" s="115" t="s">
        <v>143</v>
      </c>
      <c r="P13" s="171">
        <v>-27913</v>
      </c>
      <c r="Q13" s="189">
        <v>-6765.99</v>
      </c>
      <c r="R13" s="190">
        <v>-3</v>
      </c>
      <c r="S13" s="194">
        <v>-4031</v>
      </c>
      <c r="T13" s="189">
        <v>-766.32</v>
      </c>
      <c r="U13" s="191">
        <v>-5</v>
      </c>
      <c r="V13" s="181"/>
      <c r="W13" s="180"/>
      <c r="X13" s="113"/>
      <c r="Y13" s="182">
        <v>0</v>
      </c>
      <c r="Z13" s="180"/>
      <c r="AE13" s="187">
        <v>671070</v>
      </c>
    </row>
    <row r="14" spans="2:33" ht="14.25" customHeight="1" x14ac:dyDescent="0.25">
      <c r="B14" s="153" t="s">
        <v>137</v>
      </c>
      <c r="C14" s="154">
        <v>6011</v>
      </c>
      <c r="D14" s="154">
        <v>28040</v>
      </c>
      <c r="E14" s="155">
        <v>671100</v>
      </c>
      <c r="F14" s="7" t="s">
        <v>149</v>
      </c>
      <c r="G14" s="167">
        <f t="shared" si="1"/>
        <v>0</v>
      </c>
      <c r="H14" s="157">
        <f>+K14+N14</f>
        <v>0</v>
      </c>
      <c r="I14" s="115"/>
      <c r="J14" s="168">
        <f>+P14+V14</f>
        <v>0</v>
      </c>
      <c r="K14" s="170">
        <f t="shared" si="2"/>
        <v>0</v>
      </c>
      <c r="L14" s="160" t="s">
        <v>143</v>
      </c>
      <c r="M14" s="195">
        <f t="shared" si="3"/>
        <v>0</v>
      </c>
      <c r="N14" s="196">
        <f t="shared" si="3"/>
        <v>0</v>
      </c>
      <c r="O14" s="115" t="s">
        <v>143</v>
      </c>
      <c r="P14" s="197"/>
      <c r="Q14" s="198"/>
      <c r="R14" s="7"/>
      <c r="S14" s="197"/>
      <c r="T14" s="180"/>
      <c r="U14" s="115"/>
      <c r="V14" s="181"/>
      <c r="W14" s="180"/>
      <c r="X14" s="113"/>
      <c r="Y14" s="182"/>
      <c r="Z14" s="199"/>
      <c r="AE14" s="177">
        <v>671100</v>
      </c>
    </row>
    <row r="15" spans="2:33" ht="14.25" customHeight="1" x14ac:dyDescent="0.25">
      <c r="B15" s="153"/>
      <c r="C15" s="200"/>
      <c r="D15" s="200"/>
      <c r="E15" s="201"/>
      <c r="F15" s="202" t="s">
        <v>150</v>
      </c>
      <c r="G15" s="203">
        <f>SUM(G6:G14)</f>
        <v>22614906</v>
      </c>
      <c r="H15" s="204">
        <f>SUM(H6:H14)</f>
        <v>7263461.3200000012</v>
      </c>
      <c r="I15" s="115"/>
      <c r="J15" s="205">
        <f>SUM(J6:J14)</f>
        <v>15152577</v>
      </c>
      <c r="K15" s="105">
        <f>SUM(K6:K14)</f>
        <v>5008636.4600000009</v>
      </c>
      <c r="L15" s="160"/>
      <c r="M15" s="7">
        <f>SUM(M6:M14)</f>
        <v>7462329</v>
      </c>
      <c r="N15" s="107">
        <f>SUM(N6:N14)</f>
        <v>2254824.8600000003</v>
      </c>
      <c r="O15" s="115"/>
      <c r="P15" s="7">
        <f>SUM(P6:P14)</f>
        <v>15249454</v>
      </c>
      <c r="Q15" s="206">
        <f>SUM(Q6:Q14)</f>
        <v>5105886.2799999993</v>
      </c>
      <c r="R15" s="7"/>
      <c r="S15" s="7">
        <f>SUM(S6:S14)</f>
        <v>7495832</v>
      </c>
      <c r="T15" s="206">
        <f>SUM(T6:T14)</f>
        <v>2286770.8400000003</v>
      </c>
      <c r="U15" s="115"/>
      <c r="V15" s="207">
        <f>+SUM(V6:V14)</f>
        <v>-96877</v>
      </c>
      <c r="W15" s="206">
        <f>SUM(W6:W14)</f>
        <v>-97249.82</v>
      </c>
      <c r="X15" s="113"/>
      <c r="Y15" s="207">
        <f>SUM(Y6:Y14)</f>
        <v>-33503</v>
      </c>
      <c r="Z15" s="206">
        <f>SUM(Z6:Z14)</f>
        <v>-31945.98</v>
      </c>
      <c r="AB15" s="208">
        <f>SUM(AB6:AB14)</f>
        <v>0</v>
      </c>
      <c r="AC15" s="208">
        <f>SUM(AC6:AC14)</f>
        <v>0</v>
      </c>
      <c r="AD15" s="208"/>
      <c r="AE15" s="201"/>
    </row>
    <row r="16" spans="2:33" ht="14.25" customHeight="1" x14ac:dyDescent="0.25">
      <c r="B16" s="153"/>
      <c r="C16" s="200"/>
      <c r="D16" s="200"/>
      <c r="E16" s="201"/>
      <c r="G16" s="203"/>
      <c r="H16" s="209"/>
      <c r="I16" s="115"/>
      <c r="J16" s="203"/>
      <c r="K16" s="209"/>
      <c r="L16" s="210"/>
      <c r="M16" s="203"/>
      <c r="N16" s="211"/>
      <c r="O16" s="115"/>
      <c r="P16" s="205"/>
      <c r="Q16" s="5"/>
      <c r="R16" s="7"/>
      <c r="S16" s="205"/>
      <c r="T16" s="5"/>
      <c r="U16" s="115"/>
      <c r="V16" s="212"/>
      <c r="W16" s="5"/>
      <c r="X16" s="113"/>
      <c r="Y16" s="113"/>
      <c r="Z16" s="5"/>
      <c r="AE16" s="201"/>
    </row>
    <row r="17" spans="2:33" ht="14.25" customHeight="1" x14ac:dyDescent="0.25">
      <c r="B17" s="153" t="s">
        <v>137</v>
      </c>
      <c r="C17" s="154">
        <v>6011</v>
      </c>
      <c r="D17" s="154">
        <v>28040</v>
      </c>
      <c r="E17" s="155">
        <v>672010</v>
      </c>
      <c r="F17" s="7" t="s">
        <v>151</v>
      </c>
      <c r="G17" s="156"/>
      <c r="H17" s="157">
        <f>K17+N17</f>
        <v>4185915.19</v>
      </c>
      <c r="I17" s="115"/>
      <c r="J17" s="213"/>
      <c r="K17" s="159">
        <f>+Q17+W17</f>
        <v>3470717.23</v>
      </c>
      <c r="L17" s="160" t="s">
        <v>140</v>
      </c>
      <c r="M17" s="158"/>
      <c r="N17" s="159">
        <f>+T17+Z17</f>
        <v>715197.96</v>
      </c>
      <c r="O17" s="115" t="s">
        <v>140</v>
      </c>
      <c r="P17" s="158"/>
      <c r="Q17" s="163">
        <f>143101.37+3327615.86</f>
        <v>3470717.23</v>
      </c>
      <c r="R17" s="7"/>
      <c r="S17" s="158"/>
      <c r="T17" s="161">
        <f>322157.03+393040.93</f>
        <v>715197.96</v>
      </c>
      <c r="U17" s="115"/>
      <c r="V17" s="214"/>
      <c r="W17" s="163"/>
      <c r="X17" s="113"/>
      <c r="Y17" s="162"/>
      <c r="Z17" s="215"/>
      <c r="AE17" s="164">
        <v>672010</v>
      </c>
    </row>
    <row r="18" spans="2:33" ht="14.25" customHeight="1" x14ac:dyDescent="0.25">
      <c r="B18" s="153" t="s">
        <v>137</v>
      </c>
      <c r="C18" s="154">
        <v>6011</v>
      </c>
      <c r="D18" s="154">
        <v>28040</v>
      </c>
      <c r="E18" s="155">
        <v>672020</v>
      </c>
      <c r="F18" s="7" t="s">
        <v>152</v>
      </c>
      <c r="G18" s="156"/>
      <c r="H18" s="157">
        <f>K18+N18</f>
        <v>138337.53</v>
      </c>
      <c r="I18" s="115"/>
      <c r="J18" s="213"/>
      <c r="K18" s="170">
        <f>+Q18+W18</f>
        <v>95553.09</v>
      </c>
      <c r="L18" s="160" t="s">
        <v>143</v>
      </c>
      <c r="M18" s="158"/>
      <c r="N18" s="170">
        <f>+T18+Z18</f>
        <v>42784.44</v>
      </c>
      <c r="O18" s="115" t="s">
        <v>143</v>
      </c>
      <c r="P18" s="158"/>
      <c r="Q18" s="180">
        <v>85965.23</v>
      </c>
      <c r="R18" s="7"/>
      <c r="S18" s="8"/>
      <c r="T18" s="174">
        <v>28340.77</v>
      </c>
      <c r="U18" s="115"/>
      <c r="V18" s="214"/>
      <c r="W18" s="174">
        <v>9587.86</v>
      </c>
      <c r="X18" s="166"/>
      <c r="Y18" s="165"/>
      <c r="Z18" s="174">
        <v>14443.67</v>
      </c>
      <c r="AE18" s="177">
        <v>672020</v>
      </c>
      <c r="AF18" s="216"/>
    </row>
    <row r="19" spans="2:33" ht="14.25" customHeight="1" x14ac:dyDescent="0.25">
      <c r="B19" s="153" t="s">
        <v>137</v>
      </c>
      <c r="C19" s="154">
        <v>6011</v>
      </c>
      <c r="D19" s="154">
        <v>28040</v>
      </c>
      <c r="E19" s="155">
        <v>672030</v>
      </c>
      <c r="F19" s="7" t="s">
        <v>153</v>
      </c>
      <c r="G19" s="156"/>
      <c r="H19" s="157">
        <f>K19+N19</f>
        <v>0</v>
      </c>
      <c r="I19" s="115"/>
      <c r="J19" s="213"/>
      <c r="K19" s="159">
        <f>+Q19+W19</f>
        <v>0</v>
      </c>
      <c r="L19" s="160" t="s">
        <v>140</v>
      </c>
      <c r="M19" s="158"/>
      <c r="N19" s="159">
        <f>+T19+Z19</f>
        <v>0</v>
      </c>
      <c r="O19" s="115" t="s">
        <v>140</v>
      </c>
      <c r="P19" s="158"/>
      <c r="Q19" s="163"/>
      <c r="R19" s="7"/>
      <c r="S19" s="158"/>
      <c r="T19" s="161"/>
      <c r="U19" s="115"/>
      <c r="V19" s="214"/>
      <c r="W19" s="163"/>
      <c r="X19" s="113"/>
      <c r="Y19" s="162"/>
      <c r="Z19" s="163"/>
      <c r="AE19" s="164">
        <v>672030</v>
      </c>
      <c r="AF19" s="216"/>
    </row>
    <row r="20" spans="2:33" ht="14.25" customHeight="1" x14ac:dyDescent="0.25">
      <c r="B20" s="153" t="s">
        <v>137</v>
      </c>
      <c r="C20" s="154">
        <v>6011</v>
      </c>
      <c r="D20" s="154">
        <v>28040</v>
      </c>
      <c r="E20" s="155">
        <v>672040</v>
      </c>
      <c r="F20" s="7" t="s">
        <v>154</v>
      </c>
      <c r="G20" s="156"/>
      <c r="H20" s="157">
        <f>K20+N20</f>
        <v>366232.95999999996</v>
      </c>
      <c r="I20" s="115"/>
      <c r="J20" s="213"/>
      <c r="K20" s="159">
        <f>+Q20+W20</f>
        <v>294645.06999999995</v>
      </c>
      <c r="L20" s="160" t="s">
        <v>140</v>
      </c>
      <c r="M20" s="158"/>
      <c r="N20" s="159">
        <f>+T20+Z20</f>
        <v>71587.89</v>
      </c>
      <c r="O20" s="115" t="s">
        <v>140</v>
      </c>
      <c r="P20" s="158"/>
      <c r="Q20" s="163">
        <v>292763.40999999997</v>
      </c>
      <c r="R20" s="7"/>
      <c r="S20" s="158"/>
      <c r="T20" s="161">
        <v>40506.699999999997</v>
      </c>
      <c r="U20" s="115"/>
      <c r="V20" s="214"/>
      <c r="W20" s="161">
        <v>1881.66</v>
      </c>
      <c r="X20" s="166"/>
      <c r="Y20" s="165"/>
      <c r="Z20" s="161">
        <f>260.34+30820.85</f>
        <v>31081.19</v>
      </c>
      <c r="AD20" s="8">
        <v>-64.13</v>
      </c>
      <c r="AE20" s="164">
        <v>672040</v>
      </c>
      <c r="AF20" s="216"/>
      <c r="AG20" s="216"/>
    </row>
    <row r="21" spans="2:33" ht="14.25" customHeight="1" x14ac:dyDescent="0.25">
      <c r="B21" s="153" t="s">
        <v>137</v>
      </c>
      <c r="C21" s="154">
        <v>6011</v>
      </c>
      <c r="D21" s="154">
        <v>28040</v>
      </c>
      <c r="E21" s="155">
        <v>672050</v>
      </c>
      <c r="F21" s="7" t="s">
        <v>155</v>
      </c>
      <c r="G21" s="156"/>
      <c r="H21" s="157">
        <f>K21+N21</f>
        <v>-701967.32</v>
      </c>
      <c r="I21" s="115"/>
      <c r="J21" s="217"/>
      <c r="K21" s="159">
        <f>+Q21+W21</f>
        <v>-616545.55999999994</v>
      </c>
      <c r="L21" s="160" t="s">
        <v>140</v>
      </c>
      <c r="M21" s="158"/>
      <c r="N21" s="218">
        <f>+T21+Z21</f>
        <v>-85421.760000000009</v>
      </c>
      <c r="O21" s="115" t="s">
        <v>140</v>
      </c>
      <c r="P21" s="158"/>
      <c r="Q21" s="163">
        <f>+-97.22-612580.47</f>
        <v>-612677.68999999994</v>
      </c>
      <c r="R21" s="219"/>
      <c r="S21" s="220"/>
      <c r="T21" s="221">
        <f>+-132.92-84766.21</f>
        <v>-84899.13</v>
      </c>
      <c r="U21" s="115"/>
      <c r="V21" s="214"/>
      <c r="W21" s="161">
        <v>-3867.87</v>
      </c>
      <c r="X21" s="166"/>
      <c r="Y21" s="165"/>
      <c r="Z21" s="161">
        <v>-522.63</v>
      </c>
      <c r="AE21" s="164">
        <v>672050</v>
      </c>
      <c r="AF21" s="216"/>
      <c r="AG21" s="216"/>
    </row>
    <row r="22" spans="2:33" ht="14.25" customHeight="1" x14ac:dyDescent="0.25">
      <c r="B22" s="153"/>
      <c r="C22" s="200"/>
      <c r="D22" s="200"/>
      <c r="E22" s="201"/>
      <c r="F22" s="205" t="s">
        <v>156</v>
      </c>
      <c r="G22" s="222"/>
      <c r="H22" s="223">
        <f>SUM(H17:H21)</f>
        <v>3988518.36</v>
      </c>
      <c r="I22" s="115"/>
      <c r="J22" s="224"/>
      <c r="K22" s="107">
        <f>SUM(K17:K21)</f>
        <v>3244369.8299999996</v>
      </c>
      <c r="L22" s="160"/>
      <c r="M22" s="225"/>
      <c r="N22" s="107">
        <f>SUM(N17:N21)</f>
        <v>744148.52999999991</v>
      </c>
      <c r="O22" s="115"/>
      <c r="P22" s="205"/>
      <c r="Q22" s="206">
        <f>SUM(Q17:Q21)</f>
        <v>3236768.18</v>
      </c>
      <c r="R22" s="160"/>
      <c r="S22" s="106"/>
      <c r="T22" s="226">
        <f>SUM(T17:T21)</f>
        <v>699146.29999999993</v>
      </c>
      <c r="U22" s="115"/>
      <c r="V22" s="227"/>
      <c r="W22" s="228">
        <f>SUM(W17:W21)</f>
        <v>7601.6500000000005</v>
      </c>
      <c r="X22" s="113"/>
      <c r="Y22" s="162"/>
      <c r="Z22" s="206">
        <f>SUM(Z17:Z21)</f>
        <v>45002.23</v>
      </c>
      <c r="AB22" s="208">
        <f>SUM(AB17:AB21)</f>
        <v>0</v>
      </c>
      <c r="AC22" s="208">
        <f>SUM(AC17:AC21)</f>
        <v>0</v>
      </c>
      <c r="AD22" s="208"/>
      <c r="AE22" s="201"/>
    </row>
    <row r="23" spans="2:33" ht="14.25" customHeight="1" x14ac:dyDescent="0.25">
      <c r="B23" s="153"/>
      <c r="C23" s="200"/>
      <c r="D23" s="200"/>
      <c r="E23" s="201"/>
      <c r="F23" s="229"/>
      <c r="G23" s="167"/>
      <c r="H23" s="209"/>
      <c r="I23" s="115"/>
      <c r="J23" s="213"/>
      <c r="K23" s="211"/>
      <c r="L23" s="210"/>
      <c r="M23" s="230"/>
      <c r="N23" s="211"/>
      <c r="O23" s="115"/>
      <c r="P23" s="205"/>
      <c r="Q23" s="5"/>
      <c r="R23" s="7"/>
      <c r="S23" s="7"/>
      <c r="T23" s="104"/>
      <c r="U23" s="115"/>
      <c r="V23" s="214"/>
      <c r="W23" s="105"/>
      <c r="X23" s="113"/>
      <c r="Y23" s="162"/>
      <c r="Z23" s="5"/>
      <c r="AE23" s="201"/>
    </row>
    <row r="24" spans="2:33" ht="14.25" customHeight="1" x14ac:dyDescent="0.25">
      <c r="B24" s="153" t="s">
        <v>137</v>
      </c>
      <c r="C24" s="154">
        <v>6011</v>
      </c>
      <c r="D24" s="154">
        <v>28040</v>
      </c>
      <c r="E24" s="155">
        <v>673020</v>
      </c>
      <c r="F24" s="7" t="s">
        <v>157</v>
      </c>
      <c r="G24" s="156"/>
      <c r="H24" s="157">
        <f>K24+N24</f>
        <v>168762.03</v>
      </c>
      <c r="I24" s="115"/>
      <c r="J24" s="213"/>
      <c r="K24" s="159">
        <f t="shared" ref="K24:K37" si="4">+Q24+W24</f>
        <v>148257.69</v>
      </c>
      <c r="L24" s="160" t="s">
        <v>140</v>
      </c>
      <c r="M24" s="158"/>
      <c r="N24" s="159">
        <f t="shared" ref="N24:N33" si="5">+T24+Z24</f>
        <v>20504.34</v>
      </c>
      <c r="O24" s="115" t="s">
        <v>140</v>
      </c>
      <c r="P24" s="158"/>
      <c r="Q24" s="163">
        <v>148250.07</v>
      </c>
      <c r="R24" s="7"/>
      <c r="S24" s="158"/>
      <c r="T24" s="161">
        <v>20511.96</v>
      </c>
      <c r="U24" s="115"/>
      <c r="V24" s="214"/>
      <c r="W24" s="161">
        <v>7.62</v>
      </c>
      <c r="X24" s="231"/>
      <c r="Y24" s="231"/>
      <c r="Z24" s="161">
        <v>-7.62</v>
      </c>
      <c r="AE24" s="164">
        <v>673020</v>
      </c>
    </row>
    <row r="25" spans="2:33" ht="14.25" customHeight="1" x14ac:dyDescent="0.25">
      <c r="B25" s="153" t="s">
        <v>137</v>
      </c>
      <c r="C25" s="154">
        <v>6011</v>
      </c>
      <c r="D25" s="154">
        <v>28040</v>
      </c>
      <c r="E25" s="155">
        <v>673030</v>
      </c>
      <c r="F25" s="7" t="s">
        <v>158</v>
      </c>
      <c r="G25" s="156"/>
      <c r="H25" s="157">
        <f t="shared" ref="H25:H37" si="6">K25+N25</f>
        <v>65756.460000000006</v>
      </c>
      <c r="I25" s="115"/>
      <c r="J25" s="213"/>
      <c r="K25" s="159">
        <f t="shared" si="4"/>
        <v>59305.75</v>
      </c>
      <c r="L25" s="160" t="s">
        <v>140</v>
      </c>
      <c r="M25" s="158"/>
      <c r="N25" s="159">
        <f t="shared" si="5"/>
        <v>6450.71</v>
      </c>
      <c r="O25" s="115" t="s">
        <v>140</v>
      </c>
      <c r="P25" s="158"/>
      <c r="Q25" s="163">
        <v>59305.75</v>
      </c>
      <c r="R25" s="7"/>
      <c r="S25" s="158"/>
      <c r="T25" s="161">
        <v>6450.71</v>
      </c>
      <c r="U25" s="115"/>
      <c r="V25" s="214"/>
      <c r="W25" s="163"/>
      <c r="X25" s="232"/>
      <c r="Y25" s="232"/>
      <c r="Z25" s="163"/>
      <c r="AE25" s="164">
        <v>673030</v>
      </c>
    </row>
    <row r="26" spans="2:33" ht="14.25" customHeight="1" x14ac:dyDescent="0.25">
      <c r="B26" s="153" t="s">
        <v>137</v>
      </c>
      <c r="C26" s="154">
        <v>6011</v>
      </c>
      <c r="D26" s="154">
        <v>28040</v>
      </c>
      <c r="E26" s="155">
        <v>673040</v>
      </c>
      <c r="F26" s="7" t="s">
        <v>159</v>
      </c>
      <c r="G26" s="156"/>
      <c r="H26" s="157">
        <f t="shared" si="6"/>
        <v>0</v>
      </c>
      <c r="I26" s="115"/>
      <c r="J26" s="213"/>
      <c r="K26" s="170">
        <f t="shared" si="4"/>
        <v>0</v>
      </c>
      <c r="L26" s="160" t="s">
        <v>143</v>
      </c>
      <c r="M26" s="158"/>
      <c r="N26" s="170">
        <f>+T26+Z26</f>
        <v>0</v>
      </c>
      <c r="O26" s="115" t="s">
        <v>143</v>
      </c>
      <c r="P26" s="158"/>
      <c r="Q26" s="180"/>
      <c r="R26" s="7"/>
      <c r="S26" s="158"/>
      <c r="T26" s="174"/>
      <c r="U26" s="115"/>
      <c r="V26" s="214"/>
      <c r="W26" s="180"/>
      <c r="X26" s="232"/>
      <c r="Y26" s="232"/>
      <c r="Z26" s="180"/>
      <c r="AE26" s="177">
        <v>673040</v>
      </c>
    </row>
    <row r="27" spans="2:33" ht="14.25" customHeight="1" x14ac:dyDescent="0.25">
      <c r="B27" s="153" t="s">
        <v>137</v>
      </c>
      <c r="C27" s="154">
        <v>6011</v>
      </c>
      <c r="D27" s="154">
        <v>28040</v>
      </c>
      <c r="E27" s="155">
        <v>673050</v>
      </c>
      <c r="F27" s="7" t="s">
        <v>160</v>
      </c>
      <c r="G27" s="156"/>
      <c r="H27" s="157">
        <f t="shared" si="6"/>
        <v>94773.349999999991</v>
      </c>
      <c r="I27" s="115"/>
      <c r="J27" s="213"/>
      <c r="K27" s="170">
        <f t="shared" si="4"/>
        <v>85476.09</v>
      </c>
      <c r="L27" s="160" t="s">
        <v>143</v>
      </c>
      <c r="M27" s="158"/>
      <c r="N27" s="170">
        <f t="shared" si="5"/>
        <v>9297.26</v>
      </c>
      <c r="O27" s="115" t="s">
        <v>140</v>
      </c>
      <c r="P27" s="158"/>
      <c r="Q27" s="180">
        <v>83796.479999999996</v>
      </c>
      <c r="R27" s="7"/>
      <c r="S27" s="158"/>
      <c r="T27" s="174">
        <v>9114.57</v>
      </c>
      <c r="U27" s="115"/>
      <c r="V27" s="214"/>
      <c r="W27" s="174">
        <v>1679.61</v>
      </c>
      <c r="X27" s="231"/>
      <c r="Y27" s="231"/>
      <c r="Z27" s="174">
        <v>182.69</v>
      </c>
      <c r="AE27" s="177">
        <v>673050</v>
      </c>
    </row>
    <row r="28" spans="2:33" ht="14.25" customHeight="1" x14ac:dyDescent="0.25">
      <c r="B28" s="153" t="s">
        <v>137</v>
      </c>
      <c r="C28" s="154">
        <v>6011</v>
      </c>
      <c r="D28" s="154">
        <v>28040</v>
      </c>
      <c r="E28" s="155">
        <v>673060</v>
      </c>
      <c r="F28" s="7" t="s">
        <v>161</v>
      </c>
      <c r="G28" s="156"/>
      <c r="H28" s="157">
        <f t="shared" si="6"/>
        <v>0</v>
      </c>
      <c r="I28" s="115"/>
      <c r="J28" s="213"/>
      <c r="K28" s="170">
        <f t="shared" si="4"/>
        <v>0</v>
      </c>
      <c r="L28" s="160" t="s">
        <v>143</v>
      </c>
      <c r="M28" s="158"/>
      <c r="N28" s="170">
        <f t="shared" si="5"/>
        <v>0</v>
      </c>
      <c r="O28" s="115" t="s">
        <v>140</v>
      </c>
      <c r="P28" s="158"/>
      <c r="Q28" s="180"/>
      <c r="R28" s="7"/>
      <c r="S28" s="158"/>
      <c r="T28" s="174"/>
      <c r="U28" s="115"/>
      <c r="V28" s="214"/>
      <c r="W28" s="180"/>
      <c r="X28" s="232"/>
      <c r="Y28" s="232"/>
      <c r="Z28" s="180"/>
      <c r="AE28" s="177">
        <v>673060</v>
      </c>
    </row>
    <row r="29" spans="2:33" ht="14.25" customHeight="1" x14ac:dyDescent="0.25">
      <c r="B29" s="153" t="s">
        <v>137</v>
      </c>
      <c r="C29" s="154">
        <v>6011</v>
      </c>
      <c r="D29" s="154">
        <v>28040</v>
      </c>
      <c r="E29" s="155">
        <v>673070</v>
      </c>
      <c r="F29" s="7" t="s">
        <v>162</v>
      </c>
      <c r="G29" s="156"/>
      <c r="H29" s="157">
        <f t="shared" si="6"/>
        <v>1760.72</v>
      </c>
      <c r="I29" s="115"/>
      <c r="J29" s="213"/>
      <c r="K29" s="159">
        <f t="shared" si="4"/>
        <v>1587.99</v>
      </c>
      <c r="L29" s="160" t="s">
        <v>143</v>
      </c>
      <c r="M29" s="158"/>
      <c r="N29" s="159">
        <f t="shared" si="5"/>
        <v>172.73</v>
      </c>
      <c r="O29" s="115" t="s">
        <v>140</v>
      </c>
      <c r="P29" s="158"/>
      <c r="Q29" s="163"/>
      <c r="R29" s="7"/>
      <c r="S29" s="158"/>
      <c r="T29" s="161"/>
      <c r="U29" s="115"/>
      <c r="V29" s="214"/>
      <c r="W29" s="161">
        <v>1587.99</v>
      </c>
      <c r="X29" s="231"/>
      <c r="Y29" s="231"/>
      <c r="Z29" s="161">
        <v>172.73</v>
      </c>
      <c r="AE29" s="164">
        <v>673070</v>
      </c>
    </row>
    <row r="30" spans="2:33" ht="14.25" customHeight="1" x14ac:dyDescent="0.25">
      <c r="B30" s="153" t="s">
        <v>137</v>
      </c>
      <c r="C30" s="154">
        <v>6011</v>
      </c>
      <c r="D30" s="154">
        <v>28040</v>
      </c>
      <c r="E30" s="155">
        <v>673080</v>
      </c>
      <c r="F30" s="7" t="s">
        <v>163</v>
      </c>
      <c r="G30" s="156"/>
      <c r="H30" s="157">
        <f t="shared" si="6"/>
        <v>18909.23</v>
      </c>
      <c r="I30" s="115"/>
      <c r="J30" s="213"/>
      <c r="K30" s="159">
        <f t="shared" si="4"/>
        <v>17165.8</v>
      </c>
      <c r="L30" s="160" t="s">
        <v>140</v>
      </c>
      <c r="M30" s="158"/>
      <c r="N30" s="159">
        <f t="shared" si="5"/>
        <v>1743.4299999999998</v>
      </c>
      <c r="O30" s="115" t="s">
        <v>140</v>
      </c>
      <c r="P30" s="158"/>
      <c r="Q30" s="163">
        <v>16370.44</v>
      </c>
      <c r="R30" s="7"/>
      <c r="S30" s="158"/>
      <c r="T30" s="161">
        <v>1662.81</v>
      </c>
      <c r="U30" s="115"/>
      <c r="V30" s="214"/>
      <c r="W30" s="161">
        <v>795.36</v>
      </c>
      <c r="X30" s="231"/>
      <c r="Y30" s="231"/>
      <c r="Z30" s="161">
        <v>80.62</v>
      </c>
      <c r="AE30" s="164">
        <v>673080</v>
      </c>
    </row>
    <row r="31" spans="2:33" ht="14.25" customHeight="1" x14ac:dyDescent="0.25">
      <c r="B31" s="153" t="s">
        <v>137</v>
      </c>
      <c r="C31" s="154">
        <v>6011</v>
      </c>
      <c r="D31" s="154">
        <v>28040</v>
      </c>
      <c r="E31" s="155">
        <v>673090</v>
      </c>
      <c r="F31" s="7" t="s">
        <v>164</v>
      </c>
      <c r="G31" s="156"/>
      <c r="H31" s="157">
        <f t="shared" si="6"/>
        <v>0</v>
      </c>
      <c r="I31" s="115"/>
      <c r="J31" s="213"/>
      <c r="K31" s="170">
        <f t="shared" si="4"/>
        <v>0</v>
      </c>
      <c r="L31" s="160" t="s">
        <v>143</v>
      </c>
      <c r="M31" s="158"/>
      <c r="N31" s="170">
        <f>+T31+Z31</f>
        <v>0</v>
      </c>
      <c r="O31" s="115" t="s">
        <v>143</v>
      </c>
      <c r="P31" s="158"/>
      <c r="Q31" s="180"/>
      <c r="R31" s="7"/>
      <c r="S31" s="158"/>
      <c r="T31" s="174"/>
      <c r="U31" s="115"/>
      <c r="V31" s="214"/>
      <c r="W31" s="180"/>
      <c r="X31" s="232"/>
      <c r="Y31" s="232"/>
      <c r="Z31" s="180"/>
      <c r="AE31" s="177">
        <v>673090</v>
      </c>
    </row>
    <row r="32" spans="2:33" ht="14.25" customHeight="1" x14ac:dyDescent="0.25">
      <c r="B32" s="153" t="s">
        <v>137</v>
      </c>
      <c r="C32" s="154">
        <v>6011</v>
      </c>
      <c r="D32" s="154">
        <v>28040</v>
      </c>
      <c r="E32" s="155">
        <v>673120</v>
      </c>
      <c r="F32" s="7" t="s">
        <v>165</v>
      </c>
      <c r="G32" s="156"/>
      <c r="H32" s="157">
        <f t="shared" si="6"/>
        <v>144326.75</v>
      </c>
      <c r="I32" s="115"/>
      <c r="J32" s="213"/>
      <c r="K32" s="159">
        <f t="shared" si="4"/>
        <v>126791.28</v>
      </c>
      <c r="L32" s="160" t="s">
        <v>140</v>
      </c>
      <c r="M32" s="158"/>
      <c r="N32" s="159">
        <f t="shared" si="5"/>
        <v>17535.47</v>
      </c>
      <c r="O32" s="115" t="s">
        <v>140</v>
      </c>
      <c r="P32" s="158"/>
      <c r="Q32" s="163">
        <v>126784.73</v>
      </c>
      <c r="R32" s="7"/>
      <c r="S32" s="158"/>
      <c r="T32" s="161">
        <v>17542.02</v>
      </c>
      <c r="U32" s="115"/>
      <c r="V32" s="214"/>
      <c r="W32" s="161">
        <v>6.55</v>
      </c>
      <c r="X32" s="231"/>
      <c r="Y32" s="231"/>
      <c r="Z32" s="161">
        <v>-6.55</v>
      </c>
      <c r="AE32" s="164">
        <v>673120</v>
      </c>
    </row>
    <row r="33" spans="2:32" ht="14.25" customHeight="1" x14ac:dyDescent="0.25">
      <c r="B33" s="153" t="s">
        <v>137</v>
      </c>
      <c r="C33" s="154">
        <v>6011</v>
      </c>
      <c r="D33" s="154">
        <v>28040</v>
      </c>
      <c r="E33" s="155">
        <v>673130</v>
      </c>
      <c r="F33" s="7" t="s">
        <v>166</v>
      </c>
      <c r="G33" s="156"/>
      <c r="H33" s="157">
        <f t="shared" si="6"/>
        <v>-3.4999999999999964</v>
      </c>
      <c r="I33" s="115"/>
      <c r="J33" s="213"/>
      <c r="K33" s="159">
        <f t="shared" si="4"/>
        <v>-3.1599999999999966</v>
      </c>
      <c r="L33" s="160" t="s">
        <v>140</v>
      </c>
      <c r="M33" s="158"/>
      <c r="N33" s="159">
        <f t="shared" si="5"/>
        <v>-0.33999999999999986</v>
      </c>
      <c r="O33" s="115" t="s">
        <v>140</v>
      </c>
      <c r="P33" s="158"/>
      <c r="Q33" s="163">
        <v>94.7</v>
      </c>
      <c r="R33" s="7"/>
      <c r="S33" s="158"/>
      <c r="T33" s="161">
        <v>10.3</v>
      </c>
      <c r="U33" s="115"/>
      <c r="V33" s="214"/>
      <c r="W33" s="161">
        <v>-97.86</v>
      </c>
      <c r="X33" s="166"/>
      <c r="Y33" s="165"/>
      <c r="Z33" s="161">
        <v>-10.64</v>
      </c>
      <c r="AE33" s="164">
        <v>673130</v>
      </c>
    </row>
    <row r="34" spans="2:32" ht="14.25" customHeight="1" x14ac:dyDescent="0.25">
      <c r="B34" s="153" t="s">
        <v>137</v>
      </c>
      <c r="C34" s="154">
        <v>6011</v>
      </c>
      <c r="D34" s="154">
        <v>28040</v>
      </c>
      <c r="E34" s="155">
        <v>673140</v>
      </c>
      <c r="F34" s="7" t="s">
        <v>167</v>
      </c>
      <c r="G34" s="156"/>
      <c r="H34" s="157">
        <f t="shared" si="6"/>
        <v>0</v>
      </c>
      <c r="I34" s="115"/>
      <c r="J34" s="213"/>
      <c r="K34" s="170">
        <f t="shared" si="4"/>
        <v>0</v>
      </c>
      <c r="L34" s="160" t="s">
        <v>143</v>
      </c>
      <c r="M34" s="158"/>
      <c r="N34" s="170">
        <f>+T34+Z34</f>
        <v>0</v>
      </c>
      <c r="O34" s="115" t="s">
        <v>143</v>
      </c>
      <c r="P34" s="158"/>
      <c r="Q34" s="180"/>
      <c r="R34" s="7"/>
      <c r="S34" s="158"/>
      <c r="T34" s="174"/>
      <c r="U34" s="115"/>
      <c r="V34" s="214"/>
      <c r="W34" s="180"/>
      <c r="X34" s="113"/>
      <c r="Y34" s="162"/>
      <c r="Z34" s="180"/>
      <c r="AE34" s="177">
        <v>673140</v>
      </c>
    </row>
    <row r="35" spans="2:32" ht="14.25" customHeight="1" x14ac:dyDescent="0.25">
      <c r="B35" s="153" t="s">
        <v>137</v>
      </c>
      <c r="C35" s="154">
        <v>6011</v>
      </c>
      <c r="D35" s="154">
        <v>28040</v>
      </c>
      <c r="E35" s="155">
        <v>673160</v>
      </c>
      <c r="F35" s="7" t="s">
        <v>168</v>
      </c>
      <c r="G35" s="156"/>
      <c r="H35" s="157">
        <f t="shared" si="6"/>
        <v>0</v>
      </c>
      <c r="I35" s="115"/>
      <c r="J35" s="213"/>
      <c r="K35" s="170">
        <f t="shared" si="4"/>
        <v>0</v>
      </c>
      <c r="L35" s="160" t="s">
        <v>143</v>
      </c>
      <c r="M35" s="158"/>
      <c r="N35" s="170">
        <f>+T35+Z35</f>
        <v>0</v>
      </c>
      <c r="O35" s="115" t="s">
        <v>143</v>
      </c>
      <c r="P35" s="158"/>
      <c r="Q35" s="180"/>
      <c r="R35" s="7"/>
      <c r="S35" s="158"/>
      <c r="T35" s="174"/>
      <c r="U35" s="115"/>
      <c r="V35" s="214"/>
      <c r="W35" s="180"/>
      <c r="X35" s="113"/>
      <c r="Y35" s="162"/>
      <c r="Z35" s="180"/>
      <c r="AE35" s="177">
        <v>673160</v>
      </c>
    </row>
    <row r="36" spans="2:32" ht="14.25" customHeight="1" x14ac:dyDescent="0.25">
      <c r="B36" s="153" t="s">
        <v>137</v>
      </c>
      <c r="C36" s="154">
        <v>6011</v>
      </c>
      <c r="D36" s="154">
        <v>28040</v>
      </c>
      <c r="E36" s="155">
        <v>673180</v>
      </c>
      <c r="F36" s="7" t="s">
        <v>169</v>
      </c>
      <c r="G36" s="156"/>
      <c r="H36" s="157">
        <f t="shared" si="6"/>
        <v>19386.62</v>
      </c>
      <c r="I36" s="115"/>
      <c r="J36" s="213"/>
      <c r="K36" s="159">
        <f>+Q36+W36</f>
        <v>17599.18</v>
      </c>
      <c r="L36" s="160" t="s">
        <v>140</v>
      </c>
      <c r="M36" s="158"/>
      <c r="N36" s="159">
        <f>+T36+Z36</f>
        <v>1787.44</v>
      </c>
      <c r="O36" s="115" t="s">
        <v>140</v>
      </c>
      <c r="P36" s="158"/>
      <c r="Q36" s="163">
        <v>17598.98</v>
      </c>
      <c r="R36" s="7"/>
      <c r="S36" s="158"/>
      <c r="T36" s="161">
        <v>1787.64</v>
      </c>
      <c r="U36" s="115"/>
      <c r="V36" s="214"/>
      <c r="W36" s="161">
        <v>0.2</v>
      </c>
      <c r="X36" s="166"/>
      <c r="Y36" s="165"/>
      <c r="Z36" s="161">
        <v>-0.2</v>
      </c>
      <c r="AE36" s="164">
        <v>673180</v>
      </c>
    </row>
    <row r="37" spans="2:32" ht="14.25" customHeight="1" x14ac:dyDescent="0.25">
      <c r="B37" s="153" t="s">
        <v>137</v>
      </c>
      <c r="C37" s="154">
        <v>6011</v>
      </c>
      <c r="D37" s="154">
        <v>28040</v>
      </c>
      <c r="E37" s="155">
        <v>673190</v>
      </c>
      <c r="F37" s="195" t="s">
        <v>170</v>
      </c>
      <c r="G37" s="156"/>
      <c r="H37" s="233">
        <f t="shared" si="6"/>
        <v>0</v>
      </c>
      <c r="I37" s="115"/>
      <c r="J37" s="213"/>
      <c r="K37" s="170">
        <f t="shared" si="4"/>
        <v>0</v>
      </c>
      <c r="L37" s="160" t="s">
        <v>143</v>
      </c>
      <c r="M37" s="220"/>
      <c r="N37" s="170">
        <f>+T37+Z37</f>
        <v>0</v>
      </c>
      <c r="O37" s="115" t="s">
        <v>143</v>
      </c>
      <c r="P37" s="220"/>
      <c r="Q37" s="180"/>
      <c r="R37" s="7"/>
      <c r="S37" s="220"/>
      <c r="T37" s="234"/>
      <c r="U37" s="115"/>
      <c r="V37" s="235"/>
      <c r="W37" s="174"/>
      <c r="X37" s="166"/>
      <c r="Y37" s="165"/>
      <c r="Z37" s="174"/>
      <c r="AE37" s="177">
        <v>673190</v>
      </c>
    </row>
    <row r="38" spans="2:32" ht="15" x14ac:dyDescent="0.25">
      <c r="F38" s="7" t="s">
        <v>171</v>
      </c>
      <c r="G38" s="222"/>
      <c r="H38" s="157">
        <f>SUM(H24:H37)</f>
        <v>513671.65999999992</v>
      </c>
      <c r="I38" s="115"/>
      <c r="J38" s="222"/>
      <c r="K38" s="107">
        <f>SUM(K24:K37)</f>
        <v>456180.62</v>
      </c>
      <c r="L38" s="160"/>
      <c r="M38" s="7"/>
      <c r="N38" s="107">
        <f>SUM(N24:N37)</f>
        <v>57491.040000000008</v>
      </c>
      <c r="O38" s="115"/>
      <c r="P38" s="237"/>
      <c r="Q38" s="226">
        <f>SUM(Q24:Q37)</f>
        <v>452201.14999999997</v>
      </c>
      <c r="R38" s="238"/>
      <c r="S38" s="239"/>
      <c r="T38" s="226">
        <f>SUM(T24:T37)</f>
        <v>57080.009999999995</v>
      </c>
      <c r="U38" s="115"/>
      <c r="W38" s="206">
        <f>SUM(W24:W37)</f>
        <v>3979.47</v>
      </c>
      <c r="Y38" s="240"/>
      <c r="Z38" s="206">
        <f>SUM(Z24:Z37)</f>
        <v>411.03</v>
      </c>
      <c r="AB38" s="208">
        <f>SUM(AB24:AB37)</f>
        <v>0</v>
      </c>
      <c r="AC38" s="208">
        <f>SUM(AC24:AC37)</f>
        <v>0</v>
      </c>
      <c r="AD38" s="208"/>
    </row>
    <row r="39" spans="2:32" ht="14.1" customHeight="1" x14ac:dyDescent="0.25">
      <c r="F39" s="229"/>
      <c r="H39" s="241"/>
      <c r="I39" s="115"/>
      <c r="J39" s="222"/>
      <c r="K39" s="242"/>
      <c r="L39" s="243"/>
      <c r="M39" s="222"/>
      <c r="N39" s="242"/>
      <c r="O39" s="115"/>
      <c r="P39" s="239"/>
      <c r="Q39" s="244"/>
      <c r="R39" s="237"/>
      <c r="S39" s="239"/>
      <c r="T39" s="244"/>
      <c r="U39" s="115"/>
      <c r="V39" s="245"/>
      <c r="W39" s="202"/>
      <c r="Z39" s="108"/>
      <c r="AB39" s="114"/>
      <c r="AC39" s="114"/>
      <c r="AD39" s="114"/>
    </row>
    <row r="40" spans="2:32" ht="15.75" customHeight="1" x14ac:dyDescent="0.25">
      <c r="F40" s="106" t="s">
        <v>172</v>
      </c>
      <c r="G40" s="222">
        <f>+G38+G22+G15</f>
        <v>22614906</v>
      </c>
      <c r="H40" s="157">
        <f>+H38+H22+H15</f>
        <v>11765651.34</v>
      </c>
      <c r="I40" s="115"/>
      <c r="J40" s="246">
        <f>+J38+J22+J15</f>
        <v>15152577</v>
      </c>
      <c r="K40" s="206">
        <f>+K38+K22+K15</f>
        <v>8709186.9100000001</v>
      </c>
      <c r="L40" s="247"/>
      <c r="M40" s="246">
        <f>+M38+M22+M15</f>
        <v>7462329</v>
      </c>
      <c r="N40" s="206">
        <f>+N38+N22+N15</f>
        <v>3056464.43</v>
      </c>
      <c r="O40" s="137"/>
      <c r="P40" s="248">
        <f>+P38+P22+P15</f>
        <v>15249454</v>
      </c>
      <c r="Q40" s="226">
        <f>+Q38+Q22+Q15</f>
        <v>8794855.6099999994</v>
      </c>
      <c r="R40" s="80"/>
      <c r="S40" s="248">
        <f>+S38+S22+S15</f>
        <v>7495832</v>
      </c>
      <c r="T40" s="226">
        <f>+T38+T22+T15</f>
        <v>3042997.1500000004</v>
      </c>
      <c r="U40" s="115"/>
      <c r="V40" s="249">
        <f>+V38+V22+V15</f>
        <v>-96877</v>
      </c>
      <c r="W40" s="206">
        <f>+W38+W22+W15</f>
        <v>-85668.700000000012</v>
      </c>
      <c r="Y40" s="8">
        <f>+Y38+Y22+Y15</f>
        <v>-33503</v>
      </c>
      <c r="Z40" s="206">
        <f>+Z38+Z22+Z15</f>
        <v>13467.280000000002</v>
      </c>
      <c r="AB40" s="208">
        <f>+AB38+AB22+AB15</f>
        <v>0</v>
      </c>
      <c r="AC40" s="208">
        <f>+AC38+AC22+AC15</f>
        <v>0</v>
      </c>
      <c r="AD40" s="208"/>
      <c r="AE40" s="216"/>
    </row>
    <row r="41" spans="2:32" ht="14.1" customHeight="1" x14ac:dyDescent="0.25">
      <c r="H41" s="250"/>
      <c r="I41" s="115"/>
      <c r="J41" s="167"/>
      <c r="K41" s="211"/>
      <c r="L41" s="243"/>
      <c r="M41" s="167"/>
      <c r="N41" s="211"/>
      <c r="O41" s="115"/>
      <c r="P41" s="237"/>
      <c r="Q41" s="104"/>
      <c r="R41" s="237"/>
      <c r="S41" s="237"/>
      <c r="T41" s="104"/>
      <c r="U41" s="115"/>
      <c r="W41" s="108"/>
      <c r="Z41" s="108"/>
    </row>
    <row r="42" spans="2:32" ht="14.1" customHeight="1" x14ac:dyDescent="0.25">
      <c r="C42" s="167" t="s">
        <v>173</v>
      </c>
      <c r="I42" s="115"/>
      <c r="J42" s="251" t="s">
        <v>116</v>
      </c>
      <c r="K42" s="252">
        <f>+K8+K9+K10+K11+K12+K13+K14+K18+K26+K27+K28+K31+K34+K35+K37</f>
        <v>4899518.6500000004</v>
      </c>
      <c r="L42" s="243" t="s">
        <v>143</v>
      </c>
      <c r="M42" s="167"/>
      <c r="N42" s="253">
        <f>+N8+N9+N10+N11+N12+N13+N14+N18+N26+N31+N34+N35+N37+N27+N28</f>
        <v>1846451.42</v>
      </c>
      <c r="O42" s="254" t="s">
        <v>143</v>
      </c>
      <c r="P42" s="237"/>
      <c r="Q42" s="255">
        <f>+Q8+Q9+Q10+Q11+Q12+Q13+Q14+Q18+Q26+Q27+Q28+Q31+Q34+Q35+Q37</f>
        <v>4992939.0300000012</v>
      </c>
      <c r="R42" s="237"/>
      <c r="S42" s="251" t="s">
        <v>123</v>
      </c>
      <c r="T42" s="255">
        <f>+T8+T10+T9+T11+T12+T13+T14+T18+T26+T31+T34+T35+T37+T27+T28</f>
        <v>1863758.9700000002</v>
      </c>
      <c r="U42" s="115"/>
      <c r="W42" s="256">
        <f>+W8+W9+W10+W11+W12+W13+W14+W18+W26+W27+W28+W31+W34+W35+W37</f>
        <v>-93420.38</v>
      </c>
      <c r="Z42" s="256">
        <f>Z9+Z10+Z11+Z12+Z13+Z14+Z18+Z26+Z31+Z34+Z35+Z37+Z8+Z27+Z28</f>
        <v>-17307.55</v>
      </c>
      <c r="AB42" s="257">
        <f>+AB8+AB9+AB10+AB11+AB12+AB13+AB14+AB18+AB26+AB27+AB28+AB29+AB31+AB34+AB35+AB37</f>
        <v>0</v>
      </c>
      <c r="AC42" s="257">
        <f>+AC6+AC8+AC9+AC10+AC11+AC12+AC13+AC14+AC18+AC26+AC31+AC34+AC35+AC37</f>
        <v>0</v>
      </c>
    </row>
    <row r="43" spans="2:32" ht="14.1" customHeight="1" x14ac:dyDescent="0.25">
      <c r="C43" s="167" t="s">
        <v>174</v>
      </c>
      <c r="I43" s="115"/>
      <c r="J43" s="251" t="s">
        <v>116</v>
      </c>
      <c r="K43" s="252">
        <f>+K6+K7+K17+K24+K25+K30+K32+K33+K36+K19+K20+K21+K29</f>
        <v>3809668.2599999993</v>
      </c>
      <c r="L43" s="243" t="s">
        <v>140</v>
      </c>
      <c r="M43" s="167"/>
      <c r="N43" s="253">
        <f>N6+N7+N17+N24+N25+N30+N32+N33+N36+N19+N20+N21+N29</f>
        <v>1210013.0099999998</v>
      </c>
      <c r="O43" s="254" t="s">
        <v>140</v>
      </c>
      <c r="P43" s="237"/>
      <c r="Q43" s="258">
        <f>Q6+Q7+Q17+Q24+Q25+Q30+Q32+Q33+Q36+Q19+Q20+Q21+Q29</f>
        <v>3801916.5799999996</v>
      </c>
      <c r="R43" s="237"/>
      <c r="S43" s="251" t="s">
        <v>123</v>
      </c>
      <c r="T43" s="258">
        <f>+T7+T6+T17+T24+T25+T30+T32+T33+T36+T19+T20+T21+T29</f>
        <v>1179238.1799999997</v>
      </c>
      <c r="U43" s="115"/>
      <c r="W43" s="259">
        <f>W6+W7+W17+W24+W25+W30+W32+W33+W36+W19+W20+W21+W29</f>
        <v>7751.6799999999994</v>
      </c>
      <c r="Z43" s="259">
        <f>+Z7+Z17+Z24+Z25+Z30+Z32+Z33+Z36+Z19+Z20+Z21+Z29+Z6</f>
        <v>30774.829999999998</v>
      </c>
      <c r="AB43" s="260">
        <f>AB6+AB7+AB17+AB24+AB25+AB30+AB32+AB33+AB36</f>
        <v>0</v>
      </c>
      <c r="AC43" s="260">
        <f>+AC7+AC17+AC24+AC25+AC27+AC28+AC29+AC30+AC32+AC33+AC36</f>
        <v>0</v>
      </c>
    </row>
    <row r="44" spans="2:32" ht="15" customHeight="1" x14ac:dyDescent="0.25">
      <c r="C44" s="167" t="s">
        <v>12</v>
      </c>
      <c r="I44" s="115"/>
      <c r="J44" s="167"/>
      <c r="K44" s="206">
        <f>SUM(K42:K43)</f>
        <v>8709186.9100000001</v>
      </c>
      <c r="L44" s="261"/>
      <c r="M44" s="167"/>
      <c r="N44" s="206">
        <f>SUM(N42:N43)</f>
        <v>3056464.4299999997</v>
      </c>
      <c r="O44" s="115"/>
      <c r="P44" s="237"/>
      <c r="Q44" s="226">
        <f>SUM(Q42:Q43)</f>
        <v>8794855.6100000013</v>
      </c>
      <c r="R44" s="237"/>
      <c r="S44" s="237"/>
      <c r="T44" s="226">
        <f>SUM(T42:T43)</f>
        <v>3042997.15</v>
      </c>
      <c r="U44" s="115"/>
      <c r="W44" s="206">
        <f>SUM(W42:W43)</f>
        <v>-85668.700000000012</v>
      </c>
      <c r="Z44" s="206">
        <f>SUM(Z42:Z43)</f>
        <v>13467.279999999999</v>
      </c>
      <c r="AB44" s="262">
        <f>SUM(AB42:AB43)</f>
        <v>0</v>
      </c>
      <c r="AC44" s="262">
        <f>SUM(AC42:AC43)</f>
        <v>0</v>
      </c>
      <c r="AD44" s="263"/>
      <c r="AE44" s="264">
        <f>+Z44+W44</f>
        <v>-72201.420000000013</v>
      </c>
    </row>
    <row r="45" spans="2:32" ht="15" customHeight="1" x14ac:dyDescent="0.25">
      <c r="L45" s="109"/>
      <c r="AE45" s="264">
        <f>+'[3]Supplier Invoices'!$Q$95</f>
        <v>-72201.423820000709</v>
      </c>
      <c r="AF45" s="79" t="s">
        <v>175</v>
      </c>
    </row>
    <row r="46" spans="2:32" ht="15" customHeight="1" x14ac:dyDescent="0.25">
      <c r="J46" s="7" t="s">
        <v>176</v>
      </c>
      <c r="K46" s="265">
        <f>K44+N44</f>
        <v>11765651.34</v>
      </c>
      <c r="P46" s="266" t="s">
        <v>177</v>
      </c>
      <c r="Q46" s="267">
        <f>Q44-Q11-Q12-Q13</f>
        <v>9678800.3500000015</v>
      </c>
      <c r="R46" s="117"/>
      <c r="S46" s="266" t="s">
        <v>177</v>
      </c>
      <c r="T46" s="267">
        <f>T44-T11-T12-T13</f>
        <v>3043763.4699999997</v>
      </c>
      <c r="W46" s="216"/>
      <c r="AE46" s="268">
        <f>+AE44-AE45</f>
        <v>3.8200006965780631E-3</v>
      </c>
    </row>
    <row r="47" spans="2:32" ht="15" customHeight="1" x14ac:dyDescent="0.25">
      <c r="F47" s="269"/>
      <c r="K47" s="270"/>
      <c r="P47" s="271" t="s">
        <v>178</v>
      </c>
      <c r="Q47" s="272">
        <f>W44</f>
        <v>-85668.700000000012</v>
      </c>
      <c r="R47" s="190"/>
      <c r="S47" s="271" t="s">
        <v>178</v>
      </c>
      <c r="T47" s="272">
        <f>Z44</f>
        <v>13467.279999999999</v>
      </c>
      <c r="W47" s="273"/>
    </row>
    <row r="48" spans="2:32" ht="15" customHeight="1" x14ac:dyDescent="0.25">
      <c r="F48" s="269"/>
      <c r="G48" s="8" t="s">
        <v>179</v>
      </c>
      <c r="Q48" s="274">
        <f>Q46+Q47</f>
        <v>9593131.6500000022</v>
      </c>
      <c r="R48" s="275"/>
      <c r="S48" s="275"/>
      <c r="T48" s="274">
        <f>T46+T47</f>
        <v>3057230.7499999995</v>
      </c>
      <c r="U48" s="273"/>
      <c r="V48" s="273"/>
      <c r="W48" s="276"/>
      <c r="Z48" s="277"/>
    </row>
    <row r="49" spans="2:26" ht="15" customHeight="1" x14ac:dyDescent="0.25">
      <c r="F49" s="269"/>
      <c r="L49" s="278"/>
      <c r="M49" s="279" t="s">
        <v>1</v>
      </c>
      <c r="N49" s="280" t="s">
        <v>180</v>
      </c>
      <c r="Q49" s="281"/>
      <c r="T49" s="281"/>
      <c r="Z49" s="277"/>
    </row>
    <row r="50" spans="2:26" ht="14.1" customHeight="1" x14ac:dyDescent="0.25">
      <c r="L50" s="128"/>
      <c r="M50" s="279" t="s">
        <v>181</v>
      </c>
      <c r="N50" s="280" t="s">
        <v>182</v>
      </c>
      <c r="P50" s="80"/>
      <c r="Z50" s="277"/>
    </row>
    <row r="51" spans="2:26" ht="14.1" customHeight="1" x14ac:dyDescent="0.25">
      <c r="B51" s="8"/>
      <c r="L51" s="128"/>
      <c r="M51" s="279" t="s">
        <v>183</v>
      </c>
      <c r="N51" s="280" t="s">
        <v>184</v>
      </c>
    </row>
    <row r="52" spans="2:26" ht="14.1" customHeight="1" x14ac:dyDescent="0.25">
      <c r="B52" s="282"/>
      <c r="L52" s="128"/>
      <c r="M52" s="279" t="s">
        <v>185</v>
      </c>
      <c r="N52" s="280" t="s">
        <v>186</v>
      </c>
      <c r="W52" s="283"/>
    </row>
    <row r="53" spans="2:26" ht="14.1" customHeight="1" x14ac:dyDescent="0.25">
      <c r="L53" s="128"/>
      <c r="M53" s="279" t="s">
        <v>187</v>
      </c>
      <c r="N53" s="284" t="s">
        <v>15</v>
      </c>
    </row>
    <row r="54" spans="2:26" ht="14.1" customHeight="1" x14ac:dyDescent="0.25">
      <c r="L54" s="128"/>
      <c r="M54" s="279" t="s">
        <v>188</v>
      </c>
      <c r="N54" s="280" t="s">
        <v>189</v>
      </c>
    </row>
    <row r="55" spans="2:26" ht="14.1" customHeight="1" x14ac:dyDescent="0.25">
      <c r="L55" s="128"/>
      <c r="M55" s="279" t="s">
        <v>190</v>
      </c>
      <c r="N55" s="280" t="s">
        <v>191</v>
      </c>
    </row>
    <row r="56" spans="2:26" ht="14.1" customHeight="1" x14ac:dyDescent="0.25">
      <c r="L56" s="128"/>
      <c r="M56" s="279" t="s">
        <v>192</v>
      </c>
      <c r="N56" s="280" t="s">
        <v>193</v>
      </c>
    </row>
    <row r="57" spans="2:26" ht="14.1" customHeight="1" x14ac:dyDescent="0.25">
      <c r="L57" s="109"/>
      <c r="M57" s="285"/>
      <c r="N57" s="280" t="s">
        <v>194</v>
      </c>
    </row>
    <row r="58" spans="2:26" ht="14.1" customHeight="1" thickBot="1" x14ac:dyDescent="0.3">
      <c r="P58" s="286" t="s">
        <v>136</v>
      </c>
      <c r="Q58" s="287"/>
      <c r="R58" s="286"/>
      <c r="S58" s="286" t="s">
        <v>136</v>
      </c>
      <c r="T58" s="287"/>
    </row>
    <row r="59" spans="2:26" ht="14.1" customHeight="1" x14ac:dyDescent="0.25">
      <c r="B59" s="8"/>
      <c r="J59" s="288" t="s">
        <v>195</v>
      </c>
      <c r="K59" s="289" t="s">
        <v>196</v>
      </c>
      <c r="L59" s="79"/>
      <c r="M59" s="1">
        <v>6011</v>
      </c>
      <c r="N59" s="280" t="s">
        <v>197</v>
      </c>
      <c r="P59" s="80" t="e">
        <f ca="1">[4]!SSGXA4(N$55&amp;"-"&amp;J59&amp;"-"&amp;$M59&amp;"-"&amp;$N59,N$49,N$51,N$52,N$53,N$54)</f>
        <v>#NAME?</v>
      </c>
      <c r="Q59" s="290" t="e">
        <f ca="1">[4]!SSGXA4(N$55&amp;"-"&amp;J59&amp;"-"&amp;$M59&amp;"-"&amp;$N59,N$50,N$51,N$52,N$53,N$54)</f>
        <v>#NAME?</v>
      </c>
      <c r="R59" s="190">
        <v>-1</v>
      </c>
      <c r="S59" s="80" t="e">
        <f ca="1">[4]!SSGXA4(N$55&amp;"-"&amp;K59&amp;"-"&amp;$M59&amp;"-"&amp;$N59,N$49,N$51,N$52,N$53,N$54)</f>
        <v>#NAME?</v>
      </c>
      <c r="T59" s="290" t="e">
        <f ca="1">[4]!SSGXA4(N$55&amp;"-"&amp;K59&amp;"-"&amp;$M59&amp;"-"&amp;$N59,N$50,N$51,N$52,N$53,N$54)</f>
        <v>#NAME?</v>
      </c>
      <c r="U59" s="291">
        <v>-4</v>
      </c>
    </row>
    <row r="60" spans="2:26" ht="14.1" customHeight="1" x14ac:dyDescent="0.25">
      <c r="J60" s="288" t="s">
        <v>195</v>
      </c>
      <c r="K60" s="289" t="s">
        <v>196</v>
      </c>
      <c r="L60" s="79"/>
      <c r="M60" s="1">
        <v>6011</v>
      </c>
      <c r="N60" s="1">
        <v>28082</v>
      </c>
      <c r="P60" s="80" t="e">
        <f ca="1">[4]!SSGXA4(N$55&amp;"-"&amp;J60&amp;"-"&amp;$M60&amp;"-"&amp;$N60,N$49,N$51,N$52,N$53,N$54)</f>
        <v>#NAME?</v>
      </c>
      <c r="Q60" s="292" t="e">
        <f ca="1">[4]!SSGXA4(N$55&amp;"-"&amp;N$56&amp;"-"&amp;$M60&amp;"-"&amp;$N60,N$50,N$51,N$52,N$53,N$54)</f>
        <v>#NAME?</v>
      </c>
      <c r="R60" s="190">
        <v>-2</v>
      </c>
      <c r="S60" s="290"/>
      <c r="T60" s="292"/>
      <c r="U60" s="291"/>
    </row>
    <row r="61" spans="2:26" ht="15" x14ac:dyDescent="0.25">
      <c r="J61" s="288" t="s">
        <v>195</v>
      </c>
      <c r="K61" s="289" t="s">
        <v>196</v>
      </c>
      <c r="L61" s="79"/>
      <c r="M61" s="1">
        <v>6011</v>
      </c>
      <c r="N61" s="1">
        <v>28120</v>
      </c>
      <c r="P61" s="80" t="e">
        <f ca="1">[4]!SSGXA4(N$55&amp;"-"&amp;J61&amp;"-"&amp;$M61&amp;"-"&amp;$N61,N$49,N$51,N$52,N$53,N$54)</f>
        <v>#NAME?</v>
      </c>
      <c r="Q61" s="290" t="e">
        <f ca="1">[4]!SSGXA4(N$55&amp;"-"&amp;J61&amp;"-"&amp;$M61&amp;"-"&amp;$N61,N$50,N$51,N$52,N$53,N$54)</f>
        <v>#NAME?</v>
      </c>
      <c r="R61" s="190">
        <v>-3</v>
      </c>
      <c r="S61" s="80" t="e">
        <f ca="1">[4]!SSGXA4(N$55&amp;"-"&amp;K61&amp;"-"&amp;$M61&amp;"-"&amp;$N61,N$49,N$51,N$52,N$53,N$54)</f>
        <v>#NAME?</v>
      </c>
      <c r="T61" s="290" t="e">
        <f ca="1">[4]!SSGXA4(N$55&amp;"-"&amp;K61&amp;"-"&amp;$M61&amp;"-"&amp;$N61,N$50,N$51,N$52,N$53,N$54)</f>
        <v>#NAME?</v>
      </c>
      <c r="U61" s="291">
        <v>-5</v>
      </c>
    </row>
    <row r="62" spans="2:26" ht="14.1" customHeight="1" x14ac:dyDescent="0.25">
      <c r="B62" s="6"/>
      <c r="P62" s="80"/>
      <c r="Q62" s="293" t="e">
        <f ca="1">SUM(Q59:Q61)</f>
        <v>#NAME?</v>
      </c>
      <c r="R62" s="139"/>
      <c r="S62" s="139"/>
      <c r="T62" s="293" t="e">
        <f ca="1">SUM(T59:T61)</f>
        <v>#NAME?</v>
      </c>
      <c r="U62" s="79"/>
    </row>
    <row r="63" spans="2:26" ht="14.1" customHeight="1" x14ac:dyDescent="0.25">
      <c r="P63" s="294"/>
      <c r="Q63" s="295"/>
      <c r="R63" s="294"/>
      <c r="S63" s="294"/>
      <c r="T63" s="295"/>
      <c r="U63" s="79"/>
    </row>
    <row r="69" spans="17:22" ht="14.1" customHeight="1" x14ac:dyDescent="0.25">
      <c r="Q69" s="127">
        <v>9776852</v>
      </c>
      <c r="S69" s="127">
        <v>2278617.61</v>
      </c>
      <c r="T69" s="127">
        <v>2102518</v>
      </c>
      <c r="V69" s="8">
        <v>317389.78000000003</v>
      </c>
    </row>
    <row r="71" spans="17:22" ht="14.1" customHeight="1" x14ac:dyDescent="0.25">
      <c r="S71" s="296">
        <f>+S69/Q69</f>
        <v>0.23306250416800825</v>
      </c>
      <c r="V71" s="297">
        <f>+V69/T69</f>
        <v>0.15095698586171438</v>
      </c>
    </row>
  </sheetData>
  <mergeCells count="15">
    <mergeCell ref="B5:E5"/>
    <mergeCell ref="W3:Y3"/>
    <mergeCell ref="AB3:AC3"/>
    <mergeCell ref="J4:K4"/>
    <mergeCell ref="M4:N4"/>
    <mergeCell ref="P4:Q4"/>
    <mergeCell ref="S4:T4"/>
    <mergeCell ref="V4:W4"/>
    <mergeCell ref="Y4:Z4"/>
    <mergeCell ref="W1:Y1"/>
    <mergeCell ref="B2:E2"/>
    <mergeCell ref="G2:H2"/>
    <mergeCell ref="J2:N2"/>
    <mergeCell ref="P2:T2"/>
    <mergeCell ref="W2:Y2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2899E-22DC-40FD-9FD1-3951FDB18912}">
  <dimension ref="A1:I28"/>
  <sheetViews>
    <sheetView showGridLines="0" view="pageBreakPreview" zoomScale="80" zoomScaleNormal="100" zoomScaleSheetLayoutView="80" workbookViewId="0">
      <selection activeCell="E89" sqref="E89"/>
    </sheetView>
  </sheetViews>
  <sheetFormatPr defaultRowHeight="12.75" x14ac:dyDescent="0.2"/>
  <cols>
    <col min="1" max="1" width="1.7109375" style="298" customWidth="1"/>
    <col min="2" max="2" width="10" style="298" customWidth="1"/>
    <col min="3" max="3" width="29.85546875" style="298" customWidth="1"/>
    <col min="4" max="4" width="20.42578125" style="298" customWidth="1"/>
    <col min="5" max="5" width="21.140625" style="298" customWidth="1"/>
    <col min="6" max="6" width="19" style="298" customWidth="1"/>
    <col min="7" max="7" width="17.7109375" style="298" bestFit="1" customWidth="1"/>
    <col min="8" max="8" width="3.7109375" style="298" customWidth="1"/>
    <col min="9" max="16384" width="9.140625" style="298"/>
  </cols>
  <sheetData>
    <row r="1" spans="1:9" ht="18" customHeight="1" x14ac:dyDescent="0.2">
      <c r="A1" s="299"/>
      <c r="B1" s="350" t="s">
        <v>9</v>
      </c>
      <c r="C1" s="350"/>
      <c r="D1" s="350"/>
      <c r="E1" s="350"/>
      <c r="F1" s="350"/>
      <c r="G1" s="352"/>
      <c r="H1" s="351"/>
      <c r="I1" s="299"/>
    </row>
    <row r="2" spans="1:9" ht="15" x14ac:dyDescent="0.2">
      <c r="A2" s="299"/>
      <c r="B2" s="350" t="s">
        <v>10</v>
      </c>
      <c r="C2" s="349">
        <f>'[1]Core Cost Incurred'!B2</f>
        <v>43580</v>
      </c>
      <c r="D2" s="348"/>
      <c r="E2" s="348"/>
      <c r="F2" s="348"/>
      <c r="G2" s="348"/>
      <c r="H2" s="299"/>
      <c r="I2" s="299"/>
    </row>
    <row r="3" spans="1:9" x14ac:dyDescent="0.2">
      <c r="A3" s="299"/>
      <c r="B3" s="299"/>
      <c r="C3" s="299"/>
      <c r="D3" s="299"/>
      <c r="E3" s="299"/>
      <c r="F3" s="299"/>
      <c r="G3" s="299"/>
      <c r="H3" s="299"/>
      <c r="I3" s="299"/>
    </row>
    <row r="4" spans="1:9" ht="15" customHeight="1" thickBot="1" x14ac:dyDescent="0.25">
      <c r="A4" s="299"/>
      <c r="B4" s="347"/>
      <c r="C4" s="347"/>
      <c r="D4" s="347"/>
      <c r="E4" s="347"/>
      <c r="F4" s="346"/>
      <c r="G4" s="345"/>
      <c r="H4" s="299"/>
      <c r="I4" s="299"/>
    </row>
    <row r="5" spans="1:9" ht="14.25" x14ac:dyDescent="0.2">
      <c r="A5" s="299"/>
      <c r="B5" s="344"/>
      <c r="C5" s="344"/>
      <c r="D5" s="342" t="s">
        <v>3</v>
      </c>
      <c r="E5" s="342" t="s">
        <v>6</v>
      </c>
      <c r="F5" s="343" t="s">
        <v>11</v>
      </c>
      <c r="G5" s="342" t="s">
        <v>12</v>
      </c>
      <c r="H5" s="299"/>
      <c r="I5" s="299"/>
    </row>
    <row r="6" spans="1:9" ht="15" x14ac:dyDescent="0.25">
      <c r="A6" s="299"/>
      <c r="B6" s="327" t="s">
        <v>13</v>
      </c>
      <c r="C6" s="341"/>
      <c r="D6" s="339">
        <v>692010</v>
      </c>
      <c r="E6" s="339">
        <v>691010</v>
      </c>
      <c r="F6" s="340">
        <v>693010</v>
      </c>
      <c r="G6" s="339"/>
      <c r="H6" s="303"/>
      <c r="I6" s="299"/>
    </row>
    <row r="7" spans="1:9" ht="16.5" customHeight="1" x14ac:dyDescent="0.2">
      <c r="A7" s="299"/>
      <c r="B7" s="331" t="s">
        <v>14</v>
      </c>
      <c r="C7" s="312"/>
      <c r="D7" s="338">
        <v>3644535.14</v>
      </c>
      <c r="E7" s="338">
        <v>2588291.0699999998</v>
      </c>
      <c r="F7" s="337">
        <v>651439.73</v>
      </c>
      <c r="G7" s="336">
        <v>6884265.9399999995</v>
      </c>
      <c r="H7" s="299"/>
      <c r="I7" s="299"/>
    </row>
    <row r="8" spans="1:9" ht="16.5" customHeight="1" x14ac:dyDescent="0.2">
      <c r="A8" s="299"/>
      <c r="B8" s="331" t="s">
        <v>16</v>
      </c>
      <c r="C8" s="312"/>
      <c r="D8" s="335">
        <f>'[1]Core Cost Incurred'!K42</f>
        <v>4899518.6500000004</v>
      </c>
      <c r="E8" s="335">
        <f>'[1]Core Cost Incurred'!K43</f>
        <v>3809668.2599999993</v>
      </c>
      <c r="F8" s="334">
        <v>0</v>
      </c>
      <c r="G8" s="333">
        <f>SUM(D8:E8)</f>
        <v>8709186.9100000001</v>
      </c>
      <c r="H8" s="299"/>
      <c r="I8" s="299"/>
    </row>
    <row r="9" spans="1:9" ht="16.5" customHeight="1" x14ac:dyDescent="0.2">
      <c r="A9" s="299"/>
      <c r="B9" s="331" t="s">
        <v>17</v>
      </c>
      <c r="C9" s="312"/>
      <c r="D9" s="324">
        <f>D7-D8</f>
        <v>-1254983.5100000002</v>
      </c>
      <c r="E9" s="332">
        <f>E7-E8</f>
        <v>-1221377.1899999995</v>
      </c>
      <c r="F9" s="332">
        <f>F7-F8</f>
        <v>651439.73</v>
      </c>
      <c r="G9" s="324">
        <f>G7-G8</f>
        <v>-1824920.9700000007</v>
      </c>
      <c r="H9" s="299"/>
      <c r="I9" s="299"/>
    </row>
    <row r="10" spans="1:9" ht="16.5" customHeight="1" x14ac:dyDescent="0.2">
      <c r="A10" s="299"/>
      <c r="B10" s="331" t="s">
        <v>18</v>
      </c>
      <c r="C10" s="312"/>
      <c r="D10" s="328">
        <v>1983985.63</v>
      </c>
      <c r="E10" s="330"/>
      <c r="F10" s="329"/>
      <c r="G10" s="328">
        <v>1983985.63</v>
      </c>
      <c r="H10" s="299"/>
      <c r="I10" s="299"/>
    </row>
    <row r="11" spans="1:9" ht="16.5" customHeight="1" x14ac:dyDescent="0.2">
      <c r="A11" s="299"/>
      <c r="B11" s="327" t="s">
        <v>19</v>
      </c>
      <c r="C11" s="326"/>
      <c r="D11" s="324"/>
      <c r="E11" s="324">
        <v>352350.7</v>
      </c>
      <c r="F11" s="325"/>
      <c r="G11" s="324">
        <v>352350.7</v>
      </c>
      <c r="H11" s="299"/>
      <c r="I11" s="299"/>
    </row>
    <row r="12" spans="1:9" ht="16.5" customHeight="1" x14ac:dyDescent="0.25">
      <c r="A12" s="299"/>
      <c r="B12" s="323" t="s">
        <v>20</v>
      </c>
      <c r="C12" s="322"/>
      <c r="D12" s="320">
        <f>+D7-D8+D10</f>
        <v>729002.11999999965</v>
      </c>
      <c r="E12" s="320">
        <f>+E9+E11</f>
        <v>-869026.48999999953</v>
      </c>
      <c r="F12" s="321">
        <f>+F7-F8</f>
        <v>651439.73</v>
      </c>
      <c r="G12" s="320">
        <f>G9+G11+G10</f>
        <v>511415.35999999917</v>
      </c>
      <c r="H12" s="299"/>
      <c r="I12" s="299"/>
    </row>
    <row r="13" spans="1:9" ht="14.25" customHeight="1" x14ac:dyDescent="0.2">
      <c r="A13" s="299"/>
      <c r="B13" s="299"/>
      <c r="C13" s="299"/>
      <c r="D13" s="312"/>
      <c r="E13" s="312"/>
      <c r="F13" s="318"/>
      <c r="G13" s="312"/>
      <c r="H13" s="299"/>
      <c r="I13" s="299"/>
    </row>
    <row r="14" spans="1:9" ht="14.25" customHeight="1" x14ac:dyDescent="0.2">
      <c r="A14" s="299"/>
      <c r="B14" s="299"/>
      <c r="C14" s="299"/>
      <c r="D14" s="312" t="s">
        <v>21</v>
      </c>
      <c r="E14" s="312"/>
      <c r="F14" s="318"/>
      <c r="G14" s="312"/>
      <c r="H14" s="299"/>
      <c r="I14" s="299"/>
    </row>
    <row r="15" spans="1:9" ht="14.25" customHeight="1" x14ac:dyDescent="0.2">
      <c r="A15" s="299"/>
      <c r="B15" s="299"/>
      <c r="C15" s="299"/>
      <c r="D15" s="312"/>
      <c r="E15" s="319"/>
      <c r="F15" s="318"/>
      <c r="G15" s="312"/>
      <c r="H15" s="299"/>
      <c r="I15" s="299"/>
    </row>
    <row r="16" spans="1:9" ht="14.25" customHeight="1" x14ac:dyDescent="0.2">
      <c r="A16" s="299"/>
      <c r="B16" s="309" t="s">
        <v>22</v>
      </c>
      <c r="C16" s="309"/>
      <c r="D16" s="317" t="s">
        <v>4</v>
      </c>
      <c r="E16" s="316" t="s">
        <v>4</v>
      </c>
      <c r="F16" s="315"/>
      <c r="G16" s="305"/>
      <c r="H16" s="299"/>
      <c r="I16" s="299"/>
    </row>
    <row r="17" spans="1:9" ht="14.25" customHeight="1" x14ac:dyDescent="0.2">
      <c r="A17" s="299"/>
      <c r="B17" s="303"/>
      <c r="C17" s="303"/>
      <c r="D17" s="314"/>
      <c r="E17" s="314"/>
      <c r="F17" s="313"/>
      <c r="G17" s="312"/>
      <c r="H17" s="299"/>
      <c r="I17" s="299"/>
    </row>
    <row r="18" spans="1:9" ht="14.25" customHeight="1" x14ac:dyDescent="0.2">
      <c r="A18" s="299"/>
      <c r="B18" s="303"/>
      <c r="C18" s="303"/>
      <c r="D18" s="310">
        <f>-D12</f>
        <v>-729002.11999999965</v>
      </c>
      <c r="E18" s="310">
        <f>-E9-E11</f>
        <v>869026.48999999953</v>
      </c>
      <c r="F18" s="311">
        <f>-F12</f>
        <v>-651439.73</v>
      </c>
      <c r="G18" s="310">
        <f>SUM(D18:F18)</f>
        <v>-511415.3600000001</v>
      </c>
      <c r="H18" s="299"/>
      <c r="I18" s="299"/>
    </row>
    <row r="19" spans="1:9" ht="14.25" customHeight="1" thickBot="1" x14ac:dyDescent="0.25">
      <c r="A19" s="299"/>
      <c r="B19" s="309" t="s">
        <v>23</v>
      </c>
      <c r="C19" s="309"/>
      <c r="D19" s="308" t="s">
        <v>5</v>
      </c>
      <c r="E19" s="307" t="s">
        <v>7</v>
      </c>
      <c r="F19" s="306"/>
      <c r="G19" s="305"/>
      <c r="H19" s="299"/>
      <c r="I19" s="299"/>
    </row>
    <row r="20" spans="1:9" x14ac:dyDescent="0.2">
      <c r="A20" s="299"/>
      <c r="B20" s="303"/>
      <c r="C20" s="303"/>
      <c r="D20" s="299"/>
      <c r="E20" s="304"/>
      <c r="F20" s="304"/>
      <c r="G20" s="304"/>
      <c r="H20" s="299"/>
      <c r="I20" s="299"/>
    </row>
    <row r="21" spans="1:9" x14ac:dyDescent="0.2">
      <c r="A21" s="299"/>
      <c r="B21" s="299"/>
      <c r="C21" s="299"/>
      <c r="D21" s="303"/>
      <c r="E21" s="302"/>
      <c r="F21" s="301"/>
      <c r="G21" s="299"/>
      <c r="H21" s="299"/>
      <c r="I21" s="299"/>
    </row>
    <row r="22" spans="1:9" x14ac:dyDescent="0.2">
      <c r="A22" s="299"/>
      <c r="B22" s="299"/>
      <c r="C22" s="299"/>
      <c r="D22" s="299"/>
      <c r="E22" s="302"/>
      <c r="F22" s="301"/>
      <c r="G22" s="299"/>
      <c r="H22" s="299"/>
      <c r="I22" s="299"/>
    </row>
    <row r="23" spans="1:9" x14ac:dyDescent="0.2">
      <c r="A23" s="299"/>
      <c r="B23" s="299"/>
      <c r="C23" s="299"/>
      <c r="D23" s="299"/>
      <c r="E23" s="302"/>
      <c r="F23" s="301"/>
      <c r="G23" s="299"/>
      <c r="H23" s="299"/>
      <c r="I23" s="299"/>
    </row>
    <row r="24" spans="1:9" x14ac:dyDescent="0.2">
      <c r="A24" s="299"/>
      <c r="B24" s="299"/>
      <c r="C24" s="299"/>
      <c r="D24" s="299"/>
      <c r="E24" s="299"/>
      <c r="F24" s="301"/>
      <c r="G24" s="299"/>
      <c r="H24" s="299"/>
      <c r="I24" s="299"/>
    </row>
    <row r="25" spans="1:9" x14ac:dyDescent="0.2">
      <c r="A25" s="299"/>
      <c r="B25" s="299"/>
      <c r="C25" s="299"/>
      <c r="D25" s="299"/>
      <c r="E25" s="299"/>
      <c r="F25" s="299"/>
      <c r="G25" s="299"/>
      <c r="H25" s="299"/>
      <c r="I25" s="299"/>
    </row>
    <row r="26" spans="1:9" x14ac:dyDescent="0.2">
      <c r="A26" s="299"/>
      <c r="B26" s="299"/>
      <c r="C26" s="299"/>
      <c r="D26" s="299"/>
      <c r="E26" s="299"/>
      <c r="F26" s="299"/>
      <c r="G26" s="299"/>
      <c r="H26" s="299"/>
      <c r="I26" s="299"/>
    </row>
    <row r="27" spans="1:9" x14ac:dyDescent="0.2">
      <c r="A27" s="299"/>
      <c r="B27" s="300"/>
      <c r="C27" s="300"/>
      <c r="D27" s="299"/>
      <c r="E27" s="299"/>
      <c r="F27" s="299"/>
      <c r="G27" s="299"/>
      <c r="H27" s="299"/>
      <c r="I27" s="299"/>
    </row>
    <row r="28" spans="1:9" x14ac:dyDescent="0.2">
      <c r="A28" s="299"/>
      <c r="B28" s="299"/>
      <c r="C28" s="299"/>
      <c r="D28" s="299"/>
      <c r="E28" s="299"/>
      <c r="F28" s="299"/>
      <c r="G28" s="299"/>
      <c r="H28" s="299"/>
      <c r="I28" s="299"/>
    </row>
  </sheetData>
  <mergeCells count="1">
    <mergeCell ref="B4:E4"/>
  </mergeCells>
  <pageMargins left="0.75" right="0.75" top="0.7" bottom="1" header="0.7" footer="0.5"/>
  <pageSetup scale="74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0679F16FC7CFC4C829D7311049FFF87" ma:contentTypeVersion="76" ma:contentTypeDescription="" ma:contentTypeScope="" ma:versionID="18ee7ea4f4e9d97d6d85662429f0fa7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Document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2018-09-17T07:00:00+00:00</OpenedDate>
    <SignificantOrder xmlns="dc463f71-b30c-4ab2-9473-d307f9d35888">false</SignificantOrder>
    <Date1 xmlns="dc463f71-b30c-4ab2-9473-d307f9d35888">2019-05-31T07:00:00+00:00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180788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D5184D3-71FC-47F2-8DB6-B925DB77982D}"/>
</file>

<file path=customXml/itemProps2.xml><?xml version="1.0" encoding="utf-8"?>
<ds:datastoreItem xmlns:ds="http://schemas.openxmlformats.org/officeDocument/2006/customXml" ds:itemID="{E2CDC11A-70CC-4669-ABDF-D93BDBED7E55}"/>
</file>

<file path=customXml/itemProps3.xml><?xml version="1.0" encoding="utf-8"?>
<ds:datastoreItem xmlns:ds="http://schemas.openxmlformats.org/officeDocument/2006/customXml" ds:itemID="{94339ECA-EC71-45BF-A69F-94B8A805FFFD}"/>
</file>

<file path=customXml/itemProps4.xml><?xml version="1.0" encoding="utf-8"?>
<ds:datastoreItem xmlns:ds="http://schemas.openxmlformats.org/officeDocument/2006/customXml" ds:itemID="{7ABC9765-3099-492C-87DC-5C58AA7CBF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2019-05-31T15:24:21Z</dcterms:created>
  <dcterms:modified xsi:type="dcterms:W3CDTF">2019-05-31T15:27:33Z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0x0101006E56B4D1795A2E4DB2F0B01679ED314A0000679F16FC7CFC4C829D7311049FFF87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