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23256" windowHeight="7380" tabRatio="1000"/>
  </bookViews>
  <sheets>
    <sheet name="Lead E" sheetId="1" r:id="rId1"/>
    <sheet name="Lead G" sheetId="2" r:id="rId2"/>
    <sheet name="TY Excise Tax" sheetId="5" r:id="rId3"/>
    <sheet name="Sept 16 Ex Tax Trued Up in Oct" sheetId="19" r:id="rId4"/>
    <sheet name="TY Filing Fee" sheetId="4" r:id="rId5"/>
    <sheet name="E Filing Fee Restated" sheetId="14" r:id="rId6"/>
    <sheet name="G Filing Fee Restated" sheetId="13" r:id="rId7"/>
    <sheet name="IS Sept 2016" sheetId="7" r:id="rId8"/>
    <sheet name="Order Group 456" sheetId="18" r:id="rId9"/>
  </sheets>
  <externalReferences>
    <externalReference r:id="rId10"/>
  </externalReferences>
  <calcPr calcId="145621" calcMode="manual" iterate="1" calcCompleted="0" calcOnSave="0"/>
</workbook>
</file>

<file path=xl/calcChain.xml><?xml version="1.0" encoding="utf-8"?>
<calcChain xmlns="http://schemas.openxmlformats.org/spreadsheetml/2006/main">
  <c r="M54" i="5" l="1"/>
  <c r="H54" i="5"/>
  <c r="H55" i="5"/>
  <c r="F146" i="5"/>
  <c r="E146" i="5"/>
  <c r="D146" i="5"/>
  <c r="C146" i="5"/>
  <c r="B146" i="5"/>
  <c r="A146" i="5"/>
  <c r="J54" i="5"/>
  <c r="J55" i="5" s="1"/>
  <c r="B54" i="5"/>
  <c r="C54" i="5"/>
  <c r="D54" i="5"/>
  <c r="E54" i="5"/>
  <c r="F54" i="5"/>
  <c r="L54" i="5"/>
  <c r="K55" i="5"/>
  <c r="A54" i="5"/>
  <c r="E47" i="14" l="1"/>
  <c r="E45" i="14" l="1"/>
  <c r="E46" i="14"/>
  <c r="E44" i="14"/>
  <c r="E48" i="14" l="1"/>
  <c r="F18" i="14" s="1"/>
  <c r="D12" i="13"/>
  <c r="F31" i="14"/>
  <c r="D12" i="14"/>
  <c r="F17" i="14" s="1"/>
  <c r="F31" i="13"/>
  <c r="F19" i="14" l="1"/>
  <c r="F21" i="14" s="1"/>
  <c r="D22" i="14" l="1"/>
  <c r="F22" i="14" s="1"/>
  <c r="D24" i="14"/>
  <c r="D25" i="14" s="1"/>
  <c r="F25" i="14" l="1"/>
  <c r="D26" i="14"/>
  <c r="F26" i="14" s="1"/>
  <c r="F27" i="14" l="1"/>
  <c r="F34" i="14" s="1"/>
  <c r="F35" i="14" s="1"/>
  <c r="F38" i="14" s="1"/>
  <c r="D13" i="1" s="1"/>
  <c r="F17" i="13" l="1"/>
  <c r="F19" i="13" s="1"/>
  <c r="F21" i="13" l="1"/>
  <c r="D22" i="13"/>
  <c r="F22" i="13" s="1"/>
  <c r="D24" i="13"/>
  <c r="D25" i="13" l="1"/>
  <c r="F25" i="13" s="1"/>
  <c r="D26" i="13" l="1"/>
  <c r="F26" i="13" s="1"/>
  <c r="F27" i="13" s="1"/>
  <c r="F34" i="13" l="1"/>
  <c r="F35" i="13" s="1"/>
  <c r="F38" i="13" s="1"/>
  <c r="D13" i="2" s="1"/>
  <c r="G148" i="5" l="1"/>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57"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6" i="5"/>
  <c r="J108" i="5"/>
  <c r="H108" i="5"/>
  <c r="I55" i="5"/>
  <c r="K58" i="5"/>
  <c r="K108" i="5" s="1"/>
  <c r="J7" i="5"/>
  <c r="I58" i="5"/>
  <c r="I59" i="5"/>
  <c r="M59" i="5" s="1"/>
  <c r="I60" i="5"/>
  <c r="M60" i="5" s="1"/>
  <c r="I61" i="5"/>
  <c r="M61" i="5" s="1"/>
  <c r="I62" i="5"/>
  <c r="M62" i="5" s="1"/>
  <c r="I63" i="5"/>
  <c r="M63" i="5" s="1"/>
  <c r="I64" i="5"/>
  <c r="M64" i="5" s="1"/>
  <c r="I65" i="5"/>
  <c r="M65" i="5" s="1"/>
  <c r="I66" i="5"/>
  <c r="M66" i="5" s="1"/>
  <c r="I67" i="5"/>
  <c r="M67" i="5" s="1"/>
  <c r="I68" i="5"/>
  <c r="M68" i="5" s="1"/>
  <c r="I69" i="5"/>
  <c r="M69" i="5" s="1"/>
  <c r="I70" i="5"/>
  <c r="M70" i="5" s="1"/>
  <c r="I71" i="5"/>
  <c r="M71" i="5" s="1"/>
  <c r="I72" i="5"/>
  <c r="M72" i="5" s="1"/>
  <c r="I73" i="5"/>
  <c r="M73" i="5" s="1"/>
  <c r="I74" i="5"/>
  <c r="M74" i="5" s="1"/>
  <c r="I75" i="5"/>
  <c r="M75" i="5" s="1"/>
  <c r="I76" i="5"/>
  <c r="M76" i="5" s="1"/>
  <c r="I77" i="5"/>
  <c r="M77" i="5" s="1"/>
  <c r="I78" i="5"/>
  <c r="M78" i="5" s="1"/>
  <c r="I79" i="5"/>
  <c r="M79" i="5" s="1"/>
  <c r="I80" i="5"/>
  <c r="M80" i="5" s="1"/>
  <c r="I81" i="5"/>
  <c r="M81" i="5" s="1"/>
  <c r="I82" i="5"/>
  <c r="M82" i="5" s="1"/>
  <c r="I83" i="5"/>
  <c r="M83" i="5" s="1"/>
  <c r="I84" i="5"/>
  <c r="M84" i="5" s="1"/>
  <c r="I85" i="5"/>
  <c r="M85" i="5" s="1"/>
  <c r="I86" i="5"/>
  <c r="M86" i="5" s="1"/>
  <c r="I87" i="5"/>
  <c r="M87" i="5" s="1"/>
  <c r="I88" i="5"/>
  <c r="M88" i="5" s="1"/>
  <c r="I89" i="5"/>
  <c r="M89" i="5" s="1"/>
  <c r="I90" i="5"/>
  <c r="M90" i="5" s="1"/>
  <c r="I91" i="5"/>
  <c r="M91" i="5" s="1"/>
  <c r="I92" i="5"/>
  <c r="M92" i="5" s="1"/>
  <c r="I93" i="5"/>
  <c r="M93" i="5" s="1"/>
  <c r="I94" i="5"/>
  <c r="M94" i="5" s="1"/>
  <c r="I95" i="5"/>
  <c r="M95" i="5" s="1"/>
  <c r="I96" i="5"/>
  <c r="M96" i="5" s="1"/>
  <c r="I97" i="5"/>
  <c r="M97" i="5" s="1"/>
  <c r="I98" i="5"/>
  <c r="M98" i="5" s="1"/>
  <c r="I99" i="5"/>
  <c r="M99" i="5" s="1"/>
  <c r="I100" i="5"/>
  <c r="M100" i="5" s="1"/>
  <c r="I101" i="5"/>
  <c r="M101" i="5" s="1"/>
  <c r="I102" i="5"/>
  <c r="M102" i="5" s="1"/>
  <c r="I103" i="5"/>
  <c r="M103" i="5" s="1"/>
  <c r="I104" i="5"/>
  <c r="M104" i="5" s="1"/>
  <c r="I105" i="5"/>
  <c r="M105" i="5" s="1"/>
  <c r="I106" i="5"/>
  <c r="M106" i="5" s="1"/>
  <c r="I107" i="5"/>
  <c r="M107" i="5" s="1"/>
  <c r="I57" i="5"/>
  <c r="M57" i="5" s="1"/>
  <c r="H7" i="5"/>
  <c r="L7" i="5" s="1"/>
  <c r="H8" i="5"/>
  <c r="L8" i="5" s="1"/>
  <c r="H9" i="5"/>
  <c r="L9" i="5" s="1"/>
  <c r="H10" i="5"/>
  <c r="L10" i="5" s="1"/>
  <c r="H11" i="5"/>
  <c r="L11" i="5" s="1"/>
  <c r="H12" i="5"/>
  <c r="L12" i="5" s="1"/>
  <c r="H13" i="5"/>
  <c r="L13" i="5" s="1"/>
  <c r="H14" i="5"/>
  <c r="L14" i="5" s="1"/>
  <c r="H15" i="5"/>
  <c r="L15" i="5" s="1"/>
  <c r="H16" i="5"/>
  <c r="L16" i="5" s="1"/>
  <c r="H17" i="5"/>
  <c r="L17" i="5" s="1"/>
  <c r="H18" i="5"/>
  <c r="L18" i="5" s="1"/>
  <c r="H19" i="5"/>
  <c r="L19" i="5" s="1"/>
  <c r="H20" i="5"/>
  <c r="L20" i="5" s="1"/>
  <c r="H21" i="5"/>
  <c r="L21" i="5" s="1"/>
  <c r="H22" i="5"/>
  <c r="L22" i="5" s="1"/>
  <c r="H23" i="5"/>
  <c r="L23" i="5" s="1"/>
  <c r="H24" i="5"/>
  <c r="L24" i="5" s="1"/>
  <c r="H25" i="5"/>
  <c r="L25" i="5" s="1"/>
  <c r="H26" i="5"/>
  <c r="L26" i="5" s="1"/>
  <c r="H27" i="5"/>
  <c r="L27" i="5" s="1"/>
  <c r="H28" i="5"/>
  <c r="L28" i="5" s="1"/>
  <c r="H29" i="5"/>
  <c r="L29" i="5" s="1"/>
  <c r="H30" i="5"/>
  <c r="L30" i="5" s="1"/>
  <c r="H31" i="5"/>
  <c r="L31" i="5" s="1"/>
  <c r="H32" i="5"/>
  <c r="L32" i="5" s="1"/>
  <c r="H33" i="5"/>
  <c r="L33" i="5" s="1"/>
  <c r="H34" i="5"/>
  <c r="L34" i="5" s="1"/>
  <c r="H35" i="5"/>
  <c r="L35" i="5" s="1"/>
  <c r="H36" i="5"/>
  <c r="L36" i="5" s="1"/>
  <c r="H37" i="5"/>
  <c r="L37" i="5" s="1"/>
  <c r="H38" i="5"/>
  <c r="L38" i="5" s="1"/>
  <c r="H39" i="5"/>
  <c r="L39" i="5" s="1"/>
  <c r="H40" i="5"/>
  <c r="L40" i="5" s="1"/>
  <c r="H41" i="5"/>
  <c r="L41" i="5" s="1"/>
  <c r="H42" i="5"/>
  <c r="L42" i="5" s="1"/>
  <c r="H43" i="5"/>
  <c r="L43" i="5" s="1"/>
  <c r="H44" i="5"/>
  <c r="L44" i="5" s="1"/>
  <c r="H45" i="5"/>
  <c r="L45" i="5" s="1"/>
  <c r="H46" i="5"/>
  <c r="L46" i="5" s="1"/>
  <c r="H47" i="5"/>
  <c r="L47" i="5" s="1"/>
  <c r="H48" i="5"/>
  <c r="L48" i="5" s="1"/>
  <c r="H49" i="5"/>
  <c r="L49" i="5" s="1"/>
  <c r="H50" i="5"/>
  <c r="L50" i="5" s="1"/>
  <c r="H51" i="5"/>
  <c r="L51" i="5" s="1"/>
  <c r="H52" i="5"/>
  <c r="L52" i="5" s="1"/>
  <c r="H53" i="5"/>
  <c r="L53" i="5" s="1"/>
  <c r="H6" i="5"/>
  <c r="L6" i="5" s="1"/>
  <c r="L55" i="5" l="1"/>
  <c r="M55" i="5"/>
  <c r="M58" i="5"/>
  <c r="M108" i="5" s="1"/>
  <c r="I108" i="5"/>
  <c r="L108" i="5"/>
  <c r="C13" i="2" l="1"/>
  <c r="C13" i="1"/>
  <c r="E13" i="2"/>
  <c r="E13" i="1" l="1"/>
  <c r="I3" i="5" l="1"/>
  <c r="H3" i="5"/>
  <c r="I129" i="5" l="1"/>
  <c r="M129" i="5" s="1"/>
  <c r="I131" i="5"/>
  <c r="M131" i="5" s="1"/>
  <c r="I115" i="5"/>
  <c r="M115" i="5" s="1"/>
  <c r="I116" i="5"/>
  <c r="M116" i="5" s="1"/>
  <c r="I124" i="5"/>
  <c r="M124" i="5" s="1"/>
  <c r="I132" i="5"/>
  <c r="M132" i="5" s="1"/>
  <c r="I140" i="5"/>
  <c r="M140" i="5" s="1"/>
  <c r="I133" i="5"/>
  <c r="M133" i="5" s="1"/>
  <c r="I125" i="5"/>
  <c r="M125" i="5" s="1"/>
  <c r="I143" i="5"/>
  <c r="M143" i="5" s="1"/>
  <c r="I118" i="5"/>
  <c r="M118" i="5" s="1"/>
  <c r="I134" i="5"/>
  <c r="M134" i="5" s="1"/>
  <c r="I111" i="5"/>
  <c r="M111" i="5" s="1"/>
  <c r="I121" i="5"/>
  <c r="M121" i="5" s="1"/>
  <c r="I141" i="5"/>
  <c r="M141" i="5" s="1"/>
  <c r="I123" i="5"/>
  <c r="M123" i="5" s="1"/>
  <c r="I120" i="5"/>
  <c r="M120" i="5" s="1"/>
  <c r="I136" i="5"/>
  <c r="M136" i="5" s="1"/>
  <c r="I146" i="5"/>
  <c r="I145" i="5"/>
  <c r="M145" i="5" s="1"/>
  <c r="I117" i="5"/>
  <c r="M117" i="5" s="1"/>
  <c r="I137" i="5"/>
  <c r="M137" i="5" s="1"/>
  <c r="I135" i="5"/>
  <c r="M135" i="5" s="1"/>
  <c r="I119" i="5"/>
  <c r="M119" i="5" s="1"/>
  <c r="I114" i="5"/>
  <c r="M114" i="5" s="1"/>
  <c r="I122" i="5"/>
  <c r="M122" i="5" s="1"/>
  <c r="I130" i="5"/>
  <c r="M130" i="5" s="1"/>
  <c r="I138" i="5"/>
  <c r="M138" i="5" s="1"/>
  <c r="K3" i="5"/>
  <c r="K146" i="5" s="1"/>
  <c r="I113" i="5"/>
  <c r="M113" i="5" s="1"/>
  <c r="I127" i="5"/>
  <c r="M127" i="5" s="1"/>
  <c r="I110" i="5"/>
  <c r="I126" i="5"/>
  <c r="M126" i="5" s="1"/>
  <c r="I142" i="5"/>
  <c r="M142" i="5" s="1"/>
  <c r="I139" i="5"/>
  <c r="M139" i="5" s="1"/>
  <c r="I112" i="5"/>
  <c r="M112" i="5" s="1"/>
  <c r="I128" i="5"/>
  <c r="M128" i="5" s="1"/>
  <c r="I144" i="5"/>
  <c r="M144" i="5" s="1"/>
  <c r="M3" i="5"/>
  <c r="H112" i="5"/>
  <c r="L112" i="5" s="1"/>
  <c r="H145" i="5"/>
  <c r="L145" i="5" s="1"/>
  <c r="H113" i="5"/>
  <c r="L113" i="5" s="1"/>
  <c r="H133" i="5"/>
  <c r="L133" i="5" s="1"/>
  <c r="H111" i="5"/>
  <c r="L111" i="5" s="1"/>
  <c r="H123" i="5"/>
  <c r="L123" i="5" s="1"/>
  <c r="H131" i="5"/>
  <c r="L131" i="5" s="1"/>
  <c r="H142" i="5"/>
  <c r="L142" i="5" s="1"/>
  <c r="H134" i="5"/>
  <c r="L134" i="5" s="1"/>
  <c r="H118" i="5"/>
  <c r="L118" i="5" s="1"/>
  <c r="H146" i="5"/>
  <c r="H135" i="5"/>
  <c r="L135" i="5" s="1"/>
  <c r="H140" i="5"/>
  <c r="L140" i="5" s="1"/>
  <c r="H124" i="5"/>
  <c r="L124" i="5" s="1"/>
  <c r="H141" i="5"/>
  <c r="L141" i="5" s="1"/>
  <c r="H129" i="5"/>
  <c r="L129" i="5" s="1"/>
  <c r="H121" i="5"/>
  <c r="L121" i="5" s="1"/>
  <c r="H130" i="5"/>
  <c r="L130" i="5" s="1"/>
  <c r="H114" i="5"/>
  <c r="L114" i="5" s="1"/>
  <c r="H119" i="5"/>
  <c r="L119" i="5" s="1"/>
  <c r="H117" i="5"/>
  <c r="L117" i="5" s="1"/>
  <c r="H139" i="5"/>
  <c r="L139" i="5" s="1"/>
  <c r="H137" i="5"/>
  <c r="L137" i="5" s="1"/>
  <c r="H115" i="5"/>
  <c r="L115" i="5" s="1"/>
  <c r="H144" i="5"/>
  <c r="L144" i="5" s="1"/>
  <c r="H136" i="5"/>
  <c r="L136" i="5" s="1"/>
  <c r="H128" i="5"/>
  <c r="L128" i="5" s="1"/>
  <c r="H120" i="5"/>
  <c r="L120" i="5" s="1"/>
  <c r="H126" i="5"/>
  <c r="L126" i="5" s="1"/>
  <c r="J3" i="5"/>
  <c r="J146" i="5" s="1"/>
  <c r="H127" i="5"/>
  <c r="L127" i="5" s="1"/>
  <c r="H110" i="5"/>
  <c r="H132" i="5"/>
  <c r="L132" i="5" s="1"/>
  <c r="H116" i="5"/>
  <c r="L116" i="5" s="1"/>
  <c r="H143" i="5"/>
  <c r="L143" i="5" s="1"/>
  <c r="H125" i="5"/>
  <c r="L125" i="5" s="1"/>
  <c r="H138" i="5"/>
  <c r="L138" i="5" s="1"/>
  <c r="H122" i="5"/>
  <c r="L122" i="5" s="1"/>
  <c r="L3" i="5"/>
  <c r="L146" i="5" l="1"/>
  <c r="I147" i="5"/>
  <c r="I148" i="5" s="1"/>
  <c r="C12" i="2" s="1"/>
  <c r="C14" i="2" s="1"/>
  <c r="K110" i="5"/>
  <c r="K147" i="5" s="1"/>
  <c r="K148" i="5" s="1"/>
  <c r="J110" i="5"/>
  <c r="J147" i="5" s="1"/>
  <c r="J148" i="5" s="1"/>
  <c r="H147" i="5"/>
  <c r="H148" i="5" s="1"/>
  <c r="C12" i="1" s="1"/>
  <c r="M146" i="5"/>
  <c r="M110" i="5" l="1"/>
  <c r="M147" i="5" s="1"/>
  <c r="M148" i="5" s="1"/>
  <c r="D12" i="2" s="1"/>
  <c r="C14" i="1"/>
  <c r="L110" i="5"/>
  <c r="L147" i="5" s="1"/>
  <c r="L148" i="5" s="1"/>
  <c r="D12" i="1" s="1"/>
  <c r="D14" i="1" l="1"/>
  <c r="E12" i="1"/>
  <c r="E14" i="1" s="1"/>
  <c r="E16" i="1" s="1"/>
  <c r="E17" i="1" s="1"/>
  <c r="E18" i="1" s="1"/>
  <c r="E12" i="2"/>
  <c r="E14" i="2" s="1"/>
  <c r="E16" i="2" s="1"/>
  <c r="E17" i="2" s="1"/>
  <c r="E18" i="2" s="1"/>
  <c r="D14" i="2"/>
</calcChain>
</file>

<file path=xl/sharedStrings.xml><?xml version="1.0" encoding="utf-8"?>
<sst xmlns="http://schemas.openxmlformats.org/spreadsheetml/2006/main" count="1173" uniqueCount="232">
  <si>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</si>
  <si>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</si>
  <si>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</si>
  <si>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</si>
  <si>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</si>
  <si>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</si>
  <si>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</si>
  <si>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</si>
  <si>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</si>
  <si>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</si>
  <si>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</si>
  <si>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</si>
  <si>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Order</t>
  </si>
  <si>
    <t>Cost Element</t>
  </si>
  <si>
    <t>Posting Date</t>
  </si>
  <si>
    <t>Val.in rep.cur.</t>
  </si>
  <si>
    <t>1180 - WUTC Filing Fees - Electric</t>
  </si>
  <si>
    <t>92800010</t>
  </si>
  <si>
    <t>63000100</t>
  </si>
  <si>
    <t/>
  </si>
  <si>
    <t>1180 - WUTC Filing Fees - Gas</t>
  </si>
  <si>
    <t>92800310</t>
  </si>
  <si>
    <t>Electric</t>
  </si>
  <si>
    <t>Gas</t>
  </si>
  <si>
    <t>Fiscal Year</t>
  </si>
  <si>
    <t>Period</t>
  </si>
  <si>
    <t>Name</t>
  </si>
  <si>
    <t>State Excise Taxes</t>
  </si>
  <si>
    <t>2015</t>
  </si>
  <si>
    <t>10</t>
  </si>
  <si>
    <t>Accrue Utility Tax on Unbilled Electric Revenue</t>
  </si>
  <si>
    <t>40810002</t>
  </si>
  <si>
    <t>State Excise Tax True-up - Electric</t>
  </si>
  <si>
    <t>State Excise Tax Accrual - Electric</t>
  </si>
  <si>
    <t>11</t>
  </si>
  <si>
    <t>12</t>
  </si>
  <si>
    <t>2016</t>
  </si>
  <si>
    <t>1</t>
  </si>
  <si>
    <t>2</t>
  </si>
  <si>
    <t>3</t>
  </si>
  <si>
    <t>4</t>
  </si>
  <si>
    <t>5</t>
  </si>
  <si>
    <t>6</t>
  </si>
  <si>
    <t>7</t>
  </si>
  <si>
    <t>8</t>
  </si>
  <si>
    <t>9</t>
  </si>
  <si>
    <t>Accrue Utility Tax on Unbilled Gas Revenue</t>
  </si>
  <si>
    <t>40810302</t>
  </si>
  <si>
    <t>State Excise Tax True-up - Gas</t>
  </si>
  <si>
    <t>State Excise Tax Accrual - Gas</t>
  </si>
  <si>
    <t>State Excise Tax True-up - Gas Correction</t>
  </si>
  <si>
    <t>Excise Taxes</t>
  </si>
  <si>
    <t>State Excise Tax True-up - Common</t>
  </si>
  <si>
    <t>40810602</t>
  </si>
  <si>
    <t>Accrue City B&amp;O Taxes</t>
  </si>
  <si>
    <t>State Excise Tax Accrual - Common</t>
  </si>
  <si>
    <t>Restating</t>
  </si>
  <si>
    <t>Test Year</t>
  </si>
  <si>
    <t>Adjustments</t>
  </si>
  <si>
    <t>Restated</t>
  </si>
  <si>
    <t>Reason for</t>
  </si>
  <si>
    <t>Adjustment</t>
  </si>
  <si>
    <t>40810002- State Excise Taxes - Electric</t>
  </si>
  <si>
    <t>Account 40810302 State Excise Taxes - Gas</t>
  </si>
  <si>
    <t>Account 40810602 State Excise Taxes - Common</t>
  </si>
  <si>
    <t>Grand Total Excise Tax</t>
  </si>
  <si>
    <t>1.  Remove True-ups related to September 2015</t>
  </si>
  <si>
    <t>WASHINGTON UTILITIES AND TRANSPORTATION COMMISSION</t>
  </si>
  <si>
    <t>INVESTOR OWNED ELECTRICAL UTILITY REGULATORY FEE SCHEDULE 1</t>
  </si>
  <si>
    <t>X</t>
  </si>
  <si>
    <t>Ln</t>
  </si>
  <si>
    <t>1.a</t>
  </si>
  <si>
    <t>Total Sales to Ultimate Customers (from WA State Electrical Annual Report, FERC Form 1, Page 300, Line 10) *</t>
  </si>
  <si>
    <t>1.b</t>
  </si>
  <si>
    <t>Check the box to the right if amount on Line 1 above includes unbilled revenue for this annual report year</t>
  </si>
  <si>
    <t>1.c</t>
  </si>
  <si>
    <t>Check the box to the right if amount on Line 1 above does not include unbilled revenue for this annual report year</t>
  </si>
  <si>
    <t>1.d</t>
  </si>
  <si>
    <t>1.e</t>
  </si>
  <si>
    <t xml:space="preserve">Add lines 1.a and 1.e and enter total </t>
  </si>
  <si>
    <t>.</t>
  </si>
  <si>
    <t>Enter total from Schedule 2</t>
  </si>
  <si>
    <t>Total Gross Intrastate Operating Revenue (add Lines 1 and 2)</t>
  </si>
  <si>
    <t>Regulatory Fee Calculations:</t>
  </si>
  <si>
    <t>4.a</t>
  </si>
  <si>
    <t>4a</t>
  </si>
  <si>
    <t>4.b</t>
  </si>
  <si>
    <t>4b</t>
  </si>
  <si>
    <t>x .001 (.1%)      =</t>
  </si>
  <si>
    <t>4.c</t>
  </si>
  <si>
    <t>4c</t>
  </si>
  <si>
    <t>4.d</t>
  </si>
  <si>
    <t>4d</t>
  </si>
  <si>
    <t>4.e</t>
  </si>
  <si>
    <t>Adjustment of Gross Intrastate Operating Revenue (subtract Line 4d from 4c)</t>
  </si>
  <si>
    <t>4e</t>
  </si>
  <si>
    <t xml:space="preserve">x .002 (.2%) = </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</si>
  <si>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</si>
  <si>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</si>
  <si>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</si>
  <si>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</si>
  <si>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</si>
  <si>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</si>
  <si>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</si>
  <si>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</si>
  <si>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</si>
  <si>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</si>
  <si>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</si>
  <si>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</si>
  <si>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</si>
  <si>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</si>
  <si>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</si>
  <si>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</si>
  <si>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</si>
  <si>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</si>
  <si>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</si>
  <si>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</si>
  <si>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</si>
  <si>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 xml:space="preserve">          (3) 447 - Electric Sales For Resale</t>
  </si>
  <si>
    <t>PUGET SOUND ENERGY</t>
  </si>
  <si>
    <t>INCOME STATEMENT DETAIL</t>
  </si>
  <si>
    <t>FERC Account Description</t>
  </si>
  <si>
    <t>1 - OPERATING REVENUES</t>
  </si>
  <si>
    <t xml:space="preserve">     2 - SALES TO CUSTOMERS</t>
  </si>
  <si>
    <t xml:space="preserve">          (2) 440 - Electric Residential Sales</t>
  </si>
  <si>
    <t xml:space="preserve">          (2) 442 - Electric Commercial &amp; Industrial Sales</t>
  </si>
  <si>
    <t xml:space="preserve">          (2) 444 - Public Street &amp; Highway Lighting</t>
  </si>
  <si>
    <t xml:space="preserve">          (2) 480 - Gas Residential Sales</t>
  </si>
  <si>
    <t xml:space="preserve">          (2) 481 - Gas Commercial &amp; Industrial Sales</t>
  </si>
  <si>
    <t xml:space="preserve">          (2) 489 - Rev From Transportation Of Gas To Others</t>
  </si>
  <si>
    <t xml:space="preserve">               (2) SUBTOTAL</t>
  </si>
  <si>
    <t xml:space="preserve">     3 - SALES FOR RESALE-FIRM</t>
  </si>
  <si>
    <t xml:space="preserve">               (3) SUBTOTAL</t>
  </si>
  <si>
    <t xml:space="preserve">     4 - SALES TO OTHER UTILITIES</t>
  </si>
  <si>
    <t xml:space="preserve">          (4) 447 - Electric Sales For Resale - Sales</t>
  </si>
  <si>
    <t xml:space="preserve">          (4) 447 - Electric Sales For Resale - Purchases</t>
  </si>
  <si>
    <t xml:space="preserve">               (4) SUBTOTAL</t>
  </si>
  <si>
    <t xml:space="preserve">     5 - OTHER OPERATING REVENUES</t>
  </si>
  <si>
    <t xml:space="preserve">          (5) 412 - Lease Inc Everett Delta to NWP - Gas</t>
  </si>
  <si>
    <t xml:space="preserve">          (5) 450 - Forfeited Discounts</t>
  </si>
  <si>
    <t xml:space="preserve">          (5) 451 - Electric Misc Service Revenue</t>
  </si>
  <si>
    <t xml:space="preserve">          (5) 454 - Rent For Electric Property</t>
  </si>
  <si>
    <t xml:space="preserve">          (5) 456 - Other Electric Revenues - Transportation</t>
  </si>
  <si>
    <t xml:space="preserve">          (5) 456 - Other Electric Revenues</t>
  </si>
  <si>
    <t xml:space="preserve">          (5) 487 - Forfeited Discounts</t>
  </si>
  <si>
    <t xml:space="preserve">          (5) 488 - Gas Misc Service Revenues</t>
  </si>
  <si>
    <t xml:space="preserve">          (5) 4894 - Gas Revenues from Storing Gas of Others</t>
  </si>
  <si>
    <t xml:space="preserve">          (5) 493 - Rent From Gas Property</t>
  </si>
  <si>
    <t xml:space="preserve">          (5) 495 - Other Gas Revenues</t>
  </si>
  <si>
    <t xml:space="preserve">               (5) SUBTOTAL</t>
  </si>
  <si>
    <t>(1) TOTAL OPERATING REVENUES</t>
  </si>
  <si>
    <t>FOR THE 12 MONTHS ENDED SEPTEMBER 30, 2016</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</si>
  <si>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</si>
  <si>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</si>
  <si>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</si>
  <si>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</si>
  <si>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</si>
  <si>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Company:  Puget Sound Energy</t>
  </si>
  <si>
    <r>
      <t xml:space="preserve">If line 3 is </t>
    </r>
    <r>
      <rPr>
        <b/>
        <sz val="11"/>
        <color theme="1"/>
        <rFont val="Calibri"/>
        <family val="2"/>
        <scheme val="minor"/>
      </rPr>
      <t>UNDER</t>
    </r>
    <r>
      <rPr>
        <sz val="11"/>
        <color theme="1"/>
        <rFont val="Calibri"/>
        <family val="2"/>
        <scheme val="minor"/>
      </rPr>
      <t xml:space="preserve"> $20,000, Enter </t>
    </r>
    <r>
      <rPr>
        <b/>
        <sz val="11"/>
        <color theme="1"/>
        <rFont val="Calibri"/>
        <family val="2"/>
        <scheme val="minor"/>
      </rPr>
      <t>ZERO</t>
    </r>
    <r>
      <rPr>
        <sz val="11"/>
        <color theme="1"/>
        <rFont val="Calibri"/>
        <family val="2"/>
        <scheme val="minor"/>
      </rPr>
      <t xml:space="preserve"> (Filing </t>
    </r>
    <r>
      <rPr>
        <b/>
        <sz val="11"/>
        <color theme="1"/>
        <rFont val="Calibri"/>
        <family val="2"/>
      </rPr>
      <t>ZERO</t>
    </r>
    <r>
      <rPr>
        <sz val="11"/>
        <color theme="1"/>
        <rFont val="Calibri"/>
        <family val="2"/>
        <scheme val="minor"/>
      </rPr>
      <t xml:space="preserve"> indicates schedule is complete)</t>
    </r>
  </si>
  <si>
    <r>
      <t xml:space="preserve">If line 3 is </t>
    </r>
    <r>
      <rPr>
        <b/>
        <sz val="11"/>
        <color theme="1"/>
        <rFont val="Calibri"/>
        <family val="2"/>
      </rPr>
      <t>BETWEEN</t>
    </r>
    <r>
      <rPr>
        <sz val="11"/>
        <color theme="1"/>
        <rFont val="Calibri"/>
        <family val="2"/>
        <scheme val="minor"/>
      </rPr>
      <t xml:space="preserve"> $20,000 and $50,000-enter amount from line 3</t>
    </r>
  </si>
  <si>
    <r>
      <t xml:space="preserve">(Filing </t>
    </r>
    <r>
      <rPr>
        <b/>
        <sz val="11"/>
        <color theme="1"/>
        <rFont val="Calibri"/>
        <family val="2"/>
      </rPr>
      <t>BETWEEN</t>
    </r>
    <r>
      <rPr>
        <sz val="11"/>
        <color theme="1"/>
        <rFont val="Calibri"/>
        <family val="2"/>
        <scheme val="minor"/>
      </rPr>
      <t xml:space="preserve"> $20,000 and $50,000 indicates schedule is complete.  If filing after May 1st go to Line 6)</t>
    </r>
  </si>
  <si>
    <r>
      <t xml:space="preserve">If line 3 is </t>
    </r>
    <r>
      <rPr>
        <b/>
        <sz val="11"/>
        <color theme="1"/>
        <rFont val="Calibri"/>
        <family val="2"/>
      </rPr>
      <t>OVER</t>
    </r>
    <r>
      <rPr>
        <sz val="11"/>
        <color theme="1"/>
        <rFont val="Calibri"/>
        <family val="2"/>
        <scheme val="minor"/>
      </rPr>
      <t xml:space="preserve"> $50,000-enter amount from line 3</t>
    </r>
  </si>
  <si>
    <r>
      <rPr>
        <b/>
        <sz val="11"/>
        <color theme="1"/>
        <rFont val="Calibri"/>
        <family val="2"/>
      </rPr>
      <t>First</t>
    </r>
    <r>
      <rPr>
        <sz val="11"/>
        <color theme="1"/>
        <rFont val="Calibri"/>
        <family val="2"/>
        <scheme val="minor"/>
      </rPr>
      <t xml:space="preserve"> $50,000 is subject to .1% regulatory fee</t>
    </r>
  </si>
  <si>
    <r>
      <t xml:space="preserve">     If box in 1.c has been checked, enter unbilled revenue amount  for </t>
    </r>
    <r>
      <rPr>
        <b/>
        <u/>
        <sz val="11"/>
        <color theme="1"/>
        <rFont val="Calibri"/>
        <family val="2"/>
      </rPr>
      <t>this annual report year</t>
    </r>
  </si>
  <si>
    <r>
      <t xml:space="preserve">     If box in 1.c has been checked, enter unbilled revenue amount  for the </t>
    </r>
    <r>
      <rPr>
        <b/>
        <u/>
        <sz val="11"/>
        <color theme="1"/>
        <rFont val="Calibri"/>
        <family val="2"/>
      </rPr>
      <t>last annual report year**</t>
    </r>
  </si>
  <si>
    <t>(see components of below)</t>
  </si>
  <si>
    <t>Components of Line 2 "Other Operating Revenue"</t>
  </si>
  <si>
    <t xml:space="preserve">               Grand Total Other Operation Revenue on Line 2 Above</t>
  </si>
  <si>
    <t xml:space="preserve">  ZO12                      Orders: Actual 12 Month Ended</t>
  </si>
  <si>
    <t xml:space="preserve">  Date:                     11/23/2016</t>
  </si>
  <si>
    <t xml:space="preserve">  Pages:                      0</t>
  </si>
  <si>
    <t xml:space="preserve">  Requested by:             NCHAR</t>
  </si>
  <si>
    <t>ORDER GROUP "456"</t>
  </si>
  <si>
    <t>Orders</t>
  </si>
  <si>
    <t>12 Months</t>
  </si>
  <si>
    <t>45600009  Other Electric Revenues - Other Misc In</t>
  </si>
  <si>
    <t>45600026  INTOLIGHT Service Revenue</t>
  </si>
  <si>
    <t>45600028  4210 DBU-Other Electric Revenues</t>
  </si>
  <si>
    <t>45600033  4001 - PCS Revenue</t>
  </si>
  <si>
    <t>45600073  3545 - Green Energy Option</t>
  </si>
  <si>
    <t>45600078  Other Elect Revenue-Maintenance Contract</t>
  </si>
  <si>
    <t>45600079  Biogas Principal Amortization UE-131276</t>
  </si>
  <si>
    <t>45600080  Othr Elect Rev - Sale of Non-Core Gas</t>
  </si>
  <si>
    <t>45600081  Othr Elect Rev - Cost Non-Core Gas sold</t>
  </si>
  <si>
    <t>45600082  Oth Elec Rev- Cedar Hills Facility Fee</t>
  </si>
  <si>
    <t>45600088  1143 - Other Electric Rev -Summit Buyout</t>
  </si>
  <si>
    <t>45600089  1143 - REC Revenue per Tariff Schedule-E</t>
  </si>
  <si>
    <t>45600091  5012 - Misc. Revenue - Ferndale Plant</t>
  </si>
  <si>
    <t>45600092  5012 - Misc. Revenue - Ferndale Plant</t>
  </si>
  <si>
    <t>45600093  5150-DEPT OF ENERGY INCENT - LWR BAKER 4</t>
  </si>
  <si>
    <t>45600160  5019 - Sumas DeMinrlzd  H2O Sale - Socco</t>
  </si>
  <si>
    <t>45600321  9900-Electric Residential Decoupling Rev</t>
  </si>
  <si>
    <t>45600322  9900 - Electric ROR Accrual-Residential</t>
  </si>
  <si>
    <t>45600323  9900-Elec NonResid Decoupl GAAP UnernRev</t>
  </si>
  <si>
    <t>45600325  Electric Schedule 26 Decoupling Revenue</t>
  </si>
  <si>
    <t>45600326  Electric Schedule 31 Decoupling Revenue</t>
  </si>
  <si>
    <t>45600328  9900 - Sch 10 &amp; 31 GAAP Unearned Rev</t>
  </si>
  <si>
    <t>45600329  9900 - Other Elec Rev - QRE Annual Fees</t>
  </si>
  <si>
    <t>45600330  9900 - Electric ROR Accrual-Industrial</t>
  </si>
  <si>
    <t>45600331  9900-Elec Non-Residential Decoupling Rev</t>
  </si>
  <si>
    <t>45600332  9900 - Electric ROR Refund-Commercial</t>
  </si>
  <si>
    <t>45600335  Amort of Sch 142 Electric Sch26 in Rates</t>
  </si>
  <si>
    <t>45600336  Amort of Sch 142 Electric Sch31 in Rates</t>
  </si>
  <si>
    <t>45600337  9900 - Electric ROR Refund-Industrial</t>
  </si>
  <si>
    <t>45600338  9900 - Electric ROR Accrual-Commercial</t>
  </si>
  <si>
    <t>45600351  9900-Lifetime O&amp;M Revenue - Elec</t>
  </si>
  <si>
    <t>45600361  9900-Amort of Sch 142 Elec Resid in rate</t>
  </si>
  <si>
    <t>45600371  9900-Amort of Sch 142 Ele NonRes in rate</t>
  </si>
  <si>
    <t>45600381  9900 - Electric ROR Refund-Residential</t>
  </si>
  <si>
    <t>Other Electric Revenues</t>
  </si>
  <si>
    <t>45606010  Other Common Revenues - Misc. Income</t>
  </si>
  <si>
    <t>Other Common Revenues</t>
  </si>
  <si>
    <t>Debit</t>
  </si>
  <si>
    <t>Over/underabsorption</t>
  </si>
  <si>
    <t xml:space="preserve">          Order group 456</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</si>
  <si>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</si>
  <si>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</si>
  <si>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</si>
  <si>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</si>
  <si>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</si>
  <si>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</si>
  <si>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</si>
  <si>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</si>
  <si>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INVESTOR OWNED GAS UTILITY REGULATORY FEE CALCULATION SCHEDULE 1</t>
  </si>
  <si>
    <t>PUGET SOUND ENERGY-ELECTRIC</t>
  </si>
  <si>
    <t>FOR THE TWELVE MONTHS ENDED SEPTEMBER 30, 2016</t>
  </si>
  <si>
    <t>2017 GENERAL RATE INCREASE</t>
  </si>
  <si>
    <t>WUTC FILING FEE &amp; EXCISE TAX</t>
  </si>
  <si>
    <t>PUGET SOUND ENERGY-GAS</t>
  </si>
  <si>
    <t>CO object name</t>
  </si>
  <si>
    <t>2.  Add True-ups related to September 2016</t>
  </si>
  <si>
    <t>&lt;= Need to Add 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</si>
</sst>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Red]\(#,##0\);&quot; &quot;"/>
  </numFmts>
  <fonts count="24" x14ac:knownFonts="1">
    <font>
      <sz val="11"/>
      <color theme="1"/>
      <name val="Calibri"/>
      <family val="2"/>
      <scheme val="minor"/>
    </font>
    <font>
      <sz val="11"/>
      <color theme="1"/>
      <name val="Calibri"/>
      <family val="2"/>
      <scheme val="minor"/>
    </font>
    <font>
      <sz val="10"/>
      <name val="Arial"/>
      <family val="2"/>
    </font>
    <font>
      <sz val="10"/>
      <name val="Times New Roman"/>
      <family val="1"/>
    </font>
    <font>
      <b/>
      <sz val="10"/>
      <name val="Times New Roman"/>
      <family val="1"/>
    </font>
    <font>
      <sz val="11"/>
      <name val="Arial"/>
      <family val="2"/>
    </font>
    <font>
      <sz val="11"/>
      <name val="Times New Roman"/>
      <family val="1"/>
    </font>
    <font>
      <sz val="10"/>
      <name val="Arial"/>
      <family val="2"/>
    </font>
    <font>
      <b/>
      <u/>
      <sz val="10"/>
      <name val="Arial"/>
      <family val="2"/>
    </font>
    <font>
      <b/>
      <u/>
      <sz val="10"/>
      <color theme="1"/>
      <name val="Arial"/>
      <family val="2"/>
    </font>
    <font>
      <b/>
      <sz val="10"/>
      <name val="Arial"/>
      <family val="2"/>
    </font>
    <font>
      <sz val="9"/>
      <name val="Arial"/>
      <family val="2"/>
    </font>
    <font>
      <b/>
      <sz val="9"/>
      <name val="Arial"/>
      <family val="2"/>
    </font>
    <font>
      <sz val="8"/>
      <name val="Arial"/>
      <family val="2"/>
    </font>
    <font>
      <sz val="7.5"/>
      <name val="Arial"/>
      <family val="2"/>
    </font>
    <font>
      <u/>
      <sz val="10"/>
      <color indexed="12"/>
      <name val="Arial"/>
      <family val="2"/>
    </font>
    <font>
      <i/>
      <sz val="9"/>
      <name val="Arial"/>
      <family val="2"/>
    </font>
    <font>
      <sz val="9"/>
      <color theme="1"/>
      <name val="Arial"/>
      <family val="2"/>
    </font>
    <font>
      <b/>
      <sz val="11"/>
      <color theme="1"/>
      <name val="Calibri"/>
      <family val="2"/>
      <scheme val="minor"/>
    </font>
    <font>
      <b/>
      <sz val="11"/>
      <color theme="1"/>
      <name val="Calibri"/>
      <family val="2"/>
    </font>
    <font>
      <b/>
      <u/>
      <sz val="11"/>
      <color theme="1"/>
      <name val="Calibri"/>
      <family val="2"/>
    </font>
    <font>
      <sz val="10"/>
      <name val="Arial"/>
      <family val="2"/>
    </font>
    <font>
      <b/>
      <sz val="10"/>
      <color rgb="FFFF0000"/>
      <name val="Arial"/>
      <family val="2"/>
    </font>
    <font>
      <sz val="11"/>
      <name val="Calibri"/>
      <family val="2"/>
      <scheme val="minor"/>
    </font>
  </fonts>
  <fills count="12">
    <fill>
      <patternFill patternType="none"/>
    </fill>
    <fill>
      <patternFill patternType="gray125"/>
    </fill>
    <fill>
      <patternFill patternType="solid">
        <fgColor rgb="FFCCFF33"/>
        <bgColor indexed="64"/>
      </patternFill>
    </fill>
    <fill>
      <patternFill patternType="solid">
        <fgColor theme="6" tint="0.79998168889431442"/>
        <bgColor indexed="64"/>
      </patternFill>
    </fill>
    <fill>
      <patternFill patternType="solid">
        <fgColor theme="0"/>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0000FF"/>
        <bgColor indexed="64"/>
      </patternFill>
    </fill>
    <fill>
      <patternFill patternType="solid">
        <fgColor indexed="22"/>
        <bgColor indexed="64"/>
      </patternFill>
    </fill>
    <fill>
      <patternFill patternType="solid">
        <fgColor rgb="FFFFC000"/>
        <bgColor indexed="64"/>
      </patternFill>
    </fill>
    <fill>
      <patternFill patternType="solid">
        <fgColor theme="9" tint="0.79998168889431442"/>
        <bgColor indexed="64"/>
      </patternFill>
    </fill>
  </fills>
  <borders count="27">
    <border>
      <left/>
      <right/>
      <top/>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1">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7" fillId="0" borderId="0"/>
    <xf numFmtId="43" fontId="7" fillId="0" borderId="0" applyFont="0" applyFill="0" applyBorder="0" applyAlignment="0" applyProtection="0"/>
    <xf numFmtId="0" fontId="2" fillId="0" borderId="0"/>
    <xf numFmtId="0" fontId="7" fillId="0" borderId="0"/>
    <xf numFmtId="44" fontId="1" fillId="0" borderId="0" applyFont="0" applyFill="0" applyBorder="0" applyAlignment="0" applyProtection="0"/>
    <xf numFmtId="44" fontId="2"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xf numFmtId="9" fontId="2" fillId="0" borderId="0" applyFont="0" applyFill="0" applyBorder="0" applyAlignment="0" applyProtection="0"/>
    <xf numFmtId="0" fontId="5" fillId="0" borderId="0"/>
    <xf numFmtId="0" fontId="5" fillId="0" borderId="0"/>
    <xf numFmtId="0" fontId="21" fillId="0" borderId="0"/>
  </cellStyleXfs>
  <cellXfs count="187">
    <xf numFmtId="0" fontId="0" fillId="0" borderId="0" xfId="0"/>
    <xf numFmtId="3" fontId="3" fillId="0" borderId="0" xfId="1" applyNumberFormat="1" applyFont="1" applyFill="1" applyBorder="1" applyAlignment="1"/>
    <xf numFmtId="41" fontId="3" fillId="0" borderId="0" xfId="0" applyNumberFormat="1" applyFont="1" applyFill="1" applyBorder="1"/>
    <xf numFmtId="0" fontId="3" fillId="0" borderId="0" xfId="0" applyFont="1" applyFill="1" applyBorder="1" applyAlignment="1"/>
    <xf numFmtId="0" fontId="5" fillId="0" borderId="0" xfId="0" applyFont="1" applyFill="1" applyBorder="1"/>
    <xf numFmtId="0" fontId="4" fillId="0" borderId="0" xfId="0" applyFont="1" applyFill="1" applyBorder="1" applyAlignment="1"/>
    <xf numFmtId="0" fontId="6" fillId="0" borderId="0" xfId="0" applyFont="1" applyFill="1" applyBorder="1"/>
    <xf numFmtId="0" fontId="4" fillId="0" borderId="1" xfId="0" applyFont="1" applyFill="1" applyBorder="1" applyAlignment="1">
      <alignment horizontal="right"/>
    </xf>
    <xf numFmtId="42" fontId="3" fillId="0" borderId="0" xfId="0" applyNumberFormat="1" applyFont="1" applyFill="1" applyBorder="1"/>
    <xf numFmtId="0" fontId="4" fillId="0" borderId="0" xfId="0" applyFont="1" applyFill="1" applyBorder="1" applyAlignment="1">
      <alignment horizontal="centerContinuous" vertical="center" wrapText="1"/>
    </xf>
    <xf numFmtId="0" fontId="4" fillId="0" borderId="0" xfId="0" applyFont="1" applyFill="1" applyBorder="1" applyAlignment="1" applyProtection="1">
      <protection locked="0"/>
    </xf>
    <xf numFmtId="0" fontId="4" fillId="0" borderId="0" xfId="0" applyFont="1" applyFill="1" applyBorder="1" applyAlignment="1">
      <alignment horizontal="center"/>
    </xf>
    <xf numFmtId="41" fontId="4" fillId="0" borderId="0" xfId="0" applyNumberFormat="1" applyFont="1" applyFill="1" applyBorder="1" applyAlignment="1">
      <alignment horizontal="center"/>
    </xf>
    <xf numFmtId="0" fontId="4" fillId="0" borderId="2" xfId="0" applyFont="1" applyFill="1" applyBorder="1" applyAlignment="1">
      <alignment horizontal="center"/>
    </xf>
    <xf numFmtId="0" fontId="4" fillId="0" borderId="2" xfId="0" applyFont="1" applyFill="1" applyBorder="1" applyAlignment="1" applyProtection="1">
      <protection locked="0"/>
    </xf>
    <xf numFmtId="41" fontId="4" fillId="0" borderId="2" xfId="0" applyNumberFormat="1"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xf>
    <xf numFmtId="0" fontId="3" fillId="0" borderId="0" xfId="2" applyNumberFormat="1" applyFont="1" applyFill="1" applyBorder="1" applyAlignment="1" applyProtection="1">
      <protection locked="0"/>
    </xf>
    <xf numFmtId="164" fontId="3" fillId="0" borderId="0" xfId="0" applyNumberFormat="1" applyFont="1" applyFill="1" applyBorder="1"/>
    <xf numFmtId="0" fontId="3" fillId="0" borderId="0" xfId="0" applyNumberFormat="1" applyFont="1" applyFill="1" applyBorder="1" applyAlignment="1" applyProtection="1">
      <protection locked="0"/>
    </xf>
    <xf numFmtId="164" fontId="3" fillId="0" borderId="2" xfId="0" applyNumberFormat="1" applyFont="1" applyFill="1" applyBorder="1"/>
    <xf numFmtId="41" fontId="3" fillId="0" borderId="0" xfId="2" applyNumberFormat="1" applyFont="1" applyFill="1" applyBorder="1" applyProtection="1">
      <protection locked="0"/>
    </xf>
    <xf numFmtId="164" fontId="6" fillId="0" borderId="0" xfId="0" applyNumberFormat="1" applyFont="1" applyFill="1" applyBorder="1"/>
    <xf numFmtId="0" fontId="3" fillId="0" borderId="0" xfId="0" applyFont="1" applyFill="1" applyBorder="1" applyAlignment="1">
      <alignment horizontal="left"/>
    </xf>
    <xf numFmtId="41" fontId="3" fillId="0" borderId="0" xfId="0" applyNumberFormat="1" applyFont="1" applyFill="1" applyBorder="1" applyAlignment="1"/>
    <xf numFmtId="0" fontId="0" fillId="0" borderId="4" xfId="0" applyFill="1" applyBorder="1" applyAlignment="1">
      <alignment vertical="top"/>
    </xf>
    <xf numFmtId="43" fontId="0" fillId="0" borderId="4" xfId="1" applyFont="1" applyFill="1" applyBorder="1" applyAlignment="1">
      <alignment vertical="top"/>
    </xf>
    <xf numFmtId="0" fontId="0" fillId="0" borderId="0" xfId="0" applyFill="1"/>
    <xf numFmtId="0" fontId="0" fillId="0" borderId="0" xfId="0" applyFill="1" applyAlignment="1">
      <alignment vertical="top"/>
    </xf>
    <xf numFmtId="14" fontId="0" fillId="0" borderId="0" xfId="0" applyNumberFormat="1" applyFill="1" applyAlignment="1">
      <alignment horizontal="right" vertical="top"/>
    </xf>
    <xf numFmtId="43" fontId="0" fillId="0" borderId="0" xfId="1" applyFont="1" applyFill="1" applyAlignment="1">
      <alignment horizontal="right" vertical="top"/>
    </xf>
    <xf numFmtId="14" fontId="0" fillId="0" borderId="4" xfId="0" applyNumberFormat="1" applyFill="1" applyBorder="1" applyAlignment="1">
      <alignment horizontal="right" vertical="top"/>
    </xf>
    <xf numFmtId="43" fontId="0" fillId="0" borderId="0" xfId="1" applyFont="1" applyFill="1" applyAlignment="1">
      <alignment vertical="top"/>
    </xf>
    <xf numFmtId="0" fontId="7" fillId="0" borderId="0" xfId="9" applyFill="1" applyBorder="1" applyAlignment="1">
      <alignment vertical="top"/>
    </xf>
    <xf numFmtId="43" fontId="0" fillId="0" borderId="0" xfId="10" applyFont="1" applyFill="1" applyBorder="1" applyAlignment="1">
      <alignment vertical="top"/>
    </xf>
    <xf numFmtId="0" fontId="10" fillId="0" borderId="0" xfId="12" applyFont="1" applyFill="1" applyBorder="1"/>
    <xf numFmtId="14" fontId="10" fillId="0" borderId="0" xfId="12" applyNumberFormat="1" applyFont="1" applyFill="1" applyBorder="1" applyAlignment="1">
      <alignment horizontal="right"/>
    </xf>
    <xf numFmtId="0" fontId="7" fillId="0" borderId="0" xfId="9" applyFill="1" applyAlignment="1">
      <alignment vertical="top"/>
    </xf>
    <xf numFmtId="43" fontId="0" fillId="0" borderId="0" xfId="10" applyFont="1" applyFill="1" applyAlignment="1">
      <alignment vertical="top"/>
    </xf>
    <xf numFmtId="43" fontId="2" fillId="0" borderId="5" xfId="1" applyFont="1" applyFill="1" applyBorder="1"/>
    <xf numFmtId="43" fontId="2" fillId="0" borderId="6" xfId="1" applyFont="1" applyFill="1" applyBorder="1"/>
    <xf numFmtId="43" fontId="2" fillId="0" borderId="5" xfId="1" applyFont="1" applyFill="1" applyBorder="1" applyAlignment="1">
      <alignment horizontal="centerContinuous"/>
    </xf>
    <xf numFmtId="43" fontId="2" fillId="0" borderId="6" xfId="1" applyFont="1" applyFill="1" applyBorder="1" applyAlignment="1">
      <alignment horizontal="centerContinuous"/>
    </xf>
    <xf numFmtId="43" fontId="2" fillId="0" borderId="5" xfId="1" applyFont="1" applyFill="1" applyBorder="1" applyAlignment="1">
      <alignment horizontal="left"/>
    </xf>
    <xf numFmtId="0" fontId="2" fillId="0" borderId="0" xfId="11" applyFont="1" applyFill="1"/>
    <xf numFmtId="43" fontId="2" fillId="0" borderId="7" xfId="1" applyFont="1" applyFill="1" applyBorder="1" applyAlignment="1">
      <alignment horizontal="centerContinuous"/>
    </xf>
    <xf numFmtId="43" fontId="2" fillId="0" borderId="8" xfId="1" applyFont="1" applyFill="1" applyBorder="1" applyAlignment="1">
      <alignment horizontal="centerContinuous"/>
    </xf>
    <xf numFmtId="0" fontId="7" fillId="0" borderId="4" xfId="9" applyFill="1" applyBorder="1" applyAlignment="1">
      <alignment vertical="top"/>
    </xf>
    <xf numFmtId="43" fontId="0" fillId="0" borderId="4" xfId="10" applyFont="1" applyFill="1" applyBorder="1" applyAlignment="1">
      <alignment vertical="top"/>
    </xf>
    <xf numFmtId="10" fontId="2" fillId="0" borderId="9" xfId="8" applyNumberFormat="1" applyFont="1" applyFill="1" applyBorder="1" applyAlignment="1">
      <alignment horizontal="center"/>
    </xf>
    <xf numFmtId="10" fontId="2" fillId="0" borderId="10" xfId="8" applyNumberFormat="1" applyFont="1" applyFill="1" applyBorder="1" applyAlignment="1">
      <alignment horizontal="center"/>
    </xf>
    <xf numFmtId="0" fontId="8" fillId="0" borderId="0" xfId="12" applyFont="1" applyFill="1"/>
    <xf numFmtId="0" fontId="2" fillId="0" borderId="0" xfId="12" applyFont="1" applyFill="1"/>
    <xf numFmtId="14" fontId="7" fillId="0" borderId="0" xfId="9" applyNumberFormat="1" applyFill="1" applyAlignment="1">
      <alignment horizontal="right" vertical="top"/>
    </xf>
    <xf numFmtId="43" fontId="0" fillId="0" borderId="0" xfId="10" applyFont="1" applyFill="1" applyAlignment="1">
      <alignment horizontal="right" vertical="top"/>
    </xf>
    <xf numFmtId="0" fontId="9" fillId="0" borderId="0" xfId="0" applyFont="1" applyFill="1"/>
    <xf numFmtId="0" fontId="10" fillId="0" borderId="0" xfId="12" applyFont="1" applyFill="1"/>
    <xf numFmtId="10" fontId="2" fillId="0" borderId="12" xfId="8" applyNumberFormat="1" applyFont="1" applyFill="1" applyBorder="1" applyAlignment="1">
      <alignment horizontal="center"/>
    </xf>
    <xf numFmtId="43" fontId="2" fillId="0" borderId="0" xfId="1" applyFont="1" applyFill="1" applyBorder="1" applyAlignment="1">
      <alignment horizontal="center"/>
    </xf>
    <xf numFmtId="0" fontId="2" fillId="0" borderId="13" xfId="11" applyFont="1" applyFill="1" applyBorder="1" applyAlignment="1">
      <alignment horizontal="center"/>
    </xf>
    <xf numFmtId="43" fontId="2" fillId="0" borderId="14" xfId="1" applyFont="1" applyFill="1" applyBorder="1" applyAlignment="1">
      <alignment horizontal="center"/>
    </xf>
    <xf numFmtId="43" fontId="7" fillId="0" borderId="15" xfId="9" applyNumberFormat="1" applyFill="1" applyBorder="1" applyAlignment="1">
      <alignment vertical="top"/>
    </xf>
    <xf numFmtId="0" fontId="7" fillId="0" borderId="11" xfId="9" applyFill="1" applyBorder="1" applyAlignment="1">
      <alignment vertical="top"/>
    </xf>
    <xf numFmtId="0" fontId="7" fillId="0" borderId="15" xfId="9" applyFill="1" applyBorder="1" applyAlignment="1">
      <alignment vertical="top"/>
    </xf>
    <xf numFmtId="0" fontId="0" fillId="0" borderId="11" xfId="0" applyFill="1" applyBorder="1"/>
    <xf numFmtId="0" fontId="0" fillId="0" borderId="15" xfId="0" applyFill="1" applyBorder="1"/>
    <xf numFmtId="43" fontId="0" fillId="0" borderId="11" xfId="0" applyNumberFormat="1" applyFill="1" applyBorder="1"/>
    <xf numFmtId="43" fontId="0" fillId="0" borderId="15" xfId="1" applyFont="1" applyFill="1" applyBorder="1"/>
    <xf numFmtId="43" fontId="0" fillId="0" borderId="11" xfId="1" applyFont="1" applyFill="1" applyBorder="1"/>
    <xf numFmtId="10" fontId="2" fillId="0" borderId="4" xfId="8" applyNumberFormat="1" applyFont="1" applyFill="1" applyBorder="1" applyAlignment="1">
      <alignment horizontal="center"/>
    </xf>
    <xf numFmtId="0" fontId="7" fillId="3" borderId="4" xfId="9" applyFill="1" applyBorder="1" applyAlignment="1">
      <alignment vertical="top"/>
    </xf>
    <xf numFmtId="14" fontId="7" fillId="3" borderId="4" xfId="9" applyNumberFormat="1" applyFill="1" applyBorder="1" applyAlignment="1">
      <alignment horizontal="right" vertical="top"/>
    </xf>
    <xf numFmtId="43" fontId="0" fillId="3" borderId="9" xfId="10" applyFont="1" applyFill="1" applyBorder="1" applyAlignment="1">
      <alignment horizontal="right" vertical="top"/>
    </xf>
    <xf numFmtId="43" fontId="0" fillId="3" borderId="4" xfId="10" applyFont="1" applyFill="1" applyBorder="1" applyAlignment="1">
      <alignment horizontal="right" vertical="top"/>
    </xf>
    <xf numFmtId="43" fontId="0" fillId="3" borderId="10" xfId="10" applyFont="1" applyFill="1" applyBorder="1" applyAlignment="1">
      <alignment horizontal="right" vertical="top"/>
    </xf>
    <xf numFmtId="43" fontId="7" fillId="0" borderId="15" xfId="1" applyFont="1" applyFill="1" applyBorder="1" applyAlignment="1">
      <alignment vertical="top"/>
    </xf>
    <xf numFmtId="43" fontId="7" fillId="0" borderId="11" xfId="1" applyFont="1" applyFill="1" applyBorder="1" applyAlignment="1">
      <alignment vertical="top"/>
    </xf>
    <xf numFmtId="43" fontId="0" fillId="0" borderId="15" xfId="0" applyNumberFormat="1" applyFill="1" applyBorder="1"/>
    <xf numFmtId="43" fontId="7" fillId="0" borderId="11" xfId="9" applyNumberFormat="1" applyFill="1" applyBorder="1" applyAlignment="1">
      <alignment vertical="top"/>
    </xf>
    <xf numFmtId="43" fontId="2" fillId="0" borderId="5" xfId="1" applyFont="1" applyFill="1" applyBorder="1" applyAlignment="1">
      <alignment horizontal="center"/>
    </xf>
    <xf numFmtId="43" fontId="2" fillId="0" borderId="6" xfId="1" applyFont="1" applyFill="1" applyBorder="1" applyAlignment="1">
      <alignment horizontal="center"/>
    </xf>
    <xf numFmtId="43" fontId="2" fillId="0" borderId="15" xfId="1" applyFont="1" applyFill="1" applyBorder="1" applyAlignment="1">
      <alignment horizontal="center"/>
    </xf>
    <xf numFmtId="43" fontId="2" fillId="0" borderId="11" xfId="1" applyFont="1" applyFill="1" applyBorder="1" applyAlignment="1">
      <alignment horizontal="center"/>
    </xf>
    <xf numFmtId="43" fontId="2" fillId="0" borderId="13" xfId="1" applyFont="1" applyFill="1" applyBorder="1" applyAlignment="1">
      <alignment horizontal="center"/>
    </xf>
    <xf numFmtId="0" fontId="11" fillId="4" borderId="0" xfId="3" applyFont="1" applyFill="1" applyAlignment="1">
      <alignment horizontal="right"/>
    </xf>
    <xf numFmtId="165" fontId="11" fillId="4" borderId="16" xfId="3" applyNumberFormat="1" applyFont="1" applyFill="1" applyBorder="1"/>
    <xf numFmtId="165" fontId="11" fillId="4" borderId="14" xfId="3" applyNumberFormat="1" applyFont="1" applyFill="1" applyBorder="1"/>
    <xf numFmtId="0" fontId="11" fillId="5" borderId="9" xfId="3" applyFont="1" applyFill="1" applyBorder="1"/>
    <xf numFmtId="165" fontId="11" fillId="4" borderId="4" xfId="3" applyNumberFormat="1" applyFont="1" applyFill="1" applyBorder="1" applyAlignment="1">
      <alignment horizontal="center"/>
    </xf>
    <xf numFmtId="165" fontId="11" fillId="4" borderId="4" xfId="3" applyNumberFormat="1" applyFont="1" applyFill="1" applyBorder="1"/>
    <xf numFmtId="0" fontId="11" fillId="4" borderId="9" xfId="3" applyFont="1" applyFill="1" applyBorder="1"/>
    <xf numFmtId="44" fontId="11" fillId="4" borderId="4" xfId="3" applyNumberFormat="1" applyFont="1" applyFill="1" applyBorder="1"/>
    <xf numFmtId="0" fontId="13" fillId="4" borderId="4" xfId="3" applyFont="1" applyFill="1" applyBorder="1" applyAlignment="1">
      <alignment horizontal="center"/>
    </xf>
    <xf numFmtId="0" fontId="14" fillId="4" borderId="4" xfId="3" applyFont="1" applyFill="1" applyBorder="1" applyAlignment="1">
      <alignment horizontal="center"/>
    </xf>
    <xf numFmtId="166" fontId="11" fillId="0" borderId="2" xfId="18" applyNumberFormat="1" applyFont="1" applyBorder="1" applyAlignment="1">
      <alignment horizontal="left"/>
    </xf>
    <xf numFmtId="0" fontId="10" fillId="0" borderId="0" xfId="0" applyFont="1" applyFill="1" applyAlignment="1"/>
    <xf numFmtId="43" fontId="12" fillId="0" borderId="2" xfId="1" applyFont="1" applyFill="1" applyBorder="1" applyAlignment="1">
      <alignment horizontal="center"/>
    </xf>
    <xf numFmtId="164" fontId="12" fillId="0" borderId="2" xfId="1" applyNumberFormat="1" applyFont="1" applyFill="1" applyBorder="1" applyAlignment="1">
      <alignment horizontal="center"/>
    </xf>
    <xf numFmtId="166" fontId="12" fillId="0" borderId="0" xfId="19" applyNumberFormat="1" applyFont="1" applyAlignment="1">
      <alignment horizontal="left"/>
    </xf>
    <xf numFmtId="164" fontId="13" fillId="0" borderId="0" xfId="1" applyNumberFormat="1" applyFont="1" applyAlignment="1">
      <alignment horizontal="right"/>
    </xf>
    <xf numFmtId="166" fontId="16" fillId="0" borderId="0" xfId="19" applyNumberFormat="1" applyFont="1" applyAlignment="1">
      <alignment horizontal="left"/>
    </xf>
    <xf numFmtId="43" fontId="13" fillId="0" borderId="0" xfId="1" applyFont="1" applyAlignment="1">
      <alignment horizontal="right"/>
    </xf>
    <xf numFmtId="166" fontId="11" fillId="0" borderId="0" xfId="18" applyNumberFormat="1" applyFont="1" applyBorder="1" applyAlignment="1">
      <alignment horizontal="left"/>
    </xf>
    <xf numFmtId="164" fontId="17" fillId="0" borderId="0" xfId="1" applyNumberFormat="1" applyFont="1" applyAlignment="1">
      <alignment horizontal="right"/>
    </xf>
    <xf numFmtId="166" fontId="11" fillId="0" borderId="0" xfId="18" applyNumberFormat="1" applyFont="1" applyAlignment="1">
      <alignment horizontal="left"/>
    </xf>
    <xf numFmtId="164" fontId="17" fillId="0" borderId="17" xfId="1" applyNumberFormat="1" applyFont="1" applyBorder="1" applyAlignment="1">
      <alignment horizontal="right"/>
    </xf>
    <xf numFmtId="166" fontId="16" fillId="0" borderId="0" xfId="18" applyNumberFormat="1" applyFont="1" applyAlignment="1">
      <alignment horizontal="left"/>
    </xf>
    <xf numFmtId="166" fontId="11" fillId="0" borderId="12" xfId="18" applyNumberFormat="1" applyFont="1" applyBorder="1" applyAlignment="1">
      <alignment horizontal="left"/>
    </xf>
    <xf numFmtId="166" fontId="12" fillId="0" borderId="3" xfId="18" applyNumberFormat="1" applyFont="1" applyBorder="1" applyAlignment="1">
      <alignment horizontal="left"/>
    </xf>
    <xf numFmtId="164" fontId="12" fillId="0" borderId="3" xfId="1" applyNumberFormat="1" applyFont="1" applyFill="1" applyBorder="1" applyAlignment="1">
      <alignment horizontal="right"/>
    </xf>
    <xf numFmtId="0" fontId="11" fillId="0" borderId="0" xfId="18" applyFont="1"/>
    <xf numFmtId="164" fontId="17" fillId="0" borderId="17" xfId="1" applyNumberFormat="1" applyFont="1" applyFill="1" applyBorder="1" applyAlignment="1">
      <alignment horizontal="right"/>
    </xf>
    <xf numFmtId="0" fontId="0" fillId="0" borderId="0" xfId="0" applyAlignment="1">
      <alignment wrapText="1"/>
    </xf>
    <xf numFmtId="0" fontId="0" fillId="0" borderId="0" xfId="0" applyAlignment="1">
      <alignment horizontal="right"/>
    </xf>
    <xf numFmtId="0" fontId="0" fillId="0" borderId="0" xfId="0" applyAlignment="1">
      <alignment horizontal="center"/>
    </xf>
    <xf numFmtId="0" fontId="0" fillId="0" borderId="0" xfId="0" applyAlignment="1"/>
    <xf numFmtId="0" fontId="0" fillId="0" borderId="0" xfId="0" applyAlignment="1">
      <alignment horizontal="left"/>
    </xf>
    <xf numFmtId="0" fontId="18" fillId="6" borderId="0" xfId="0" applyFont="1" applyFill="1" applyAlignment="1">
      <alignment horizontal="centerContinuous"/>
    </xf>
    <xf numFmtId="0" fontId="0" fillId="6" borderId="0" xfId="0" applyFill="1" applyAlignment="1">
      <alignment horizontal="centerContinuous"/>
    </xf>
    <xf numFmtId="0" fontId="18" fillId="0" borderId="0" xfId="0" applyFont="1"/>
    <xf numFmtId="0" fontId="0" fillId="7" borderId="0" xfId="0" applyFill="1"/>
    <xf numFmtId="43" fontId="0" fillId="0" borderId="0" xfId="1" applyFont="1"/>
    <xf numFmtId="0" fontId="0" fillId="8" borderId="0" xfId="0" applyFill="1" applyAlignment="1">
      <alignment horizontal="right"/>
    </xf>
    <xf numFmtId="0" fontId="0" fillId="8" borderId="0" xfId="0" applyFill="1"/>
    <xf numFmtId="164" fontId="0" fillId="0" borderId="0" xfId="1" applyNumberFormat="1" applyFont="1"/>
    <xf numFmtId="43" fontId="18" fillId="0" borderId="0" xfId="1" applyFont="1"/>
    <xf numFmtId="164" fontId="17" fillId="0" borderId="0" xfId="1" applyNumberFormat="1" applyFont="1" applyFill="1" applyAlignment="1">
      <alignment horizontal="right"/>
    </xf>
    <xf numFmtId="164" fontId="17" fillId="2" borderId="0" xfId="1" applyNumberFormat="1" applyFont="1" applyFill="1" applyAlignment="1">
      <alignment horizontal="right"/>
    </xf>
    <xf numFmtId="0" fontId="0" fillId="0" borderId="0" xfId="0" applyBorder="1"/>
    <xf numFmtId="164" fontId="0" fillId="0" borderId="3" xfId="0" applyNumberFormat="1" applyBorder="1"/>
    <xf numFmtId="164" fontId="17" fillId="2" borderId="17" xfId="1" applyNumberFormat="1" applyFont="1" applyFill="1" applyBorder="1" applyAlignment="1">
      <alignment horizontal="right"/>
    </xf>
    <xf numFmtId="0" fontId="0" fillId="2" borderId="0" xfId="0" applyFill="1"/>
    <xf numFmtId="164" fontId="0" fillId="2" borderId="0" xfId="1" applyNumberFormat="1" applyFont="1" applyFill="1"/>
    <xf numFmtId="166" fontId="11" fillId="0" borderId="0" xfId="18" applyNumberFormat="1" applyFont="1" applyFill="1" applyAlignment="1">
      <alignment horizontal="left"/>
    </xf>
    <xf numFmtId="41" fontId="3" fillId="0" borderId="2" xfId="0" applyNumberFormat="1" applyFont="1" applyFill="1" applyBorder="1"/>
    <xf numFmtId="165" fontId="11" fillId="0" borderId="16" xfId="3" applyNumberFormat="1" applyFont="1" applyFill="1" applyBorder="1"/>
    <xf numFmtId="43" fontId="2" fillId="0" borderId="18" xfId="1" applyFont="1" applyFill="1" applyBorder="1" applyAlignment="1">
      <alignment horizontal="center"/>
    </xf>
    <xf numFmtId="0" fontId="7" fillId="0" borderId="18" xfId="9" applyFill="1" applyBorder="1" applyAlignment="1">
      <alignment vertical="top"/>
    </xf>
    <xf numFmtId="0" fontId="7" fillId="0" borderId="18" xfId="9" applyFill="1" applyBorder="1" applyAlignment="1">
      <alignment horizontal="center" vertical="top"/>
    </xf>
    <xf numFmtId="0" fontId="7" fillId="0" borderId="14" xfId="9" applyFill="1" applyBorder="1" applyAlignment="1">
      <alignment vertical="top"/>
    </xf>
    <xf numFmtId="3" fontId="4" fillId="0" borderId="0" xfId="1" applyNumberFormat="1" applyFont="1" applyFill="1" applyBorder="1" applyAlignment="1">
      <alignment horizontal="centerContinuous"/>
    </xf>
    <xf numFmtId="3" fontId="3" fillId="0" borderId="0" xfId="1" applyNumberFormat="1" applyFont="1" applyFill="1" applyBorder="1" applyAlignment="1">
      <alignment horizontal="centerContinuous"/>
    </xf>
    <xf numFmtId="41" fontId="3" fillId="0" borderId="0" xfId="0" applyNumberFormat="1" applyFont="1" applyFill="1" applyBorder="1" applyAlignment="1">
      <alignment horizontal="centerContinuous"/>
    </xf>
    <xf numFmtId="0" fontId="3" fillId="0" borderId="0" xfId="0" applyFont="1" applyFill="1" applyBorder="1" applyAlignment="1">
      <alignment horizontal="centerContinuous"/>
    </xf>
    <xf numFmtId="0" fontId="4" fillId="0" borderId="0" xfId="0" applyFont="1" applyFill="1" applyBorder="1" applyAlignment="1">
      <alignment horizontal="centerContinuous"/>
    </xf>
    <xf numFmtId="0" fontId="6" fillId="0" borderId="0" xfId="0" applyFont="1" applyFill="1" applyBorder="1" applyAlignment="1">
      <alignment horizontal="centerContinuous"/>
    </xf>
    <xf numFmtId="0" fontId="0" fillId="0" borderId="0" xfId="0" applyAlignment="1">
      <alignment horizontal="centerContinuous"/>
    </xf>
    <xf numFmtId="42" fontId="3" fillId="0" borderId="0" xfId="0" applyNumberFormat="1" applyFont="1" applyFill="1" applyBorder="1" applyAlignment="1">
      <alignment horizontal="centerContinuous"/>
    </xf>
    <xf numFmtId="0" fontId="5" fillId="0" borderId="0" xfId="0" applyFont="1" applyFill="1" applyBorder="1" applyAlignment="1">
      <alignment horizontal="centerContinuous"/>
    </xf>
    <xf numFmtId="0" fontId="21" fillId="0" borderId="0" xfId="20" applyAlignment="1">
      <alignment vertical="top"/>
    </xf>
    <xf numFmtId="0" fontId="21" fillId="9" borderId="13" xfId="20" applyFill="1" applyBorder="1" applyAlignment="1">
      <alignment vertical="top"/>
    </xf>
    <xf numFmtId="0" fontId="21" fillId="0" borderId="19" xfId="20" applyBorder="1" applyAlignment="1">
      <alignment vertical="top"/>
    </xf>
    <xf numFmtId="0" fontId="21" fillId="0" borderId="20" xfId="20" applyBorder="1" applyAlignment="1">
      <alignment vertical="top"/>
    </xf>
    <xf numFmtId="14" fontId="21" fillId="0" borderId="20" xfId="20" applyNumberFormat="1" applyBorder="1" applyAlignment="1">
      <alignment horizontal="right" vertical="top"/>
    </xf>
    <xf numFmtId="43" fontId="21" fillId="0" borderId="21" xfId="1" applyFont="1" applyBorder="1" applyAlignment="1">
      <alignment horizontal="right" vertical="top"/>
    </xf>
    <xf numFmtId="0" fontId="21" fillId="0" borderId="22" xfId="20" applyBorder="1" applyAlignment="1">
      <alignment vertical="top"/>
    </xf>
    <xf numFmtId="0" fontId="21" fillId="0" borderId="0" xfId="20" applyBorder="1" applyAlignment="1">
      <alignment vertical="top"/>
    </xf>
    <xf numFmtId="14" fontId="21" fillId="0" borderId="0" xfId="20" applyNumberFormat="1" applyBorder="1" applyAlignment="1">
      <alignment horizontal="right" vertical="top"/>
    </xf>
    <xf numFmtId="43" fontId="21" fillId="0" borderId="23" xfId="1" applyFont="1" applyBorder="1" applyAlignment="1">
      <alignment horizontal="right" vertical="top"/>
    </xf>
    <xf numFmtId="0" fontId="21" fillId="0" borderId="24" xfId="20" applyBorder="1" applyAlignment="1">
      <alignment vertical="top"/>
    </xf>
    <xf numFmtId="0" fontId="21" fillId="0" borderId="25" xfId="20" applyBorder="1" applyAlignment="1">
      <alignment vertical="top"/>
    </xf>
    <xf numFmtId="14" fontId="21" fillId="0" borderId="25" xfId="20" applyNumberFormat="1" applyBorder="1" applyAlignment="1">
      <alignment horizontal="right" vertical="top"/>
    </xf>
    <xf numFmtId="43" fontId="21" fillId="0" borderId="26" xfId="1" applyFont="1" applyBorder="1" applyAlignment="1">
      <alignment horizontal="right" vertical="top"/>
    </xf>
    <xf numFmtId="0" fontId="21" fillId="10" borderId="20" xfId="20" applyFill="1" applyBorder="1" applyAlignment="1">
      <alignment vertical="top"/>
    </xf>
    <xf numFmtId="0" fontId="21" fillId="10" borderId="0" xfId="20" applyFill="1" applyBorder="1" applyAlignment="1">
      <alignment vertical="top"/>
    </xf>
    <xf numFmtId="0" fontId="21" fillId="10" borderId="22" xfId="20" applyFill="1" applyBorder="1" applyAlignment="1">
      <alignment vertical="top"/>
    </xf>
    <xf numFmtId="14" fontId="21" fillId="10" borderId="0" xfId="20" applyNumberFormat="1" applyFill="1" applyBorder="1" applyAlignment="1">
      <alignment horizontal="right" vertical="top"/>
    </xf>
    <xf numFmtId="43" fontId="21" fillId="10" borderId="23" xfId="1" applyFont="1" applyFill="1" applyBorder="1" applyAlignment="1">
      <alignment horizontal="right" vertical="top"/>
    </xf>
    <xf numFmtId="0" fontId="21" fillId="10" borderId="19" xfId="20" applyFill="1" applyBorder="1" applyAlignment="1">
      <alignment vertical="top"/>
    </xf>
    <xf numFmtId="14" fontId="21" fillId="10" borderId="20" xfId="20" applyNumberFormat="1" applyFill="1" applyBorder="1" applyAlignment="1">
      <alignment horizontal="right" vertical="top"/>
    </xf>
    <xf numFmtId="43" fontId="21" fillId="10" borderId="21" xfId="1" applyFont="1" applyFill="1" applyBorder="1" applyAlignment="1">
      <alignment horizontal="right" vertical="top"/>
    </xf>
    <xf numFmtId="0" fontId="22" fillId="0" borderId="0" xfId="20" applyFont="1" applyAlignment="1">
      <alignment vertical="top"/>
    </xf>
    <xf numFmtId="43" fontId="0" fillId="0" borderId="4" xfId="1" applyFont="1" applyFill="1" applyBorder="1" applyAlignment="1">
      <alignment horizontal="right" vertical="top"/>
    </xf>
    <xf numFmtId="42" fontId="11" fillId="11" borderId="4" xfId="3" applyNumberFormat="1" applyFont="1" applyFill="1" applyBorder="1" applyProtection="1">
      <protection locked="0"/>
    </xf>
    <xf numFmtId="0" fontId="11" fillId="11" borderId="4" xfId="3" applyFont="1" applyFill="1" applyBorder="1" applyAlignment="1" applyProtection="1">
      <alignment horizontal="center"/>
      <protection locked="0"/>
    </xf>
    <xf numFmtId="1" fontId="11" fillId="11" borderId="4" xfId="3" applyNumberFormat="1" applyFont="1" applyFill="1" applyBorder="1" applyProtection="1">
      <protection locked="0"/>
    </xf>
    <xf numFmtId="44" fontId="11" fillId="11" borderId="4" xfId="3" applyNumberFormat="1" applyFont="1" applyFill="1" applyBorder="1" applyProtection="1">
      <protection locked="0"/>
    </xf>
    <xf numFmtId="165" fontId="11" fillId="2" borderId="16" xfId="3" applyNumberFormat="1" applyFont="1" applyFill="1" applyBorder="1"/>
    <xf numFmtId="0" fontId="21" fillId="0" borderId="14" xfId="20" applyFill="1" applyBorder="1" applyAlignment="1">
      <alignment vertical="top"/>
    </xf>
    <xf numFmtId="14" fontId="21" fillId="0" borderId="14" xfId="20" applyNumberFormat="1" applyFill="1" applyBorder="1" applyAlignment="1">
      <alignment horizontal="right" vertical="top"/>
    </xf>
    <xf numFmtId="2" fontId="21" fillId="0" borderId="14" xfId="20" applyNumberFormat="1" applyFill="1" applyBorder="1" applyAlignment="1">
      <alignment horizontal="right" vertical="top"/>
    </xf>
    <xf numFmtId="0" fontId="21" fillId="0" borderId="0" xfId="20" applyFill="1" applyAlignment="1">
      <alignment vertical="top"/>
    </xf>
    <xf numFmtId="0" fontId="23" fillId="0" borderId="0" xfId="0" applyFont="1"/>
    <xf numFmtId="9" fontId="3" fillId="0" borderId="0" xfId="0" applyNumberFormat="1" applyFont="1" applyFill="1" applyBorder="1" applyAlignment="1">
      <alignment horizontal="center"/>
    </xf>
    <xf numFmtId="41" fontId="3" fillId="0" borderId="0" xfId="0" applyNumberFormat="1" applyFont="1" applyFill="1" applyBorder="1" applyAlignment="1" applyProtection="1">
      <protection locked="0"/>
    </xf>
    <xf numFmtId="42" fontId="3" fillId="0" borderId="3" xfId="0" applyNumberFormat="1" applyFont="1" applyFill="1" applyBorder="1" applyAlignment="1"/>
  </cellXfs>
  <cellStyles count="21">
    <cellStyle name="Comma" xfId="1" builtinId="3"/>
    <cellStyle name="Comma 15" xfId="6"/>
    <cellStyle name="Comma 2" xfId="10"/>
    <cellStyle name="Currency" xfId="2" builtinId="4"/>
    <cellStyle name="Currency 12" xfId="5"/>
    <cellStyle name="Currency 2" xfId="14"/>
    <cellStyle name="Currency 5" xfId="13"/>
    <cellStyle name="Hyperlink 2" xfId="15"/>
    <cellStyle name="Normal" xfId="0" builtinId="0"/>
    <cellStyle name="Normal 2" xfId="9"/>
    <cellStyle name="Normal 2 2" xfId="3"/>
    <cellStyle name="Normal 3" xfId="16"/>
    <cellStyle name="Normal 4" xfId="20"/>
    <cellStyle name="Normal 48" xfId="12"/>
    <cellStyle name="Normal 50" xfId="4"/>
    <cellStyle name="Normal_Detail" xfId="18"/>
    <cellStyle name="Normal_Excise Taxes - TY Activity in Orders" xfId="11"/>
    <cellStyle name="Normal_UIP Detail 12ME0311" xfId="19"/>
    <cellStyle name="Percent" xfId="8" builtinId="5"/>
    <cellStyle name="Percent 2" xfId="17"/>
    <cellStyle name="Percent 9" xfId="7"/>
  </cellStyles>
  <dxfs count="0"/>
  <tableStyles count="0" defaultTableStyle="TableStyleMedium2" defaultPivotStyle="PivotStyleLight16"/>
  <colors>
    <mruColors>
      <color rgb="FF0000FF"/>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05E%20&amp;%205.05G%20Allocation%20Method%2017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4 &amp; 4.04 Lead"/>
      <sheetName val="Meter count"/>
      <sheetName val="E &amp; G RB"/>
      <sheetName val="2016 Sept IS "/>
      <sheetName val="SAP DL Downld"/>
      <sheetName val="12ME Sept 16 ZRW_DLF1"/>
      <sheetName val="Electric"/>
      <sheetName val="Gas"/>
      <sheetName val="Pg 6a CustCount_Electric"/>
      <sheetName val="Pg 6b CustCount_Gas"/>
    </sheetNames>
    <sheetDataSet>
      <sheetData sheetId="0">
        <row r="35">
          <cell r="E35">
            <v>0.67179999999999995</v>
          </cell>
          <cell r="F35">
            <v>0.32819999999999999</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abSelected="1" workbookViewId="0">
      <selection activeCell="C12" sqref="C12"/>
    </sheetView>
  </sheetViews>
  <sheetFormatPr defaultRowHeight="14.4" x14ac:dyDescent="0.3"/>
  <cols>
    <col min="2" max="2" width="47.109375" bestFit="1" customWidth="1"/>
    <col min="3" max="3" width="11.6640625" bestFit="1" customWidth="1"/>
    <col min="4" max="4" width="14.33203125" bestFit="1" customWidth="1"/>
    <col min="5" max="5" width="13.5546875" bestFit="1" customWidth="1"/>
  </cols>
  <sheetData>
    <row r="1" spans="1:6" ht="15.6" thickTop="1" thickBot="1" x14ac:dyDescent="0.35">
      <c r="A1" s="1"/>
      <c r="B1" s="1"/>
      <c r="C1" s="2"/>
      <c r="D1" s="3"/>
      <c r="E1" s="7">
        <v>8.23</v>
      </c>
      <c r="F1" s="4"/>
    </row>
    <row r="2" spans="1:6" ht="15" thickTop="1" x14ac:dyDescent="0.3">
      <c r="A2" s="141" t="s">
        <v>224</v>
      </c>
      <c r="B2" s="142"/>
      <c r="C2" s="143"/>
      <c r="D2" s="144"/>
      <c r="E2" s="145"/>
      <c r="F2" s="4"/>
    </row>
    <row r="3" spans="1:6" x14ac:dyDescent="0.3">
      <c r="A3" s="145" t="s">
        <v>227</v>
      </c>
      <c r="B3" s="145"/>
      <c r="C3" s="143"/>
      <c r="D3" s="146"/>
      <c r="E3" s="147"/>
      <c r="F3" s="4"/>
    </row>
    <row r="4" spans="1:6" x14ac:dyDescent="0.3">
      <c r="A4" s="141" t="s">
        <v>225</v>
      </c>
      <c r="B4" s="142"/>
      <c r="C4" s="148"/>
      <c r="D4" s="149"/>
      <c r="E4" s="149"/>
      <c r="F4" s="4"/>
    </row>
    <row r="5" spans="1:6" x14ac:dyDescent="0.3">
      <c r="A5" s="141" t="s">
        <v>226</v>
      </c>
      <c r="B5" s="9"/>
      <c r="C5" s="148"/>
      <c r="D5" s="149"/>
      <c r="E5" s="149"/>
      <c r="F5" s="4"/>
    </row>
    <row r="6" spans="1:6" x14ac:dyDescent="0.3">
      <c r="A6" s="1"/>
      <c r="B6" s="9"/>
      <c r="C6" s="8"/>
      <c r="D6" s="4"/>
      <c r="E6" s="4"/>
      <c r="F6" s="4"/>
    </row>
    <row r="7" spans="1:6" x14ac:dyDescent="0.3">
      <c r="A7" s="1"/>
      <c r="B7" s="9"/>
      <c r="C7" s="8"/>
      <c r="D7" s="4"/>
      <c r="E7" s="4"/>
      <c r="F7" s="4"/>
    </row>
    <row r="8" spans="1:6" x14ac:dyDescent="0.3">
      <c r="A8" s="5"/>
      <c r="B8" s="10"/>
      <c r="C8" s="2"/>
      <c r="D8" s="6"/>
      <c r="E8" s="6"/>
      <c r="F8" s="4"/>
    </row>
    <row r="9" spans="1:6" x14ac:dyDescent="0.3">
      <c r="A9" s="11" t="s">
        <v>0</v>
      </c>
      <c r="B9" s="5"/>
      <c r="C9" s="12"/>
      <c r="D9" s="6"/>
      <c r="E9" s="6"/>
      <c r="F9" s="4"/>
    </row>
    <row r="10" spans="1:6" x14ac:dyDescent="0.3">
      <c r="A10" s="13" t="s">
        <v>1</v>
      </c>
      <c r="B10" s="14" t="s">
        <v>2</v>
      </c>
      <c r="C10" s="15" t="s">
        <v>3</v>
      </c>
      <c r="D10" s="13" t="s">
        <v>4</v>
      </c>
      <c r="E10" s="13" t="s">
        <v>5</v>
      </c>
      <c r="F10" s="4"/>
    </row>
    <row r="11" spans="1:6" x14ac:dyDescent="0.3">
      <c r="A11" s="3"/>
      <c r="B11" s="3"/>
      <c r="C11" s="2"/>
      <c r="D11" s="6"/>
      <c r="E11" s="16"/>
      <c r="F11" s="4"/>
    </row>
    <row r="12" spans="1:6" x14ac:dyDescent="0.3">
      <c r="A12" s="17">
        <v>1</v>
      </c>
      <c r="B12" s="18" t="s">
        <v>6</v>
      </c>
      <c r="C12" s="2">
        <f ca="1">+'TY Excise Tax'!H148</f>
        <v>84291892.014198005</v>
      </c>
      <c r="D12" s="19">
        <f ca="1">+'TY Excise Tax'!L148</f>
        <v>84328016.972460017</v>
      </c>
      <c r="E12" s="19">
        <f ca="1">D12-C12</f>
        <v>36124.958262011409</v>
      </c>
      <c r="F12" s="4"/>
    </row>
    <row r="13" spans="1:6" x14ac:dyDescent="0.3">
      <c r="A13" s="17">
        <v>2</v>
      </c>
      <c r="B13" s="20" t="s">
        <v>7</v>
      </c>
      <c r="C13" s="135">
        <f>+'TY Filing Fee'!E15</f>
        <v>4386765.2</v>
      </c>
      <c r="D13" s="21">
        <f>+'E Filing Fee Restated'!F38</f>
        <v>4334851.9246400008</v>
      </c>
      <c r="E13" s="21">
        <f>D13-C13</f>
        <v>-51913.275359999388</v>
      </c>
      <c r="F13" s="4"/>
    </row>
    <row r="14" spans="1:6" x14ac:dyDescent="0.3">
      <c r="A14" s="17">
        <v>3</v>
      </c>
      <c r="B14" s="18" t="s">
        <v>8</v>
      </c>
      <c r="C14" s="22">
        <f ca="1">C12+C13</f>
        <v>88678657.214198008</v>
      </c>
      <c r="D14" s="22">
        <f ca="1">D12+D13</f>
        <v>88662868.897100016</v>
      </c>
      <c r="E14" s="22">
        <f ca="1">E12+E13</f>
        <v>-15788.31709798798</v>
      </c>
      <c r="F14" s="4"/>
    </row>
    <row r="15" spans="1:6" x14ac:dyDescent="0.3">
      <c r="A15" s="17">
        <v>4</v>
      </c>
      <c r="B15" s="18"/>
      <c r="C15" s="2"/>
      <c r="D15" s="23"/>
      <c r="E15" s="23"/>
      <c r="F15" s="4"/>
    </row>
    <row r="16" spans="1:6" x14ac:dyDescent="0.3">
      <c r="A16" s="17">
        <v>5</v>
      </c>
      <c r="B16" s="24" t="s">
        <v>9</v>
      </c>
      <c r="C16" s="2"/>
      <c r="D16" s="23"/>
      <c r="E16" s="25">
        <f ca="1">E14</f>
        <v>-15788.31709798798</v>
      </c>
      <c r="F16" s="4"/>
    </row>
    <row r="17" spans="1:6" s="183" customFormat="1" x14ac:dyDescent="0.3">
      <c r="A17" s="17">
        <v>6</v>
      </c>
      <c r="B17" s="24" t="s">
        <v>10</v>
      </c>
      <c r="C17" s="184">
        <v>0.21</v>
      </c>
      <c r="D17" s="23"/>
      <c r="E17" s="185">
        <f ca="1">ROUND(-E16*C17,0)</f>
        <v>3316</v>
      </c>
      <c r="F17" s="4"/>
    </row>
    <row r="18" spans="1:6" s="183" customFormat="1" ht="15" thickBot="1" x14ac:dyDescent="0.35">
      <c r="A18" s="17">
        <v>7</v>
      </c>
      <c r="B18" s="24" t="s">
        <v>11</v>
      </c>
      <c r="C18" s="2"/>
      <c r="D18" s="23"/>
      <c r="E18" s="186">
        <f ca="1">-E16-E17</f>
        <v>12472.31709798798</v>
      </c>
      <c r="F18" s="4"/>
    </row>
    <row r="19" spans="1:6" ht="15" thickTop="1" x14ac:dyDescent="0.3">
      <c r="A19" s="17"/>
      <c r="B19" s="1"/>
      <c r="C19" s="2"/>
      <c r="D19" s="6"/>
      <c r="E19" s="6"/>
      <c r="F19" s="4"/>
    </row>
    <row r="28" spans="1:6" x14ac:dyDescent="0.3">
      <c r="D28" s="122"/>
    </row>
  </sheetData>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H14" sqref="H14"/>
    </sheetView>
  </sheetViews>
  <sheetFormatPr defaultRowHeight="14.4" x14ac:dyDescent="0.3"/>
  <cols>
    <col min="2" max="2" width="47.109375" bestFit="1" customWidth="1"/>
    <col min="3" max="3" width="11.6640625" bestFit="1" customWidth="1"/>
    <col min="4" max="4" width="11.33203125" bestFit="1" customWidth="1"/>
    <col min="5" max="5" width="13.109375" bestFit="1" customWidth="1"/>
  </cols>
  <sheetData>
    <row r="1" spans="1:6" ht="15.6" thickTop="1" thickBot="1" x14ac:dyDescent="0.35">
      <c r="A1" s="1"/>
      <c r="B1" s="1"/>
      <c r="C1" s="2"/>
      <c r="D1" s="3"/>
      <c r="E1" s="7">
        <v>10.23</v>
      </c>
    </row>
    <row r="2" spans="1:6" ht="15" thickTop="1" x14ac:dyDescent="0.3">
      <c r="A2" s="141" t="s">
        <v>228</v>
      </c>
      <c r="B2" s="142"/>
      <c r="C2" s="143"/>
      <c r="D2" s="144"/>
      <c r="E2" s="145"/>
    </row>
    <row r="3" spans="1:6" x14ac:dyDescent="0.3">
      <c r="A3" s="145" t="s">
        <v>227</v>
      </c>
      <c r="B3" s="145"/>
      <c r="C3" s="143"/>
      <c r="D3" s="146"/>
      <c r="E3" s="147"/>
    </row>
    <row r="4" spans="1:6" x14ac:dyDescent="0.3">
      <c r="A4" s="141" t="s">
        <v>225</v>
      </c>
      <c r="B4" s="142"/>
      <c r="C4" s="148"/>
      <c r="D4" s="149"/>
      <c r="E4" s="149"/>
    </row>
    <row r="5" spans="1:6" x14ac:dyDescent="0.3">
      <c r="A5" s="141" t="s">
        <v>226</v>
      </c>
      <c r="B5" s="9"/>
      <c r="C5" s="148"/>
      <c r="D5" s="149"/>
      <c r="E5" s="149"/>
    </row>
    <row r="6" spans="1:6" x14ac:dyDescent="0.3">
      <c r="A6" s="1"/>
      <c r="B6" s="9"/>
      <c r="C6" s="8"/>
      <c r="D6" s="4"/>
      <c r="E6" s="4"/>
    </row>
    <row r="7" spans="1:6" x14ac:dyDescent="0.3">
      <c r="A7" s="1"/>
      <c r="B7" s="9"/>
      <c r="C7" s="8"/>
      <c r="D7" s="4"/>
      <c r="E7" s="4"/>
    </row>
    <row r="8" spans="1:6" x14ac:dyDescent="0.3">
      <c r="A8" s="5"/>
      <c r="B8" s="10"/>
      <c r="C8" s="2"/>
      <c r="D8" s="6"/>
      <c r="E8" s="6"/>
    </row>
    <row r="9" spans="1:6" x14ac:dyDescent="0.3">
      <c r="A9" s="11" t="s">
        <v>0</v>
      </c>
      <c r="B9" s="5"/>
      <c r="C9" s="12"/>
      <c r="D9" s="6"/>
      <c r="E9" s="6"/>
    </row>
    <row r="10" spans="1:6" x14ac:dyDescent="0.3">
      <c r="A10" s="13" t="s">
        <v>1</v>
      </c>
      <c r="B10" s="14" t="s">
        <v>2</v>
      </c>
      <c r="C10" s="15" t="s">
        <v>3</v>
      </c>
      <c r="D10" s="13" t="s">
        <v>4</v>
      </c>
      <c r="E10" s="13" t="s">
        <v>5</v>
      </c>
    </row>
    <row r="11" spans="1:6" x14ac:dyDescent="0.3">
      <c r="A11" s="3"/>
      <c r="B11" s="3"/>
      <c r="C11" s="2"/>
      <c r="D11" s="6"/>
      <c r="E11" s="16"/>
      <c r="F11" s="28"/>
    </row>
    <row r="12" spans="1:6" x14ac:dyDescent="0.3">
      <c r="A12" s="17">
        <v>1</v>
      </c>
      <c r="B12" s="18" t="s">
        <v>6</v>
      </c>
      <c r="C12" s="2">
        <f ca="1">+'TY Excise Tax'!I148</f>
        <v>33506393.815802004</v>
      </c>
      <c r="D12" s="19">
        <f ca="1">+'TY Excise Tax'!M148</f>
        <v>33499604.097540006</v>
      </c>
      <c r="E12" s="19">
        <f ca="1">D12-C12</f>
        <v>-6789.7182619981468</v>
      </c>
      <c r="F12" s="28"/>
    </row>
    <row r="13" spans="1:6" x14ac:dyDescent="0.3">
      <c r="A13" s="17">
        <v>2</v>
      </c>
      <c r="B13" s="20" t="s">
        <v>7</v>
      </c>
      <c r="C13" s="135">
        <f>+'TY Filing Fee'!E32</f>
        <v>1759698.35</v>
      </c>
      <c r="D13" s="21">
        <f>+'G Filing Fee Restated'!F38</f>
        <v>1714934.9122000001</v>
      </c>
      <c r="E13" s="21">
        <f>D13-C13</f>
        <v>-44763.437799999956</v>
      </c>
      <c r="F13" s="28"/>
    </row>
    <row r="14" spans="1:6" x14ac:dyDescent="0.3">
      <c r="A14" s="17">
        <v>3</v>
      </c>
      <c r="B14" s="18" t="s">
        <v>8</v>
      </c>
      <c r="C14" s="22">
        <f ca="1">C12+C13</f>
        <v>35266092.165802002</v>
      </c>
      <c r="D14" s="22">
        <f ca="1">D12+D13</f>
        <v>35214539.00974001</v>
      </c>
      <c r="E14" s="22">
        <f ca="1">E12+E13</f>
        <v>-51553.156061998103</v>
      </c>
      <c r="F14" s="28"/>
    </row>
    <row r="15" spans="1:6" x14ac:dyDescent="0.3">
      <c r="A15" s="17">
        <v>4</v>
      </c>
      <c r="B15" s="18"/>
      <c r="C15" s="2"/>
      <c r="D15" s="23"/>
      <c r="E15" s="23"/>
    </row>
    <row r="16" spans="1:6" x14ac:dyDescent="0.3">
      <c r="A16" s="17">
        <v>5</v>
      </c>
      <c r="B16" s="24" t="s">
        <v>9</v>
      </c>
      <c r="C16" s="2"/>
      <c r="D16" s="23"/>
      <c r="E16" s="25">
        <f ca="1">E14</f>
        <v>-51553.156061998103</v>
      </c>
    </row>
    <row r="17" spans="1:5" s="183" customFormat="1" x14ac:dyDescent="0.3">
      <c r="A17" s="17">
        <v>6</v>
      </c>
      <c r="B17" s="24" t="s">
        <v>10</v>
      </c>
      <c r="C17" s="184">
        <v>0.21</v>
      </c>
      <c r="D17" s="23"/>
      <c r="E17" s="185">
        <f ca="1">ROUND(-E16*C17,0)</f>
        <v>10826</v>
      </c>
    </row>
    <row r="18" spans="1:5" s="183" customFormat="1" ht="15" thickBot="1" x14ac:dyDescent="0.35">
      <c r="A18" s="17">
        <v>7</v>
      </c>
      <c r="B18" s="24" t="s">
        <v>11</v>
      </c>
      <c r="C18" s="2"/>
      <c r="D18" s="23"/>
      <c r="E18" s="186">
        <f ca="1">-E16-E17</f>
        <v>40727.156061998103</v>
      </c>
    </row>
    <row r="19" spans="1:5" s="183" customFormat="1" ht="15" thickTop="1" x14ac:dyDescent="0.3">
      <c r="A19" s="17"/>
      <c r="B19" s="1"/>
      <c r="C19" s="2"/>
      <c r="D19" s="6"/>
      <c r="E19" s="6"/>
    </row>
  </sheetData>
  <pageMargins left="0.7" right="0.7" top="0.75" bottom="0.75" header="0.3" footer="0.3"/>
  <pageSetup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1"/>
  <sheetViews>
    <sheetView view="pageBreakPreview" zoomScale="60" zoomScaleNormal="100" workbookViewId="0">
      <pane xSplit="13" ySplit="4" topLeftCell="N73" activePane="bottomRight" state="frozen"/>
      <selection activeCell="B39" sqref="B39"/>
      <selection pane="topRight" activeCell="B39" sqref="B39"/>
      <selection pane="bottomLeft" activeCell="B39" sqref="B39"/>
      <selection pane="bottomRight" activeCell="H89" sqref="H89"/>
    </sheetView>
  </sheetViews>
  <sheetFormatPr defaultColWidth="9.109375" defaultRowHeight="14.4" x14ac:dyDescent="0.3"/>
  <cols>
    <col min="1" max="1" width="20" style="38" bestFit="1" customWidth="1"/>
    <col min="2" max="2" width="13" style="38" bestFit="1" customWidth="1"/>
    <col min="3" max="3" width="8" style="38" bestFit="1" customWidth="1"/>
    <col min="4" max="4" width="49" style="38" bestFit="1" customWidth="1"/>
    <col min="5" max="5" width="10" style="38" bestFit="1" customWidth="1"/>
    <col min="6" max="6" width="14" style="38" bestFit="1" customWidth="1"/>
    <col min="7" max="7" width="17" style="39" bestFit="1" customWidth="1"/>
    <col min="8" max="8" width="15.44140625" style="38" bestFit="1" customWidth="1"/>
    <col min="9" max="9" width="16.109375" style="38" bestFit="1" customWidth="1"/>
    <col min="10" max="10" width="10.88671875" style="38" bestFit="1" customWidth="1"/>
    <col min="11" max="11" width="10.33203125" style="38" bestFit="1" customWidth="1"/>
    <col min="12" max="12" width="15.44140625" style="38" bestFit="1" customWidth="1"/>
    <col min="13" max="13" width="16.109375" style="38" bestFit="1" customWidth="1"/>
    <col min="14" max="14" width="11.5546875" style="38" bestFit="1" customWidth="1"/>
    <col min="15" max="16384" width="9.109375" style="38"/>
  </cols>
  <sheetData>
    <row r="1" spans="1:14" x14ac:dyDescent="0.25">
      <c r="H1" s="40"/>
      <c r="I1" s="41"/>
      <c r="J1" s="42" t="s">
        <v>56</v>
      </c>
      <c r="K1" s="43"/>
      <c r="L1" s="44"/>
      <c r="M1" s="43"/>
      <c r="N1" s="45"/>
    </row>
    <row r="2" spans="1:14" x14ac:dyDescent="0.25">
      <c r="H2" s="46" t="s">
        <v>57</v>
      </c>
      <c r="I2" s="47"/>
      <c r="J2" s="46" t="s">
        <v>58</v>
      </c>
      <c r="K2" s="47"/>
      <c r="L2" s="46" t="s">
        <v>59</v>
      </c>
      <c r="M2" s="47"/>
      <c r="N2" s="45"/>
    </row>
    <row r="3" spans="1:14" x14ac:dyDescent="0.25">
      <c r="A3" s="48" t="s">
        <v>22</v>
      </c>
      <c r="B3" s="48" t="s">
        <v>24</v>
      </c>
      <c r="C3" s="48" t="s">
        <v>25</v>
      </c>
      <c r="D3" s="48" t="s">
        <v>26</v>
      </c>
      <c r="E3" s="48" t="s">
        <v>12</v>
      </c>
      <c r="F3" s="48" t="s">
        <v>14</v>
      </c>
      <c r="G3" s="49" t="s">
        <v>15</v>
      </c>
      <c r="H3" s="70">
        <f ca="1">+'[1]3.04 &amp; 4.04 Lead'!E35</f>
        <v>0.67179999999999995</v>
      </c>
      <c r="I3" s="70">
        <f ca="1">+'[1]3.04 &amp; 4.04 Lead'!F35</f>
        <v>0.32819999999999999</v>
      </c>
      <c r="J3" s="50">
        <f ca="1">H3</f>
        <v>0.67179999999999995</v>
      </c>
      <c r="K3" s="51">
        <f ca="1">I3</f>
        <v>0.32819999999999999</v>
      </c>
      <c r="L3" s="50">
        <f ca="1">H3</f>
        <v>0.67179999999999995</v>
      </c>
      <c r="M3" s="58">
        <f ca="1">I3</f>
        <v>0.32819999999999999</v>
      </c>
      <c r="N3" s="60" t="s">
        <v>60</v>
      </c>
    </row>
    <row r="4" spans="1:14" x14ac:dyDescent="0.25">
      <c r="C4" s="53"/>
      <c r="D4" s="53"/>
      <c r="E4" s="34"/>
      <c r="F4" s="34"/>
      <c r="G4" s="35"/>
      <c r="H4" s="84" t="s">
        <v>22</v>
      </c>
      <c r="I4" s="84" t="s">
        <v>23</v>
      </c>
      <c r="J4" s="82" t="s">
        <v>22</v>
      </c>
      <c r="K4" s="83" t="s">
        <v>23</v>
      </c>
      <c r="L4" s="82" t="s">
        <v>22</v>
      </c>
      <c r="M4" s="59" t="s">
        <v>23</v>
      </c>
      <c r="N4" s="61" t="s">
        <v>61</v>
      </c>
    </row>
    <row r="5" spans="1:14" x14ac:dyDescent="0.25">
      <c r="A5" s="52" t="s">
        <v>62</v>
      </c>
      <c r="C5" s="53"/>
      <c r="D5" s="53"/>
      <c r="E5" s="34"/>
      <c r="F5" s="34"/>
      <c r="G5" s="35"/>
      <c r="H5" s="80"/>
      <c r="I5" s="81"/>
      <c r="J5" s="80"/>
      <c r="K5" s="81"/>
      <c r="L5" s="80"/>
      <c r="M5" s="81"/>
      <c r="N5" s="137"/>
    </row>
    <row r="6" spans="1:14" x14ac:dyDescent="0.3">
      <c r="A6" s="38" t="s">
        <v>27</v>
      </c>
      <c r="B6" s="38" t="s">
        <v>28</v>
      </c>
      <c r="C6" s="38" t="s">
        <v>29</v>
      </c>
      <c r="D6" s="38" t="s">
        <v>30</v>
      </c>
      <c r="E6" s="38" t="s">
        <v>31</v>
      </c>
      <c r="F6" s="54">
        <v>42283</v>
      </c>
      <c r="G6" s="55">
        <v>-3832781.68</v>
      </c>
      <c r="H6" s="62">
        <f>+G6</f>
        <v>-3832781.68</v>
      </c>
      <c r="I6" s="63"/>
      <c r="J6" s="62"/>
      <c r="K6" s="63"/>
      <c r="L6" s="62">
        <f>+H6+J6</f>
        <v>-3832781.68</v>
      </c>
      <c r="M6" s="63">
        <f>+I6+K6</f>
        <v>0</v>
      </c>
      <c r="N6" s="138"/>
    </row>
    <row r="7" spans="1:14" x14ac:dyDescent="0.3">
      <c r="A7" s="38" t="s">
        <v>27</v>
      </c>
      <c r="B7" s="38" t="s">
        <v>28</v>
      </c>
      <c r="C7" s="38" t="s">
        <v>29</v>
      </c>
      <c r="D7" s="38" t="s">
        <v>32</v>
      </c>
      <c r="E7" s="38" t="s">
        <v>31</v>
      </c>
      <c r="F7" s="54">
        <v>42307</v>
      </c>
      <c r="G7" s="55">
        <v>-24491.45</v>
      </c>
      <c r="H7" s="62">
        <f t="shared" ref="H7:H54" si="0">+G7</f>
        <v>-24491.45</v>
      </c>
      <c r="I7" s="63"/>
      <c r="J7" s="62">
        <f>-G7</f>
        <v>24491.45</v>
      </c>
      <c r="K7" s="63"/>
      <c r="L7" s="62">
        <f t="shared" ref="L7:L53" si="1">+H7+J7</f>
        <v>0</v>
      </c>
      <c r="M7" s="63">
        <f t="shared" ref="M7:M53" si="2">+I7+K7</f>
        <v>0</v>
      </c>
      <c r="N7" s="139">
        <v>1</v>
      </c>
    </row>
    <row r="8" spans="1:14" x14ac:dyDescent="0.3">
      <c r="A8" s="38" t="s">
        <v>27</v>
      </c>
      <c r="B8" s="38" t="s">
        <v>28</v>
      </c>
      <c r="C8" s="38" t="s">
        <v>29</v>
      </c>
      <c r="D8" s="38" t="s">
        <v>30</v>
      </c>
      <c r="E8" s="38" t="s">
        <v>31</v>
      </c>
      <c r="F8" s="54">
        <v>42307</v>
      </c>
      <c r="G8" s="55">
        <v>4328773.1399999997</v>
      </c>
      <c r="H8" s="62">
        <f t="shared" si="0"/>
        <v>4328773.1399999997</v>
      </c>
      <c r="I8" s="63"/>
      <c r="J8" s="62"/>
      <c r="K8" s="63"/>
      <c r="L8" s="62">
        <f t="shared" si="1"/>
        <v>4328773.1399999997</v>
      </c>
      <c r="M8" s="63">
        <f t="shared" si="2"/>
        <v>0</v>
      </c>
      <c r="N8" s="138"/>
    </row>
    <row r="9" spans="1:14" x14ac:dyDescent="0.3">
      <c r="A9" s="38" t="s">
        <v>27</v>
      </c>
      <c r="B9" s="38" t="s">
        <v>28</v>
      </c>
      <c r="C9" s="38" t="s">
        <v>29</v>
      </c>
      <c r="D9" s="38" t="s">
        <v>33</v>
      </c>
      <c r="E9" s="38" t="s">
        <v>31</v>
      </c>
      <c r="F9" s="54">
        <v>42307</v>
      </c>
      <c r="G9" s="55">
        <v>6037486.1200000001</v>
      </c>
      <c r="H9" s="62">
        <f t="shared" si="0"/>
        <v>6037486.1200000001</v>
      </c>
      <c r="I9" s="63"/>
      <c r="J9" s="62"/>
      <c r="K9" s="63"/>
      <c r="L9" s="62">
        <f t="shared" si="1"/>
        <v>6037486.1200000001</v>
      </c>
      <c r="M9" s="63">
        <f t="shared" si="2"/>
        <v>0</v>
      </c>
      <c r="N9" s="138"/>
    </row>
    <row r="10" spans="1:14" x14ac:dyDescent="0.3">
      <c r="A10" s="38" t="s">
        <v>27</v>
      </c>
      <c r="B10" s="38" t="s">
        <v>28</v>
      </c>
      <c r="C10" s="38" t="s">
        <v>34</v>
      </c>
      <c r="D10" s="38" t="s">
        <v>30</v>
      </c>
      <c r="E10" s="38" t="s">
        <v>31</v>
      </c>
      <c r="F10" s="54">
        <v>42314</v>
      </c>
      <c r="G10" s="55">
        <v>-4328773.1399999997</v>
      </c>
      <c r="H10" s="62">
        <f t="shared" si="0"/>
        <v>-4328773.1399999997</v>
      </c>
      <c r="I10" s="63"/>
      <c r="J10" s="62"/>
      <c r="K10" s="63"/>
      <c r="L10" s="62">
        <f t="shared" si="1"/>
        <v>-4328773.1399999997</v>
      </c>
      <c r="M10" s="63">
        <f t="shared" si="2"/>
        <v>0</v>
      </c>
      <c r="N10" s="138"/>
    </row>
    <row r="11" spans="1:14" x14ac:dyDescent="0.3">
      <c r="A11" s="38" t="s">
        <v>27</v>
      </c>
      <c r="B11" s="38" t="s">
        <v>28</v>
      </c>
      <c r="C11" s="38" t="s">
        <v>34</v>
      </c>
      <c r="D11" s="38" t="s">
        <v>30</v>
      </c>
      <c r="E11" s="38" t="s">
        <v>31</v>
      </c>
      <c r="F11" s="54">
        <v>42338</v>
      </c>
      <c r="G11" s="55">
        <v>5504286.2199999997</v>
      </c>
      <c r="H11" s="62">
        <f t="shared" si="0"/>
        <v>5504286.2199999997</v>
      </c>
      <c r="I11" s="63"/>
      <c r="J11" s="62"/>
      <c r="K11" s="63"/>
      <c r="L11" s="62">
        <f t="shared" si="1"/>
        <v>5504286.2199999997</v>
      </c>
      <c r="M11" s="63">
        <f t="shared" si="2"/>
        <v>0</v>
      </c>
      <c r="N11" s="138"/>
    </row>
    <row r="12" spans="1:14" x14ac:dyDescent="0.3">
      <c r="A12" s="38" t="s">
        <v>27</v>
      </c>
      <c r="B12" s="38" t="s">
        <v>28</v>
      </c>
      <c r="C12" s="38" t="s">
        <v>34</v>
      </c>
      <c r="D12" s="38" t="s">
        <v>33</v>
      </c>
      <c r="E12" s="38" t="s">
        <v>31</v>
      </c>
      <c r="F12" s="54">
        <v>42338</v>
      </c>
      <c r="G12" s="55">
        <v>6840160.9299999997</v>
      </c>
      <c r="H12" s="62">
        <f t="shared" si="0"/>
        <v>6840160.9299999997</v>
      </c>
      <c r="I12" s="63"/>
      <c r="J12" s="62"/>
      <c r="K12" s="63"/>
      <c r="L12" s="62">
        <f t="shared" si="1"/>
        <v>6840160.9299999997</v>
      </c>
      <c r="M12" s="63">
        <f t="shared" si="2"/>
        <v>0</v>
      </c>
      <c r="N12" s="138"/>
    </row>
    <row r="13" spans="1:14" x14ac:dyDescent="0.3">
      <c r="A13" s="38" t="s">
        <v>27</v>
      </c>
      <c r="B13" s="38" t="s">
        <v>28</v>
      </c>
      <c r="C13" s="38" t="s">
        <v>34</v>
      </c>
      <c r="D13" s="38" t="s">
        <v>32</v>
      </c>
      <c r="E13" s="38" t="s">
        <v>31</v>
      </c>
      <c r="F13" s="54">
        <v>42338</v>
      </c>
      <c r="G13" s="55">
        <v>2842.06</v>
      </c>
      <c r="H13" s="62">
        <f t="shared" si="0"/>
        <v>2842.06</v>
      </c>
      <c r="I13" s="63"/>
      <c r="J13" s="62"/>
      <c r="K13" s="63"/>
      <c r="L13" s="62">
        <f t="shared" si="1"/>
        <v>2842.06</v>
      </c>
      <c r="M13" s="63">
        <f t="shared" si="2"/>
        <v>0</v>
      </c>
      <c r="N13" s="138"/>
    </row>
    <row r="14" spans="1:14" x14ac:dyDescent="0.3">
      <c r="A14" s="38" t="s">
        <v>27</v>
      </c>
      <c r="B14" s="38" t="s">
        <v>28</v>
      </c>
      <c r="C14" s="38" t="s">
        <v>35</v>
      </c>
      <c r="D14" s="38" t="s">
        <v>30</v>
      </c>
      <c r="E14" s="38" t="s">
        <v>31</v>
      </c>
      <c r="F14" s="54">
        <v>42347</v>
      </c>
      <c r="G14" s="55">
        <v>-5504286.2199999997</v>
      </c>
      <c r="H14" s="62">
        <f t="shared" si="0"/>
        <v>-5504286.2199999997</v>
      </c>
      <c r="I14" s="63"/>
      <c r="J14" s="62"/>
      <c r="K14" s="63"/>
      <c r="L14" s="62">
        <f t="shared" si="1"/>
        <v>-5504286.2199999997</v>
      </c>
      <c r="M14" s="63">
        <f t="shared" si="2"/>
        <v>0</v>
      </c>
      <c r="N14" s="138"/>
    </row>
    <row r="15" spans="1:14" x14ac:dyDescent="0.3">
      <c r="A15" s="38" t="s">
        <v>27</v>
      </c>
      <c r="B15" s="38" t="s">
        <v>28</v>
      </c>
      <c r="C15" s="38" t="s">
        <v>35</v>
      </c>
      <c r="D15" s="38" t="s">
        <v>32</v>
      </c>
      <c r="E15" s="38" t="s">
        <v>31</v>
      </c>
      <c r="F15" s="54">
        <v>42368</v>
      </c>
      <c r="G15" s="55">
        <v>-21839.69</v>
      </c>
      <c r="H15" s="62">
        <f t="shared" si="0"/>
        <v>-21839.69</v>
      </c>
      <c r="I15" s="63"/>
      <c r="J15" s="62"/>
      <c r="K15" s="63"/>
      <c r="L15" s="62">
        <f t="shared" si="1"/>
        <v>-21839.69</v>
      </c>
      <c r="M15" s="63">
        <f t="shared" si="2"/>
        <v>0</v>
      </c>
      <c r="N15" s="138"/>
    </row>
    <row r="16" spans="1:14" x14ac:dyDescent="0.3">
      <c r="A16" s="38" t="s">
        <v>27</v>
      </c>
      <c r="B16" s="38" t="s">
        <v>28</v>
      </c>
      <c r="C16" s="38" t="s">
        <v>35</v>
      </c>
      <c r="D16" s="38" t="s">
        <v>30</v>
      </c>
      <c r="E16" s="38" t="s">
        <v>31</v>
      </c>
      <c r="F16" s="54">
        <v>42368</v>
      </c>
      <c r="G16" s="55">
        <v>5740315.6399999997</v>
      </c>
      <c r="H16" s="62">
        <f t="shared" si="0"/>
        <v>5740315.6399999997</v>
      </c>
      <c r="I16" s="63"/>
      <c r="J16" s="62"/>
      <c r="K16" s="63"/>
      <c r="L16" s="62">
        <f t="shared" si="1"/>
        <v>5740315.6399999997</v>
      </c>
      <c r="M16" s="63">
        <f t="shared" si="2"/>
        <v>0</v>
      </c>
      <c r="N16" s="138"/>
    </row>
    <row r="17" spans="1:14" x14ac:dyDescent="0.3">
      <c r="A17" s="38" t="s">
        <v>27</v>
      </c>
      <c r="B17" s="38" t="s">
        <v>28</v>
      </c>
      <c r="C17" s="38" t="s">
        <v>35</v>
      </c>
      <c r="D17" s="38" t="s">
        <v>33</v>
      </c>
      <c r="E17" s="38" t="s">
        <v>31</v>
      </c>
      <c r="F17" s="54">
        <v>42368</v>
      </c>
      <c r="G17" s="55">
        <v>8591460.0899999999</v>
      </c>
      <c r="H17" s="62">
        <f t="shared" si="0"/>
        <v>8591460.0899999999</v>
      </c>
      <c r="I17" s="63"/>
      <c r="J17" s="62"/>
      <c r="K17" s="63"/>
      <c r="L17" s="62">
        <f t="shared" si="1"/>
        <v>8591460.0899999999</v>
      </c>
      <c r="M17" s="63">
        <f t="shared" si="2"/>
        <v>0</v>
      </c>
      <c r="N17" s="138"/>
    </row>
    <row r="18" spans="1:14" x14ac:dyDescent="0.3">
      <c r="A18" s="38" t="s">
        <v>27</v>
      </c>
      <c r="B18" s="38" t="s">
        <v>36</v>
      </c>
      <c r="C18" s="38" t="s">
        <v>37</v>
      </c>
      <c r="D18" s="38" t="s">
        <v>30</v>
      </c>
      <c r="E18" s="38" t="s">
        <v>31</v>
      </c>
      <c r="F18" s="54">
        <v>42380</v>
      </c>
      <c r="G18" s="55">
        <v>-5740315.6399999997</v>
      </c>
      <c r="H18" s="62">
        <f t="shared" si="0"/>
        <v>-5740315.6399999997</v>
      </c>
      <c r="I18" s="63"/>
      <c r="J18" s="62"/>
      <c r="K18" s="63"/>
      <c r="L18" s="62">
        <f t="shared" si="1"/>
        <v>-5740315.6399999997</v>
      </c>
      <c r="M18" s="63">
        <f t="shared" si="2"/>
        <v>0</v>
      </c>
      <c r="N18" s="138"/>
    </row>
    <row r="19" spans="1:14" x14ac:dyDescent="0.3">
      <c r="A19" s="38" t="s">
        <v>27</v>
      </c>
      <c r="B19" s="38" t="s">
        <v>36</v>
      </c>
      <c r="C19" s="38" t="s">
        <v>37</v>
      </c>
      <c r="D19" s="38" t="s">
        <v>32</v>
      </c>
      <c r="E19" s="38" t="s">
        <v>31</v>
      </c>
      <c r="F19" s="54">
        <v>42398</v>
      </c>
      <c r="G19" s="55">
        <v>-20924.7</v>
      </c>
      <c r="H19" s="62">
        <f t="shared" si="0"/>
        <v>-20924.7</v>
      </c>
      <c r="I19" s="63"/>
      <c r="J19" s="62"/>
      <c r="K19" s="63"/>
      <c r="L19" s="62">
        <f t="shared" si="1"/>
        <v>-20924.7</v>
      </c>
      <c r="M19" s="63">
        <f t="shared" si="2"/>
        <v>0</v>
      </c>
      <c r="N19" s="138"/>
    </row>
    <row r="20" spans="1:14" x14ac:dyDescent="0.3">
      <c r="A20" s="38" t="s">
        <v>27</v>
      </c>
      <c r="B20" s="38" t="s">
        <v>36</v>
      </c>
      <c r="C20" s="38" t="s">
        <v>37</v>
      </c>
      <c r="D20" s="38" t="s">
        <v>33</v>
      </c>
      <c r="E20" s="38" t="s">
        <v>31</v>
      </c>
      <c r="F20" s="54">
        <v>42398</v>
      </c>
      <c r="G20" s="55">
        <v>9053408.2599999998</v>
      </c>
      <c r="H20" s="62">
        <f t="shared" si="0"/>
        <v>9053408.2599999998</v>
      </c>
      <c r="I20" s="63"/>
      <c r="J20" s="62"/>
      <c r="K20" s="63"/>
      <c r="L20" s="62">
        <f t="shared" si="1"/>
        <v>9053408.2599999998</v>
      </c>
      <c r="M20" s="63">
        <f t="shared" si="2"/>
        <v>0</v>
      </c>
      <c r="N20" s="138"/>
    </row>
    <row r="21" spans="1:14" x14ac:dyDescent="0.3">
      <c r="A21" s="38" t="s">
        <v>27</v>
      </c>
      <c r="B21" s="38" t="s">
        <v>36</v>
      </c>
      <c r="C21" s="38" t="s">
        <v>37</v>
      </c>
      <c r="D21" s="38" t="s">
        <v>30</v>
      </c>
      <c r="E21" s="38" t="s">
        <v>31</v>
      </c>
      <c r="F21" s="54">
        <v>42398</v>
      </c>
      <c r="G21" s="55">
        <v>5481718.1100000003</v>
      </c>
      <c r="H21" s="62">
        <f t="shared" si="0"/>
        <v>5481718.1100000003</v>
      </c>
      <c r="I21" s="63"/>
      <c r="J21" s="62"/>
      <c r="K21" s="63"/>
      <c r="L21" s="62">
        <f t="shared" si="1"/>
        <v>5481718.1100000003</v>
      </c>
      <c r="M21" s="63">
        <f t="shared" si="2"/>
        <v>0</v>
      </c>
      <c r="N21" s="138"/>
    </row>
    <row r="22" spans="1:14" x14ac:dyDescent="0.3">
      <c r="A22" s="38" t="s">
        <v>27</v>
      </c>
      <c r="B22" s="38" t="s">
        <v>36</v>
      </c>
      <c r="C22" s="38" t="s">
        <v>38</v>
      </c>
      <c r="D22" s="38" t="s">
        <v>30</v>
      </c>
      <c r="E22" s="38" t="s">
        <v>31</v>
      </c>
      <c r="F22" s="54">
        <v>42405</v>
      </c>
      <c r="G22" s="55">
        <v>-5481718.1100000003</v>
      </c>
      <c r="H22" s="62">
        <f t="shared" si="0"/>
        <v>-5481718.1100000003</v>
      </c>
      <c r="I22" s="63"/>
      <c r="J22" s="62"/>
      <c r="K22" s="63"/>
      <c r="L22" s="62">
        <f t="shared" si="1"/>
        <v>-5481718.1100000003</v>
      </c>
      <c r="M22" s="63">
        <f t="shared" si="2"/>
        <v>0</v>
      </c>
      <c r="N22" s="138"/>
    </row>
    <row r="23" spans="1:14" x14ac:dyDescent="0.3">
      <c r="A23" s="38" t="s">
        <v>27</v>
      </c>
      <c r="B23" s="38" t="s">
        <v>36</v>
      </c>
      <c r="C23" s="38" t="s">
        <v>38</v>
      </c>
      <c r="D23" s="38" t="s">
        <v>32</v>
      </c>
      <c r="E23" s="38" t="s">
        <v>31</v>
      </c>
      <c r="F23" s="54">
        <v>42429</v>
      </c>
      <c r="G23" s="55">
        <v>-79790.929999999993</v>
      </c>
      <c r="H23" s="62">
        <f t="shared" si="0"/>
        <v>-79790.929999999993</v>
      </c>
      <c r="I23" s="63"/>
      <c r="J23" s="62"/>
      <c r="K23" s="63"/>
      <c r="L23" s="62">
        <f t="shared" si="1"/>
        <v>-79790.929999999993</v>
      </c>
      <c r="M23" s="63">
        <f t="shared" si="2"/>
        <v>0</v>
      </c>
      <c r="N23" s="138"/>
    </row>
    <row r="24" spans="1:14" x14ac:dyDescent="0.3">
      <c r="A24" s="38" t="s">
        <v>27</v>
      </c>
      <c r="B24" s="38" t="s">
        <v>36</v>
      </c>
      <c r="C24" s="38" t="s">
        <v>38</v>
      </c>
      <c r="D24" s="38" t="s">
        <v>30</v>
      </c>
      <c r="E24" s="38" t="s">
        <v>31</v>
      </c>
      <c r="F24" s="54">
        <v>42429</v>
      </c>
      <c r="G24" s="55">
        <v>4696578.91</v>
      </c>
      <c r="H24" s="62">
        <f t="shared" si="0"/>
        <v>4696578.91</v>
      </c>
      <c r="I24" s="63"/>
      <c r="J24" s="62"/>
      <c r="K24" s="63"/>
      <c r="L24" s="62">
        <f t="shared" si="1"/>
        <v>4696578.91</v>
      </c>
      <c r="M24" s="63">
        <f t="shared" si="2"/>
        <v>0</v>
      </c>
      <c r="N24" s="138"/>
    </row>
    <row r="25" spans="1:14" x14ac:dyDescent="0.3">
      <c r="A25" s="38" t="s">
        <v>27</v>
      </c>
      <c r="B25" s="38" t="s">
        <v>36</v>
      </c>
      <c r="C25" s="38" t="s">
        <v>38</v>
      </c>
      <c r="D25" s="38" t="s">
        <v>33</v>
      </c>
      <c r="E25" s="38" t="s">
        <v>31</v>
      </c>
      <c r="F25" s="54">
        <v>42429</v>
      </c>
      <c r="G25" s="55">
        <v>8444309.8000000007</v>
      </c>
      <c r="H25" s="62">
        <f t="shared" si="0"/>
        <v>8444309.8000000007</v>
      </c>
      <c r="I25" s="63"/>
      <c r="J25" s="62"/>
      <c r="K25" s="63"/>
      <c r="L25" s="62">
        <f t="shared" si="1"/>
        <v>8444309.8000000007</v>
      </c>
      <c r="M25" s="63">
        <f t="shared" si="2"/>
        <v>0</v>
      </c>
      <c r="N25" s="138"/>
    </row>
    <row r="26" spans="1:14" x14ac:dyDescent="0.3">
      <c r="A26" s="38" t="s">
        <v>27</v>
      </c>
      <c r="B26" s="38" t="s">
        <v>36</v>
      </c>
      <c r="C26" s="38" t="s">
        <v>39</v>
      </c>
      <c r="D26" s="38" t="s">
        <v>30</v>
      </c>
      <c r="E26" s="38" t="s">
        <v>31</v>
      </c>
      <c r="F26" s="54">
        <v>42436</v>
      </c>
      <c r="G26" s="55">
        <v>-4696578.91</v>
      </c>
      <c r="H26" s="62">
        <f t="shared" si="0"/>
        <v>-4696578.91</v>
      </c>
      <c r="I26" s="63"/>
      <c r="J26" s="62"/>
      <c r="K26" s="63"/>
      <c r="L26" s="62">
        <f t="shared" si="1"/>
        <v>-4696578.91</v>
      </c>
      <c r="M26" s="63">
        <f t="shared" si="2"/>
        <v>0</v>
      </c>
      <c r="N26" s="138"/>
    </row>
    <row r="27" spans="1:14" x14ac:dyDescent="0.3">
      <c r="A27" s="38" t="s">
        <v>27</v>
      </c>
      <c r="B27" s="38" t="s">
        <v>36</v>
      </c>
      <c r="C27" s="38" t="s">
        <v>39</v>
      </c>
      <c r="D27" s="38" t="s">
        <v>32</v>
      </c>
      <c r="E27" s="38" t="s">
        <v>31</v>
      </c>
      <c r="F27" s="54">
        <v>42460</v>
      </c>
      <c r="G27" s="55">
        <v>-19335.16</v>
      </c>
      <c r="H27" s="62">
        <f t="shared" si="0"/>
        <v>-19335.16</v>
      </c>
      <c r="I27" s="63"/>
      <c r="J27" s="62"/>
      <c r="K27" s="63"/>
      <c r="L27" s="62">
        <f t="shared" si="1"/>
        <v>-19335.16</v>
      </c>
      <c r="M27" s="63">
        <f t="shared" si="2"/>
        <v>0</v>
      </c>
      <c r="N27" s="138"/>
    </row>
    <row r="28" spans="1:14" x14ac:dyDescent="0.3">
      <c r="A28" s="38" t="s">
        <v>27</v>
      </c>
      <c r="B28" s="38" t="s">
        <v>36</v>
      </c>
      <c r="C28" s="38" t="s">
        <v>39</v>
      </c>
      <c r="D28" s="38" t="s">
        <v>30</v>
      </c>
      <c r="E28" s="38" t="s">
        <v>31</v>
      </c>
      <c r="F28" s="54">
        <v>42460</v>
      </c>
      <c r="G28" s="55">
        <v>4665281.38</v>
      </c>
      <c r="H28" s="62">
        <f t="shared" si="0"/>
        <v>4665281.38</v>
      </c>
      <c r="I28" s="63"/>
      <c r="J28" s="62"/>
      <c r="K28" s="63"/>
      <c r="L28" s="62">
        <f t="shared" si="1"/>
        <v>4665281.38</v>
      </c>
      <c r="M28" s="63">
        <f t="shared" si="2"/>
        <v>0</v>
      </c>
      <c r="N28" s="138"/>
    </row>
    <row r="29" spans="1:14" x14ac:dyDescent="0.3">
      <c r="A29" s="38" t="s">
        <v>27</v>
      </c>
      <c r="B29" s="38" t="s">
        <v>36</v>
      </c>
      <c r="C29" s="38" t="s">
        <v>39</v>
      </c>
      <c r="D29" s="38" t="s">
        <v>33</v>
      </c>
      <c r="E29" s="38" t="s">
        <v>31</v>
      </c>
      <c r="F29" s="54">
        <v>42460</v>
      </c>
      <c r="G29" s="55">
        <v>7549497.96</v>
      </c>
      <c r="H29" s="62">
        <f t="shared" si="0"/>
        <v>7549497.96</v>
      </c>
      <c r="I29" s="63"/>
      <c r="J29" s="62"/>
      <c r="K29" s="63"/>
      <c r="L29" s="62">
        <f t="shared" si="1"/>
        <v>7549497.96</v>
      </c>
      <c r="M29" s="63">
        <f t="shared" si="2"/>
        <v>0</v>
      </c>
      <c r="N29" s="138"/>
    </row>
    <row r="30" spans="1:14" x14ac:dyDescent="0.3">
      <c r="A30" s="38" t="s">
        <v>27</v>
      </c>
      <c r="B30" s="38" t="s">
        <v>36</v>
      </c>
      <c r="C30" s="38" t="s">
        <v>40</v>
      </c>
      <c r="D30" s="38" t="s">
        <v>30</v>
      </c>
      <c r="E30" s="38" t="s">
        <v>31</v>
      </c>
      <c r="F30" s="54">
        <v>42468</v>
      </c>
      <c r="G30" s="55">
        <v>-4665281.38</v>
      </c>
      <c r="H30" s="62">
        <f t="shared" si="0"/>
        <v>-4665281.38</v>
      </c>
      <c r="I30" s="63"/>
      <c r="J30" s="62"/>
      <c r="K30" s="63"/>
      <c r="L30" s="62">
        <f t="shared" si="1"/>
        <v>-4665281.38</v>
      </c>
      <c r="M30" s="63">
        <f t="shared" si="2"/>
        <v>0</v>
      </c>
      <c r="N30" s="138"/>
    </row>
    <row r="31" spans="1:14" x14ac:dyDescent="0.3">
      <c r="A31" s="38" t="s">
        <v>27</v>
      </c>
      <c r="B31" s="38" t="s">
        <v>36</v>
      </c>
      <c r="C31" s="38" t="s">
        <v>40</v>
      </c>
      <c r="D31" s="38" t="s">
        <v>32</v>
      </c>
      <c r="E31" s="38" t="s">
        <v>31</v>
      </c>
      <c r="F31" s="54">
        <v>42490</v>
      </c>
      <c r="G31" s="55">
        <v>-28592.27</v>
      </c>
      <c r="H31" s="62">
        <f t="shared" si="0"/>
        <v>-28592.27</v>
      </c>
      <c r="I31" s="63"/>
      <c r="J31" s="62"/>
      <c r="K31" s="63"/>
      <c r="L31" s="62">
        <f t="shared" si="1"/>
        <v>-28592.27</v>
      </c>
      <c r="M31" s="63">
        <f t="shared" si="2"/>
        <v>0</v>
      </c>
      <c r="N31" s="138"/>
    </row>
    <row r="32" spans="1:14" x14ac:dyDescent="0.3">
      <c r="A32" s="38" t="s">
        <v>27</v>
      </c>
      <c r="B32" s="38" t="s">
        <v>36</v>
      </c>
      <c r="C32" s="38" t="s">
        <v>40</v>
      </c>
      <c r="D32" s="38" t="s">
        <v>33</v>
      </c>
      <c r="E32" s="38" t="s">
        <v>31</v>
      </c>
      <c r="F32" s="54">
        <v>42490</v>
      </c>
      <c r="G32" s="55">
        <v>6719766.5499999998</v>
      </c>
      <c r="H32" s="62">
        <f t="shared" si="0"/>
        <v>6719766.5499999998</v>
      </c>
      <c r="I32" s="63"/>
      <c r="J32" s="62"/>
      <c r="K32" s="63"/>
      <c r="L32" s="62">
        <f t="shared" si="1"/>
        <v>6719766.5499999998</v>
      </c>
      <c r="M32" s="63">
        <f t="shared" si="2"/>
        <v>0</v>
      </c>
      <c r="N32" s="138"/>
    </row>
    <row r="33" spans="1:14" x14ac:dyDescent="0.3">
      <c r="A33" s="38" t="s">
        <v>27</v>
      </c>
      <c r="B33" s="38" t="s">
        <v>36</v>
      </c>
      <c r="C33" s="38" t="s">
        <v>40</v>
      </c>
      <c r="D33" s="38" t="s">
        <v>30</v>
      </c>
      <c r="E33" s="38" t="s">
        <v>31</v>
      </c>
      <c r="F33" s="54">
        <v>42490</v>
      </c>
      <c r="G33" s="55">
        <v>3937129.35</v>
      </c>
      <c r="H33" s="62">
        <f t="shared" si="0"/>
        <v>3937129.35</v>
      </c>
      <c r="I33" s="63"/>
      <c r="J33" s="62"/>
      <c r="K33" s="63"/>
      <c r="L33" s="62">
        <f t="shared" si="1"/>
        <v>3937129.35</v>
      </c>
      <c r="M33" s="63">
        <f t="shared" si="2"/>
        <v>0</v>
      </c>
      <c r="N33" s="138"/>
    </row>
    <row r="34" spans="1:14" x14ac:dyDescent="0.3">
      <c r="A34" s="38" t="s">
        <v>27</v>
      </c>
      <c r="B34" s="38" t="s">
        <v>36</v>
      </c>
      <c r="C34" s="38" t="s">
        <v>41</v>
      </c>
      <c r="D34" s="38" t="s">
        <v>30</v>
      </c>
      <c r="E34" s="38" t="s">
        <v>31</v>
      </c>
      <c r="F34" s="54">
        <v>42496</v>
      </c>
      <c r="G34" s="55">
        <v>-3937129.35</v>
      </c>
      <c r="H34" s="62">
        <f t="shared" si="0"/>
        <v>-3937129.35</v>
      </c>
      <c r="I34" s="63"/>
      <c r="J34" s="62"/>
      <c r="K34" s="63"/>
      <c r="L34" s="62">
        <f t="shared" si="1"/>
        <v>-3937129.35</v>
      </c>
      <c r="M34" s="63">
        <f t="shared" si="2"/>
        <v>0</v>
      </c>
      <c r="N34" s="138"/>
    </row>
    <row r="35" spans="1:14" x14ac:dyDescent="0.3">
      <c r="A35" s="38" t="s">
        <v>27</v>
      </c>
      <c r="B35" s="38" t="s">
        <v>36</v>
      </c>
      <c r="C35" s="38" t="s">
        <v>41</v>
      </c>
      <c r="D35" s="38" t="s">
        <v>32</v>
      </c>
      <c r="E35" s="38" t="s">
        <v>31</v>
      </c>
      <c r="F35" s="54">
        <v>42521</v>
      </c>
      <c r="G35" s="55">
        <v>-18386.93</v>
      </c>
      <c r="H35" s="62">
        <f t="shared" si="0"/>
        <v>-18386.93</v>
      </c>
      <c r="I35" s="63"/>
      <c r="J35" s="62"/>
      <c r="K35" s="63"/>
      <c r="L35" s="62">
        <f t="shared" si="1"/>
        <v>-18386.93</v>
      </c>
      <c r="M35" s="63">
        <f t="shared" si="2"/>
        <v>0</v>
      </c>
      <c r="N35" s="138"/>
    </row>
    <row r="36" spans="1:14" x14ac:dyDescent="0.3">
      <c r="A36" s="38" t="s">
        <v>27</v>
      </c>
      <c r="B36" s="38" t="s">
        <v>36</v>
      </c>
      <c r="C36" s="38" t="s">
        <v>41</v>
      </c>
      <c r="D36" s="38" t="s">
        <v>30</v>
      </c>
      <c r="E36" s="38" t="s">
        <v>31</v>
      </c>
      <c r="F36" s="54">
        <v>42521</v>
      </c>
      <c r="G36" s="55">
        <v>4138133.43</v>
      </c>
      <c r="H36" s="62">
        <f t="shared" si="0"/>
        <v>4138133.43</v>
      </c>
      <c r="I36" s="63"/>
      <c r="J36" s="62"/>
      <c r="K36" s="63"/>
      <c r="L36" s="62">
        <f t="shared" si="1"/>
        <v>4138133.43</v>
      </c>
      <c r="M36" s="63">
        <f t="shared" si="2"/>
        <v>0</v>
      </c>
      <c r="N36" s="138"/>
    </row>
    <row r="37" spans="1:14" x14ac:dyDescent="0.3">
      <c r="A37" s="38" t="s">
        <v>27</v>
      </c>
      <c r="B37" s="38" t="s">
        <v>36</v>
      </c>
      <c r="C37" s="38" t="s">
        <v>41</v>
      </c>
      <c r="D37" s="38" t="s">
        <v>33</v>
      </c>
      <c r="E37" s="38" t="s">
        <v>31</v>
      </c>
      <c r="F37" s="54">
        <v>42521</v>
      </c>
      <c r="G37" s="55">
        <v>5833545.8700000001</v>
      </c>
      <c r="H37" s="62">
        <f t="shared" si="0"/>
        <v>5833545.8700000001</v>
      </c>
      <c r="I37" s="63"/>
      <c r="J37" s="62"/>
      <c r="K37" s="63"/>
      <c r="L37" s="62">
        <f t="shared" si="1"/>
        <v>5833545.8700000001</v>
      </c>
      <c r="M37" s="63">
        <f t="shared" si="2"/>
        <v>0</v>
      </c>
      <c r="N37" s="138"/>
    </row>
    <row r="38" spans="1:14" x14ac:dyDescent="0.3">
      <c r="A38" s="38" t="s">
        <v>27</v>
      </c>
      <c r="B38" s="38" t="s">
        <v>36</v>
      </c>
      <c r="C38" s="38" t="s">
        <v>42</v>
      </c>
      <c r="D38" s="38" t="s">
        <v>30</v>
      </c>
      <c r="E38" s="38" t="s">
        <v>31</v>
      </c>
      <c r="F38" s="54">
        <v>42531</v>
      </c>
      <c r="G38" s="55">
        <v>-4138133.43</v>
      </c>
      <c r="H38" s="62">
        <f t="shared" si="0"/>
        <v>-4138133.43</v>
      </c>
      <c r="I38" s="63"/>
      <c r="J38" s="62"/>
      <c r="K38" s="63"/>
      <c r="L38" s="62">
        <f t="shared" si="1"/>
        <v>-4138133.43</v>
      </c>
      <c r="M38" s="63">
        <f t="shared" si="2"/>
        <v>0</v>
      </c>
      <c r="N38" s="138"/>
    </row>
    <row r="39" spans="1:14" x14ac:dyDescent="0.3">
      <c r="A39" s="38" t="s">
        <v>27</v>
      </c>
      <c r="B39" s="38" t="s">
        <v>36</v>
      </c>
      <c r="C39" s="38" t="s">
        <v>42</v>
      </c>
      <c r="D39" s="38" t="s">
        <v>32</v>
      </c>
      <c r="E39" s="38" t="s">
        <v>31</v>
      </c>
      <c r="F39" s="54">
        <v>42550</v>
      </c>
      <c r="G39" s="55">
        <v>-20400.09</v>
      </c>
      <c r="H39" s="62">
        <f t="shared" si="0"/>
        <v>-20400.09</v>
      </c>
      <c r="I39" s="63"/>
      <c r="J39" s="62"/>
      <c r="K39" s="63"/>
      <c r="L39" s="62">
        <f t="shared" si="1"/>
        <v>-20400.09</v>
      </c>
      <c r="M39" s="63">
        <f t="shared" si="2"/>
        <v>0</v>
      </c>
      <c r="N39" s="138"/>
    </row>
    <row r="40" spans="1:14" x14ac:dyDescent="0.3">
      <c r="A40" s="38" t="s">
        <v>27</v>
      </c>
      <c r="B40" s="38" t="s">
        <v>36</v>
      </c>
      <c r="C40" s="38" t="s">
        <v>42</v>
      </c>
      <c r="D40" s="38" t="s">
        <v>30</v>
      </c>
      <c r="E40" s="38" t="s">
        <v>31</v>
      </c>
      <c r="F40" s="54">
        <v>42551</v>
      </c>
      <c r="G40" s="55">
        <v>3951306.66</v>
      </c>
      <c r="H40" s="62">
        <f t="shared" si="0"/>
        <v>3951306.66</v>
      </c>
      <c r="I40" s="63"/>
      <c r="J40" s="62"/>
      <c r="K40" s="63"/>
      <c r="L40" s="62">
        <f t="shared" si="1"/>
        <v>3951306.66</v>
      </c>
      <c r="M40" s="63">
        <f t="shared" si="2"/>
        <v>0</v>
      </c>
      <c r="N40" s="138"/>
    </row>
    <row r="41" spans="1:14" ht="15" x14ac:dyDescent="0.25">
      <c r="A41" s="38" t="s">
        <v>27</v>
      </c>
      <c r="B41" s="38" t="s">
        <v>36</v>
      </c>
      <c r="C41" s="38" t="s">
        <v>42</v>
      </c>
      <c r="D41" s="38" t="s">
        <v>33</v>
      </c>
      <c r="E41" s="38" t="s">
        <v>31</v>
      </c>
      <c r="F41" s="54">
        <v>42551</v>
      </c>
      <c r="G41" s="55">
        <v>6065798.7300000004</v>
      </c>
      <c r="H41" s="62">
        <f t="shared" si="0"/>
        <v>6065798.7300000004</v>
      </c>
      <c r="I41" s="63"/>
      <c r="J41" s="62"/>
      <c r="K41" s="63"/>
      <c r="L41" s="62">
        <f t="shared" si="1"/>
        <v>6065798.7300000004</v>
      </c>
      <c r="M41" s="63">
        <f t="shared" si="2"/>
        <v>0</v>
      </c>
      <c r="N41" s="138"/>
    </row>
    <row r="42" spans="1:14" ht="15" x14ac:dyDescent="0.25">
      <c r="A42" s="38" t="s">
        <v>27</v>
      </c>
      <c r="B42" s="38" t="s">
        <v>36</v>
      </c>
      <c r="C42" s="38" t="s">
        <v>43</v>
      </c>
      <c r="D42" s="38" t="s">
        <v>30</v>
      </c>
      <c r="E42" s="38" t="s">
        <v>31</v>
      </c>
      <c r="F42" s="54">
        <v>42562</v>
      </c>
      <c r="G42" s="55">
        <v>-3951306.66</v>
      </c>
      <c r="H42" s="62">
        <f t="shared" si="0"/>
        <v>-3951306.66</v>
      </c>
      <c r="I42" s="63"/>
      <c r="J42" s="62"/>
      <c r="K42" s="63"/>
      <c r="L42" s="62">
        <f t="shared" si="1"/>
        <v>-3951306.66</v>
      </c>
      <c r="M42" s="63">
        <f t="shared" si="2"/>
        <v>0</v>
      </c>
      <c r="N42" s="138"/>
    </row>
    <row r="43" spans="1:14" ht="15" x14ac:dyDescent="0.25">
      <c r="A43" s="38" t="s">
        <v>27</v>
      </c>
      <c r="B43" s="38" t="s">
        <v>36</v>
      </c>
      <c r="C43" s="38" t="s">
        <v>43</v>
      </c>
      <c r="D43" s="38" t="s">
        <v>33</v>
      </c>
      <c r="E43" s="38" t="s">
        <v>31</v>
      </c>
      <c r="F43" s="54">
        <v>42580</v>
      </c>
      <c r="G43" s="55">
        <v>-22042.18</v>
      </c>
      <c r="H43" s="62">
        <f t="shared" si="0"/>
        <v>-22042.18</v>
      </c>
      <c r="I43" s="63"/>
      <c r="J43" s="62"/>
      <c r="K43" s="63"/>
      <c r="L43" s="62">
        <f t="shared" si="1"/>
        <v>-22042.18</v>
      </c>
      <c r="M43" s="63">
        <f t="shared" si="2"/>
        <v>0</v>
      </c>
      <c r="N43" s="138"/>
    </row>
    <row r="44" spans="1:14" ht="15" x14ac:dyDescent="0.25">
      <c r="A44" s="38" t="s">
        <v>27</v>
      </c>
      <c r="B44" s="38" t="s">
        <v>36</v>
      </c>
      <c r="C44" s="38" t="s">
        <v>43</v>
      </c>
      <c r="D44" s="38" t="s">
        <v>33</v>
      </c>
      <c r="E44" s="38" t="s">
        <v>31</v>
      </c>
      <c r="F44" s="54">
        <v>42582</v>
      </c>
      <c r="G44" s="55">
        <v>5909908.9400000004</v>
      </c>
      <c r="H44" s="62">
        <f t="shared" si="0"/>
        <v>5909908.9400000004</v>
      </c>
      <c r="I44" s="63"/>
      <c r="J44" s="62"/>
      <c r="K44" s="63"/>
      <c r="L44" s="62">
        <f t="shared" si="1"/>
        <v>5909908.9400000004</v>
      </c>
      <c r="M44" s="63">
        <f t="shared" si="2"/>
        <v>0</v>
      </c>
      <c r="N44" s="138"/>
    </row>
    <row r="45" spans="1:14" ht="15" x14ac:dyDescent="0.25">
      <c r="A45" s="38" t="s">
        <v>27</v>
      </c>
      <c r="B45" s="38" t="s">
        <v>36</v>
      </c>
      <c r="C45" s="38" t="s">
        <v>43</v>
      </c>
      <c r="D45" s="38" t="s">
        <v>30</v>
      </c>
      <c r="E45" s="38" t="s">
        <v>31</v>
      </c>
      <c r="F45" s="54">
        <v>42582</v>
      </c>
      <c r="G45" s="55">
        <v>4283127.8</v>
      </c>
      <c r="H45" s="62">
        <f t="shared" si="0"/>
        <v>4283127.8</v>
      </c>
      <c r="I45" s="63"/>
      <c r="J45" s="62"/>
      <c r="K45" s="63"/>
      <c r="L45" s="62">
        <f t="shared" si="1"/>
        <v>4283127.8</v>
      </c>
      <c r="M45" s="63">
        <f t="shared" si="2"/>
        <v>0</v>
      </c>
      <c r="N45" s="138"/>
    </row>
    <row r="46" spans="1:14" ht="15" x14ac:dyDescent="0.25">
      <c r="A46" s="38" t="s">
        <v>27</v>
      </c>
      <c r="B46" s="38" t="s">
        <v>36</v>
      </c>
      <c r="C46" s="38" t="s">
        <v>44</v>
      </c>
      <c r="D46" s="38" t="s">
        <v>30</v>
      </c>
      <c r="E46" s="38" t="s">
        <v>31</v>
      </c>
      <c r="F46" s="54">
        <v>42591</v>
      </c>
      <c r="G46" s="55">
        <v>-4283127.8</v>
      </c>
      <c r="H46" s="62">
        <f t="shared" si="0"/>
        <v>-4283127.8</v>
      </c>
      <c r="I46" s="63"/>
      <c r="J46" s="62"/>
      <c r="K46" s="63"/>
      <c r="L46" s="62">
        <f t="shared" si="1"/>
        <v>-4283127.8</v>
      </c>
      <c r="M46" s="63">
        <f t="shared" si="2"/>
        <v>0</v>
      </c>
      <c r="N46" s="138"/>
    </row>
    <row r="47" spans="1:14" ht="15" x14ac:dyDescent="0.25">
      <c r="A47" s="38" t="s">
        <v>27</v>
      </c>
      <c r="B47" s="38" t="s">
        <v>36</v>
      </c>
      <c r="C47" s="38" t="s">
        <v>44</v>
      </c>
      <c r="D47" s="38" t="s">
        <v>32</v>
      </c>
      <c r="E47" s="38" t="s">
        <v>31</v>
      </c>
      <c r="F47" s="54">
        <v>42613</v>
      </c>
      <c r="G47" s="55">
        <v>-23225.17</v>
      </c>
      <c r="H47" s="62">
        <f t="shared" si="0"/>
        <v>-23225.17</v>
      </c>
      <c r="I47" s="63"/>
      <c r="J47" s="62"/>
      <c r="K47" s="63"/>
      <c r="L47" s="62">
        <f t="shared" si="1"/>
        <v>-23225.17</v>
      </c>
      <c r="M47" s="63">
        <f t="shared" si="2"/>
        <v>0</v>
      </c>
      <c r="N47" s="138"/>
    </row>
    <row r="48" spans="1:14" ht="15" x14ac:dyDescent="0.25">
      <c r="A48" s="38" t="s">
        <v>27</v>
      </c>
      <c r="B48" s="38" t="s">
        <v>36</v>
      </c>
      <c r="C48" s="38" t="s">
        <v>44</v>
      </c>
      <c r="D48" s="38" t="s">
        <v>30</v>
      </c>
      <c r="E48" s="38" t="s">
        <v>31</v>
      </c>
      <c r="F48" s="54">
        <v>42613</v>
      </c>
      <c r="G48" s="55">
        <v>4181333.58</v>
      </c>
      <c r="H48" s="62">
        <f t="shared" si="0"/>
        <v>4181333.58</v>
      </c>
      <c r="I48" s="63"/>
      <c r="J48" s="62"/>
      <c r="K48" s="63"/>
      <c r="L48" s="62">
        <f t="shared" si="1"/>
        <v>4181333.58</v>
      </c>
      <c r="M48" s="63">
        <f t="shared" si="2"/>
        <v>0</v>
      </c>
      <c r="N48" s="138"/>
    </row>
    <row r="49" spans="1:14" ht="15" x14ac:dyDescent="0.25">
      <c r="A49" s="38" t="s">
        <v>27</v>
      </c>
      <c r="B49" s="38" t="s">
        <v>36</v>
      </c>
      <c r="C49" s="38" t="s">
        <v>44</v>
      </c>
      <c r="D49" s="38" t="s">
        <v>33</v>
      </c>
      <c r="E49" s="38" t="s">
        <v>31</v>
      </c>
      <c r="F49" s="54">
        <v>42613</v>
      </c>
      <c r="G49" s="55">
        <v>6500357.9500000002</v>
      </c>
      <c r="H49" s="62">
        <f t="shared" si="0"/>
        <v>6500357.9500000002</v>
      </c>
      <c r="I49" s="63"/>
      <c r="J49" s="62"/>
      <c r="K49" s="63"/>
      <c r="L49" s="62">
        <f t="shared" si="1"/>
        <v>6500357.9500000002</v>
      </c>
      <c r="M49" s="63">
        <f t="shared" si="2"/>
        <v>0</v>
      </c>
      <c r="N49" s="138"/>
    </row>
    <row r="50" spans="1:14" ht="15" x14ac:dyDescent="0.25">
      <c r="A50" s="38" t="s">
        <v>27</v>
      </c>
      <c r="B50" s="38" t="s">
        <v>36</v>
      </c>
      <c r="C50" s="38" t="s">
        <v>45</v>
      </c>
      <c r="D50" s="38" t="s">
        <v>30</v>
      </c>
      <c r="E50" s="38" t="s">
        <v>31</v>
      </c>
      <c r="F50" s="54">
        <v>42627</v>
      </c>
      <c r="G50" s="55">
        <v>-4181333.58</v>
      </c>
      <c r="H50" s="62">
        <f t="shared" si="0"/>
        <v>-4181333.58</v>
      </c>
      <c r="I50" s="63"/>
      <c r="J50" s="62"/>
      <c r="K50" s="63"/>
      <c r="L50" s="62">
        <f t="shared" si="1"/>
        <v>-4181333.58</v>
      </c>
      <c r="M50" s="63">
        <f t="shared" si="2"/>
        <v>0</v>
      </c>
      <c r="N50" s="138"/>
    </row>
    <row r="51" spans="1:14" ht="15" x14ac:dyDescent="0.25">
      <c r="A51" s="38" t="s">
        <v>27</v>
      </c>
      <c r="B51" s="38" t="s">
        <v>36</v>
      </c>
      <c r="C51" s="38" t="s">
        <v>45</v>
      </c>
      <c r="D51" s="38" t="s">
        <v>33</v>
      </c>
      <c r="E51" s="38" t="s">
        <v>31</v>
      </c>
      <c r="F51" s="54">
        <v>42643</v>
      </c>
      <c r="G51" s="55">
        <v>-25808.6</v>
      </c>
      <c r="H51" s="62">
        <f t="shared" si="0"/>
        <v>-25808.6</v>
      </c>
      <c r="I51" s="63"/>
      <c r="J51" s="62"/>
      <c r="K51" s="63"/>
      <c r="L51" s="62">
        <f t="shared" si="1"/>
        <v>-25808.6</v>
      </c>
      <c r="M51" s="63">
        <f t="shared" si="2"/>
        <v>0</v>
      </c>
      <c r="N51" s="138"/>
    </row>
    <row r="52" spans="1:14" ht="15" x14ac:dyDescent="0.25">
      <c r="A52" s="38" t="s">
        <v>27</v>
      </c>
      <c r="B52" s="38" t="s">
        <v>36</v>
      </c>
      <c r="C52" s="38" t="s">
        <v>45</v>
      </c>
      <c r="D52" s="38" t="s">
        <v>33</v>
      </c>
      <c r="E52" s="38" t="s">
        <v>31</v>
      </c>
      <c r="F52" s="54">
        <v>42643</v>
      </c>
      <c r="G52" s="55">
        <v>6190977.7400000002</v>
      </c>
      <c r="H52" s="62">
        <f t="shared" si="0"/>
        <v>6190977.7400000002</v>
      </c>
      <c r="I52" s="63"/>
      <c r="J52" s="62"/>
      <c r="K52" s="63"/>
      <c r="L52" s="62">
        <f t="shared" si="1"/>
        <v>6190977.7400000002</v>
      </c>
      <c r="M52" s="63">
        <f t="shared" si="2"/>
        <v>0</v>
      </c>
      <c r="N52" s="138"/>
    </row>
    <row r="53" spans="1:14" ht="15" x14ac:dyDescent="0.25">
      <c r="A53" s="38" t="s">
        <v>27</v>
      </c>
      <c r="B53" s="38" t="s">
        <v>36</v>
      </c>
      <c r="C53" s="38" t="s">
        <v>45</v>
      </c>
      <c r="D53" s="38" t="s">
        <v>30</v>
      </c>
      <c r="E53" s="38" t="s">
        <v>31</v>
      </c>
      <c r="F53" s="54">
        <v>42643</v>
      </c>
      <c r="G53" s="55">
        <v>3868439.86</v>
      </c>
      <c r="H53" s="62">
        <f t="shared" si="0"/>
        <v>3868439.86</v>
      </c>
      <c r="I53" s="63"/>
      <c r="J53" s="62"/>
      <c r="K53" s="63"/>
      <c r="L53" s="62">
        <f t="shared" si="1"/>
        <v>3868439.86</v>
      </c>
      <c r="M53" s="63">
        <f t="shared" si="2"/>
        <v>0</v>
      </c>
      <c r="N53" s="138"/>
    </row>
    <row r="54" spans="1:14" ht="15" x14ac:dyDescent="0.25">
      <c r="A54" s="38" t="str">
        <f>+'Sept 16 Ex Tax Trued Up in Oct'!A4</f>
        <v>State Excise Taxes</v>
      </c>
      <c r="B54" s="38" t="str">
        <f>+'Sept 16 Ex Tax Trued Up in Oct'!B4</f>
        <v>2016</v>
      </c>
      <c r="C54" s="38" t="str">
        <f>+'Sept 16 Ex Tax Trued Up in Oct'!C4</f>
        <v>10</v>
      </c>
      <c r="D54" s="38" t="str">
        <f>+'Sept 16 Ex Tax Trued Up in Oct'!D4</f>
        <v>State Excise Tax True-up - Electric</v>
      </c>
      <c r="E54" s="38" t="str">
        <f>+'Sept 16 Ex Tax Trued Up in Oct'!E4</f>
        <v>40810002</v>
      </c>
      <c r="F54" s="54">
        <f>+'Sept 16 Ex Tax Trued Up in Oct'!F4</f>
        <v>42674</v>
      </c>
      <c r="G54" s="55">
        <v>0</v>
      </c>
      <c r="H54" s="62">
        <f t="shared" si="0"/>
        <v>0</v>
      </c>
      <c r="I54" s="79">
        <v>0</v>
      </c>
      <c r="J54" s="62">
        <f>+'Sept 16 Ex Tax Trued Up in Oct'!G4</f>
        <v>11753.7</v>
      </c>
      <c r="K54" s="79">
        <v>0</v>
      </c>
      <c r="L54" s="62">
        <f t="shared" ref="L54" si="3">+H54+J54</f>
        <v>11753.7</v>
      </c>
      <c r="M54" s="63">
        <f t="shared" ref="M54" si="4">+I54+K54</f>
        <v>0</v>
      </c>
      <c r="N54" s="139">
        <v>2</v>
      </c>
    </row>
    <row r="55" spans="1:14" ht="15" x14ac:dyDescent="0.25">
      <c r="A55" s="71" t="s">
        <v>19</v>
      </c>
      <c r="B55" s="71" t="s">
        <v>19</v>
      </c>
      <c r="C55" s="71" t="s">
        <v>19</v>
      </c>
      <c r="D55" s="71" t="s">
        <v>19</v>
      </c>
      <c r="E55" s="71" t="s">
        <v>19</v>
      </c>
      <c r="F55" s="72"/>
      <c r="G55" s="73">
        <v>83470342.010000005</v>
      </c>
      <c r="H55" s="74">
        <f>SUM(H6:H54)</f>
        <v>83470342.010000005</v>
      </c>
      <c r="I55" s="74">
        <f t="shared" ref="I55" si="5">SUM(I6:I53)</f>
        <v>0</v>
      </c>
      <c r="J55" s="74">
        <f>SUM(J5:J54)</f>
        <v>36245.15</v>
      </c>
      <c r="K55" s="74">
        <f t="shared" ref="K55:M55" si="6">SUM(K5:K54)</f>
        <v>0</v>
      </c>
      <c r="L55" s="75">
        <f t="shared" si="6"/>
        <v>83506587.160000011</v>
      </c>
      <c r="M55" s="74">
        <f t="shared" si="6"/>
        <v>0</v>
      </c>
      <c r="N55" s="138"/>
    </row>
    <row r="56" spans="1:14" ht="15" x14ac:dyDescent="0.25">
      <c r="A56" s="56" t="s">
        <v>63</v>
      </c>
      <c r="C56" s="57"/>
      <c r="D56" s="36"/>
      <c r="E56" s="36"/>
      <c r="F56" s="37"/>
      <c r="G56" s="36"/>
      <c r="H56" s="66"/>
      <c r="I56" s="65"/>
      <c r="J56" s="66"/>
      <c r="K56" s="65"/>
      <c r="L56" s="64"/>
      <c r="M56" s="63"/>
      <c r="N56" s="138"/>
    </row>
    <row r="57" spans="1:14" ht="15" x14ac:dyDescent="0.25">
      <c r="A57" s="38" t="s">
        <v>27</v>
      </c>
      <c r="B57" s="38" t="s">
        <v>28</v>
      </c>
      <c r="C57" s="38" t="s">
        <v>29</v>
      </c>
      <c r="D57" s="38" t="s">
        <v>46</v>
      </c>
      <c r="E57" s="38" t="s">
        <v>47</v>
      </c>
      <c r="F57" s="54">
        <v>42283</v>
      </c>
      <c r="G57" s="55">
        <v>-1104312</v>
      </c>
      <c r="H57" s="66"/>
      <c r="I57" s="67">
        <f>+G57</f>
        <v>-1104312</v>
      </c>
      <c r="J57" s="66"/>
      <c r="K57" s="65"/>
      <c r="L57" s="76">
        <f t="shared" ref="L57" si="7">+H57+J57</f>
        <v>0</v>
      </c>
      <c r="M57" s="77">
        <f t="shared" ref="M57" si="8">+I57+K57</f>
        <v>-1104312</v>
      </c>
      <c r="N57" s="138"/>
    </row>
    <row r="58" spans="1:14" ht="15" x14ac:dyDescent="0.25">
      <c r="A58" s="38" t="s">
        <v>27</v>
      </c>
      <c r="B58" s="38" t="s">
        <v>28</v>
      </c>
      <c r="C58" s="38" t="s">
        <v>29</v>
      </c>
      <c r="D58" s="38" t="s">
        <v>48</v>
      </c>
      <c r="E58" s="38" t="s">
        <v>47</v>
      </c>
      <c r="F58" s="54">
        <v>42307</v>
      </c>
      <c r="G58" s="55">
        <v>6731</v>
      </c>
      <c r="H58" s="64"/>
      <c r="I58" s="67">
        <f t="shared" ref="I58:I107" si="9">+G58</f>
        <v>6731</v>
      </c>
      <c r="J58" s="66"/>
      <c r="K58" s="67">
        <f>-G58</f>
        <v>-6731</v>
      </c>
      <c r="L58" s="76">
        <f t="shared" ref="L58:L107" si="10">+H58+J58</f>
        <v>0</v>
      </c>
      <c r="M58" s="77">
        <f t="shared" ref="M58:M107" si="11">+I58+K58</f>
        <v>0</v>
      </c>
      <c r="N58" s="139">
        <v>1</v>
      </c>
    </row>
    <row r="59" spans="1:14" ht="15" x14ac:dyDescent="0.25">
      <c r="A59" s="38" t="s">
        <v>27</v>
      </c>
      <c r="B59" s="38" t="s">
        <v>28</v>
      </c>
      <c r="C59" s="38" t="s">
        <v>29</v>
      </c>
      <c r="D59" s="38" t="s">
        <v>46</v>
      </c>
      <c r="E59" s="38" t="s">
        <v>47</v>
      </c>
      <c r="F59" s="54">
        <v>42307</v>
      </c>
      <c r="G59" s="55">
        <v>1425463.15</v>
      </c>
      <c r="H59" s="64"/>
      <c r="I59" s="67">
        <f t="shared" si="9"/>
        <v>1425463.15</v>
      </c>
      <c r="J59" s="64"/>
      <c r="K59" s="63"/>
      <c r="L59" s="76">
        <f t="shared" si="10"/>
        <v>0</v>
      </c>
      <c r="M59" s="77">
        <f t="shared" si="11"/>
        <v>1425463.15</v>
      </c>
      <c r="N59" s="138"/>
    </row>
    <row r="60" spans="1:14" ht="15" x14ac:dyDescent="0.25">
      <c r="A60" s="38" t="s">
        <v>27</v>
      </c>
      <c r="B60" s="38" t="s">
        <v>28</v>
      </c>
      <c r="C60" s="38" t="s">
        <v>29</v>
      </c>
      <c r="D60" s="38" t="s">
        <v>49</v>
      </c>
      <c r="E60" s="38" t="s">
        <v>47</v>
      </c>
      <c r="F60" s="54">
        <v>42307</v>
      </c>
      <c r="G60" s="55">
        <v>2034301.37</v>
      </c>
      <c r="H60" s="64"/>
      <c r="I60" s="67">
        <f t="shared" si="9"/>
        <v>2034301.37</v>
      </c>
      <c r="J60" s="64"/>
      <c r="K60" s="63"/>
      <c r="L60" s="76">
        <f t="shared" si="10"/>
        <v>0</v>
      </c>
      <c r="M60" s="77">
        <f t="shared" si="11"/>
        <v>2034301.37</v>
      </c>
      <c r="N60" s="138"/>
    </row>
    <row r="61" spans="1:14" ht="15" x14ac:dyDescent="0.25">
      <c r="A61" s="38" t="s">
        <v>27</v>
      </c>
      <c r="B61" s="38" t="s">
        <v>28</v>
      </c>
      <c r="C61" s="38" t="s">
        <v>34</v>
      </c>
      <c r="D61" s="38" t="s">
        <v>46</v>
      </c>
      <c r="E61" s="38" t="s">
        <v>47</v>
      </c>
      <c r="F61" s="54">
        <v>42314</v>
      </c>
      <c r="G61" s="55">
        <v>-1425463.15</v>
      </c>
      <c r="H61" s="64"/>
      <c r="I61" s="67">
        <f t="shared" si="9"/>
        <v>-1425463.15</v>
      </c>
      <c r="J61" s="64"/>
      <c r="K61" s="63"/>
      <c r="L61" s="76">
        <f t="shared" si="10"/>
        <v>0</v>
      </c>
      <c r="M61" s="77">
        <f t="shared" si="11"/>
        <v>-1425463.15</v>
      </c>
      <c r="N61" s="138"/>
    </row>
    <row r="62" spans="1:14" ht="15" x14ac:dyDescent="0.25">
      <c r="A62" s="38" t="s">
        <v>27</v>
      </c>
      <c r="B62" s="38" t="s">
        <v>28</v>
      </c>
      <c r="C62" s="38" t="s">
        <v>34</v>
      </c>
      <c r="D62" s="38" t="s">
        <v>49</v>
      </c>
      <c r="E62" s="38" t="s">
        <v>47</v>
      </c>
      <c r="F62" s="54">
        <v>42338</v>
      </c>
      <c r="G62" s="55">
        <v>3814387.55</v>
      </c>
      <c r="H62" s="64"/>
      <c r="I62" s="67">
        <f t="shared" si="9"/>
        <v>3814387.55</v>
      </c>
      <c r="J62" s="64"/>
      <c r="K62" s="63"/>
      <c r="L62" s="76">
        <f t="shared" si="10"/>
        <v>0</v>
      </c>
      <c r="M62" s="77">
        <f t="shared" si="11"/>
        <v>3814387.55</v>
      </c>
      <c r="N62" s="138"/>
    </row>
    <row r="63" spans="1:14" ht="15" x14ac:dyDescent="0.25">
      <c r="A63" s="38" t="s">
        <v>27</v>
      </c>
      <c r="B63" s="38" t="s">
        <v>28</v>
      </c>
      <c r="C63" s="38" t="s">
        <v>34</v>
      </c>
      <c r="D63" s="38" t="s">
        <v>46</v>
      </c>
      <c r="E63" s="38" t="s">
        <v>47</v>
      </c>
      <c r="F63" s="54">
        <v>42338</v>
      </c>
      <c r="G63" s="55">
        <v>2363129.87</v>
      </c>
      <c r="H63" s="64"/>
      <c r="I63" s="67">
        <f t="shared" si="9"/>
        <v>2363129.87</v>
      </c>
      <c r="J63" s="64"/>
      <c r="K63" s="63"/>
      <c r="L63" s="76">
        <f t="shared" si="10"/>
        <v>0</v>
      </c>
      <c r="M63" s="77">
        <f t="shared" si="11"/>
        <v>2363129.87</v>
      </c>
      <c r="N63" s="138"/>
    </row>
    <row r="64" spans="1:14" ht="15" x14ac:dyDescent="0.25">
      <c r="A64" s="38" t="s">
        <v>27</v>
      </c>
      <c r="B64" s="38" t="s">
        <v>28</v>
      </c>
      <c r="C64" s="38" t="s">
        <v>34</v>
      </c>
      <c r="D64" s="38" t="s">
        <v>49</v>
      </c>
      <c r="E64" s="38" t="s">
        <v>47</v>
      </c>
      <c r="F64" s="54">
        <v>42338</v>
      </c>
      <c r="G64" s="55">
        <v>-768490.28</v>
      </c>
      <c r="H64" s="64"/>
      <c r="I64" s="67">
        <f t="shared" si="9"/>
        <v>-768490.28</v>
      </c>
      <c r="J64" s="64"/>
      <c r="K64" s="63"/>
      <c r="L64" s="76">
        <f t="shared" si="10"/>
        <v>0</v>
      </c>
      <c r="M64" s="77">
        <f t="shared" si="11"/>
        <v>-768490.28</v>
      </c>
      <c r="N64" s="138"/>
    </row>
    <row r="65" spans="1:14" ht="15" x14ac:dyDescent="0.25">
      <c r="A65" s="38" t="s">
        <v>27</v>
      </c>
      <c r="B65" s="38" t="s">
        <v>28</v>
      </c>
      <c r="C65" s="38" t="s">
        <v>34</v>
      </c>
      <c r="D65" s="38" t="s">
        <v>48</v>
      </c>
      <c r="E65" s="38" t="s">
        <v>47</v>
      </c>
      <c r="F65" s="54">
        <v>42338</v>
      </c>
      <c r="G65" s="55">
        <v>12975.85</v>
      </c>
      <c r="H65" s="64"/>
      <c r="I65" s="67">
        <f t="shared" si="9"/>
        <v>12975.85</v>
      </c>
      <c r="J65" s="64"/>
      <c r="K65" s="63"/>
      <c r="L65" s="76">
        <f t="shared" si="10"/>
        <v>0</v>
      </c>
      <c r="M65" s="77">
        <f t="shared" si="11"/>
        <v>12975.85</v>
      </c>
      <c r="N65" s="138"/>
    </row>
    <row r="66" spans="1:14" ht="15" x14ac:dyDescent="0.25">
      <c r="A66" s="38" t="s">
        <v>27</v>
      </c>
      <c r="B66" s="38" t="s">
        <v>28</v>
      </c>
      <c r="C66" s="38" t="s">
        <v>35</v>
      </c>
      <c r="D66" s="38" t="s">
        <v>46</v>
      </c>
      <c r="E66" s="38" t="s">
        <v>47</v>
      </c>
      <c r="F66" s="54">
        <v>42347</v>
      </c>
      <c r="G66" s="55">
        <v>-2363129.87</v>
      </c>
      <c r="H66" s="64"/>
      <c r="I66" s="67">
        <f t="shared" si="9"/>
        <v>-2363129.87</v>
      </c>
      <c r="J66" s="64"/>
      <c r="K66" s="63"/>
      <c r="L66" s="76">
        <f t="shared" si="10"/>
        <v>0</v>
      </c>
      <c r="M66" s="77">
        <f t="shared" si="11"/>
        <v>-2363129.87</v>
      </c>
      <c r="N66" s="138"/>
    </row>
    <row r="67" spans="1:14" ht="15" x14ac:dyDescent="0.25">
      <c r="A67" s="38" t="s">
        <v>27</v>
      </c>
      <c r="B67" s="38" t="s">
        <v>28</v>
      </c>
      <c r="C67" s="38" t="s">
        <v>35</v>
      </c>
      <c r="D67" s="38" t="s">
        <v>48</v>
      </c>
      <c r="E67" s="38" t="s">
        <v>47</v>
      </c>
      <c r="F67" s="54">
        <v>42368</v>
      </c>
      <c r="G67" s="55">
        <v>-258.12</v>
      </c>
      <c r="H67" s="64"/>
      <c r="I67" s="67">
        <f t="shared" si="9"/>
        <v>-258.12</v>
      </c>
      <c r="J67" s="64"/>
      <c r="K67" s="63"/>
      <c r="L67" s="76">
        <f t="shared" si="10"/>
        <v>0</v>
      </c>
      <c r="M67" s="77">
        <f t="shared" si="11"/>
        <v>-258.12</v>
      </c>
      <c r="N67" s="138"/>
    </row>
    <row r="68" spans="1:14" ht="15" x14ac:dyDescent="0.25">
      <c r="A68" s="38" t="s">
        <v>27</v>
      </c>
      <c r="B68" s="38" t="s">
        <v>28</v>
      </c>
      <c r="C68" s="38" t="s">
        <v>35</v>
      </c>
      <c r="D68" s="38" t="s">
        <v>46</v>
      </c>
      <c r="E68" s="38" t="s">
        <v>47</v>
      </c>
      <c r="F68" s="54">
        <v>42368</v>
      </c>
      <c r="G68" s="55">
        <v>2660780.34</v>
      </c>
      <c r="H68" s="64"/>
      <c r="I68" s="67">
        <f t="shared" si="9"/>
        <v>2660780.34</v>
      </c>
      <c r="J68" s="64"/>
      <c r="K68" s="63"/>
      <c r="L68" s="76">
        <f t="shared" si="10"/>
        <v>0</v>
      </c>
      <c r="M68" s="77">
        <f t="shared" si="11"/>
        <v>2660780.34</v>
      </c>
      <c r="N68" s="138"/>
    </row>
    <row r="69" spans="1:14" ht="15" x14ac:dyDescent="0.25">
      <c r="A69" s="38" t="s">
        <v>27</v>
      </c>
      <c r="B69" s="38" t="s">
        <v>28</v>
      </c>
      <c r="C69" s="38" t="s">
        <v>35</v>
      </c>
      <c r="D69" s="38" t="s">
        <v>49</v>
      </c>
      <c r="E69" s="38" t="s">
        <v>47</v>
      </c>
      <c r="F69" s="54">
        <v>42368</v>
      </c>
      <c r="G69" s="55">
        <v>4552183.7</v>
      </c>
      <c r="H69" s="64"/>
      <c r="I69" s="67">
        <f t="shared" si="9"/>
        <v>4552183.7</v>
      </c>
      <c r="J69" s="64"/>
      <c r="K69" s="63"/>
      <c r="L69" s="76">
        <f t="shared" si="10"/>
        <v>0</v>
      </c>
      <c r="M69" s="77">
        <f t="shared" si="11"/>
        <v>4552183.7</v>
      </c>
      <c r="N69" s="138"/>
    </row>
    <row r="70" spans="1:14" ht="15" x14ac:dyDescent="0.25">
      <c r="A70" s="38" t="s">
        <v>27</v>
      </c>
      <c r="B70" s="38" t="s">
        <v>36</v>
      </c>
      <c r="C70" s="38" t="s">
        <v>37</v>
      </c>
      <c r="D70" s="38" t="s">
        <v>46</v>
      </c>
      <c r="E70" s="38" t="s">
        <v>47</v>
      </c>
      <c r="F70" s="54">
        <v>42380</v>
      </c>
      <c r="G70" s="55">
        <v>-2660780.34</v>
      </c>
      <c r="H70" s="64"/>
      <c r="I70" s="67">
        <f t="shared" si="9"/>
        <v>-2660780.34</v>
      </c>
      <c r="J70" s="64"/>
      <c r="K70" s="63"/>
      <c r="L70" s="76">
        <f t="shared" si="10"/>
        <v>0</v>
      </c>
      <c r="M70" s="77">
        <f t="shared" si="11"/>
        <v>-2660780.34</v>
      </c>
      <c r="N70" s="138"/>
    </row>
    <row r="71" spans="1:14" ht="15" x14ac:dyDescent="0.25">
      <c r="A71" s="38" t="s">
        <v>27</v>
      </c>
      <c r="B71" s="38" t="s">
        <v>36</v>
      </c>
      <c r="C71" s="38" t="s">
        <v>37</v>
      </c>
      <c r="D71" s="38" t="s">
        <v>48</v>
      </c>
      <c r="E71" s="38" t="s">
        <v>47</v>
      </c>
      <c r="F71" s="54">
        <v>42398</v>
      </c>
      <c r="G71" s="55">
        <v>-390.29</v>
      </c>
      <c r="H71" s="64"/>
      <c r="I71" s="67">
        <f t="shared" si="9"/>
        <v>-390.29</v>
      </c>
      <c r="J71" s="64"/>
      <c r="K71" s="63"/>
      <c r="L71" s="76">
        <f t="shared" si="10"/>
        <v>0</v>
      </c>
      <c r="M71" s="77">
        <f t="shared" si="11"/>
        <v>-390.29</v>
      </c>
      <c r="N71" s="138"/>
    </row>
    <row r="72" spans="1:14" ht="15" x14ac:dyDescent="0.25">
      <c r="A72" s="38" t="s">
        <v>27</v>
      </c>
      <c r="B72" s="38" t="s">
        <v>36</v>
      </c>
      <c r="C72" s="38" t="s">
        <v>37</v>
      </c>
      <c r="D72" s="38" t="s">
        <v>49</v>
      </c>
      <c r="E72" s="38" t="s">
        <v>47</v>
      </c>
      <c r="F72" s="54">
        <v>42398</v>
      </c>
      <c r="G72" s="55">
        <v>5109974.99</v>
      </c>
      <c r="H72" s="64"/>
      <c r="I72" s="67">
        <f t="shared" si="9"/>
        <v>5109974.99</v>
      </c>
      <c r="J72" s="64"/>
      <c r="K72" s="63"/>
      <c r="L72" s="76">
        <f t="shared" si="10"/>
        <v>0</v>
      </c>
      <c r="M72" s="77">
        <f t="shared" si="11"/>
        <v>5109974.99</v>
      </c>
      <c r="N72" s="138"/>
    </row>
    <row r="73" spans="1:14" ht="15" x14ac:dyDescent="0.25">
      <c r="A73" s="38" t="s">
        <v>27</v>
      </c>
      <c r="B73" s="38" t="s">
        <v>36</v>
      </c>
      <c r="C73" s="38" t="s">
        <v>37</v>
      </c>
      <c r="D73" s="38" t="s">
        <v>46</v>
      </c>
      <c r="E73" s="38" t="s">
        <v>47</v>
      </c>
      <c r="F73" s="54">
        <v>42398</v>
      </c>
      <c r="G73" s="55">
        <v>2229943.39</v>
      </c>
      <c r="H73" s="64"/>
      <c r="I73" s="67">
        <f t="shared" si="9"/>
        <v>2229943.39</v>
      </c>
      <c r="J73" s="64"/>
      <c r="K73" s="63"/>
      <c r="L73" s="76">
        <f t="shared" si="10"/>
        <v>0</v>
      </c>
      <c r="M73" s="77">
        <f t="shared" si="11"/>
        <v>2229943.39</v>
      </c>
      <c r="N73" s="138"/>
    </row>
    <row r="74" spans="1:14" ht="15" x14ac:dyDescent="0.25">
      <c r="A74" s="38" t="s">
        <v>27</v>
      </c>
      <c r="B74" s="38" t="s">
        <v>36</v>
      </c>
      <c r="C74" s="38" t="s">
        <v>38</v>
      </c>
      <c r="D74" s="38" t="s">
        <v>46</v>
      </c>
      <c r="E74" s="38" t="s">
        <v>47</v>
      </c>
      <c r="F74" s="54">
        <v>42405</v>
      </c>
      <c r="G74" s="55">
        <v>-2229943.39</v>
      </c>
      <c r="H74" s="64"/>
      <c r="I74" s="67">
        <f t="shared" si="9"/>
        <v>-2229943.39</v>
      </c>
      <c r="J74" s="64"/>
      <c r="K74" s="63"/>
      <c r="L74" s="76">
        <f t="shared" si="10"/>
        <v>0</v>
      </c>
      <c r="M74" s="77">
        <f t="shared" si="11"/>
        <v>-2229943.39</v>
      </c>
      <c r="N74" s="138"/>
    </row>
    <row r="75" spans="1:14" ht="15" x14ac:dyDescent="0.25">
      <c r="A75" s="38" t="s">
        <v>27</v>
      </c>
      <c r="B75" s="38" t="s">
        <v>36</v>
      </c>
      <c r="C75" s="38" t="s">
        <v>38</v>
      </c>
      <c r="D75" s="38" t="s">
        <v>48</v>
      </c>
      <c r="E75" s="38" t="s">
        <v>47</v>
      </c>
      <c r="F75" s="54">
        <v>42429</v>
      </c>
      <c r="G75" s="55">
        <v>13451.61</v>
      </c>
      <c r="H75" s="64"/>
      <c r="I75" s="67">
        <f t="shared" si="9"/>
        <v>13451.61</v>
      </c>
      <c r="J75" s="64"/>
      <c r="K75" s="63"/>
      <c r="L75" s="76">
        <f t="shared" si="10"/>
        <v>0</v>
      </c>
      <c r="M75" s="77">
        <f t="shared" si="11"/>
        <v>13451.61</v>
      </c>
      <c r="N75" s="138"/>
    </row>
    <row r="76" spans="1:14" ht="15" x14ac:dyDescent="0.25">
      <c r="A76" s="38" t="s">
        <v>27</v>
      </c>
      <c r="B76" s="38" t="s">
        <v>36</v>
      </c>
      <c r="C76" s="38" t="s">
        <v>38</v>
      </c>
      <c r="D76" s="38" t="s">
        <v>46</v>
      </c>
      <c r="E76" s="38" t="s">
        <v>47</v>
      </c>
      <c r="F76" s="54">
        <v>42429</v>
      </c>
      <c r="G76" s="55">
        <v>1786825.08</v>
      </c>
      <c r="H76" s="64"/>
      <c r="I76" s="67">
        <f t="shared" si="9"/>
        <v>1786825.08</v>
      </c>
      <c r="J76" s="64"/>
      <c r="K76" s="63"/>
      <c r="L76" s="76">
        <f t="shared" si="10"/>
        <v>0</v>
      </c>
      <c r="M76" s="77">
        <f t="shared" si="11"/>
        <v>1786825.08</v>
      </c>
      <c r="N76" s="138"/>
    </row>
    <row r="77" spans="1:14" ht="15" x14ac:dyDescent="0.25">
      <c r="A77" s="38" t="s">
        <v>27</v>
      </c>
      <c r="B77" s="38" t="s">
        <v>36</v>
      </c>
      <c r="C77" s="38" t="s">
        <v>38</v>
      </c>
      <c r="D77" s="38" t="s">
        <v>49</v>
      </c>
      <c r="E77" s="38" t="s">
        <v>47</v>
      </c>
      <c r="F77" s="54">
        <v>42429</v>
      </c>
      <c r="G77" s="55">
        <v>4168017.76</v>
      </c>
      <c r="H77" s="64"/>
      <c r="I77" s="67">
        <f t="shared" si="9"/>
        <v>4168017.76</v>
      </c>
      <c r="J77" s="64"/>
      <c r="K77" s="63"/>
      <c r="L77" s="76">
        <f t="shared" si="10"/>
        <v>0</v>
      </c>
      <c r="M77" s="77">
        <f t="shared" si="11"/>
        <v>4168017.76</v>
      </c>
      <c r="N77" s="138"/>
    </row>
    <row r="78" spans="1:14" ht="15" x14ac:dyDescent="0.25">
      <c r="A78" s="38" t="s">
        <v>27</v>
      </c>
      <c r="B78" s="38" t="s">
        <v>36</v>
      </c>
      <c r="C78" s="38" t="s">
        <v>39</v>
      </c>
      <c r="D78" s="38" t="s">
        <v>46</v>
      </c>
      <c r="E78" s="38" t="s">
        <v>47</v>
      </c>
      <c r="F78" s="54">
        <v>42436</v>
      </c>
      <c r="G78" s="55">
        <v>-1786825.08</v>
      </c>
      <c r="H78" s="64"/>
      <c r="I78" s="67">
        <f t="shared" si="9"/>
        <v>-1786825.08</v>
      </c>
      <c r="J78" s="64"/>
      <c r="K78" s="63"/>
      <c r="L78" s="76">
        <f t="shared" si="10"/>
        <v>0</v>
      </c>
      <c r="M78" s="77">
        <f t="shared" si="11"/>
        <v>-1786825.08</v>
      </c>
      <c r="N78" s="138"/>
    </row>
    <row r="79" spans="1:14" ht="15" x14ac:dyDescent="0.25">
      <c r="A79" s="38" t="s">
        <v>27</v>
      </c>
      <c r="B79" s="38" t="s">
        <v>36</v>
      </c>
      <c r="C79" s="38" t="s">
        <v>39</v>
      </c>
      <c r="D79" s="38" t="s">
        <v>50</v>
      </c>
      <c r="E79" s="38" t="s">
        <v>47</v>
      </c>
      <c r="F79" s="54">
        <v>42436</v>
      </c>
      <c r="G79" s="55">
        <v>-17323.990000000002</v>
      </c>
      <c r="H79" s="64"/>
      <c r="I79" s="67">
        <f t="shared" si="9"/>
        <v>-17323.990000000002</v>
      </c>
      <c r="J79" s="64"/>
      <c r="K79" s="63"/>
      <c r="L79" s="76">
        <f t="shared" si="10"/>
        <v>0</v>
      </c>
      <c r="M79" s="77">
        <f t="shared" si="11"/>
        <v>-17323.990000000002</v>
      </c>
      <c r="N79" s="138"/>
    </row>
    <row r="80" spans="1:14" ht="15" x14ac:dyDescent="0.25">
      <c r="A80" s="38" t="s">
        <v>27</v>
      </c>
      <c r="B80" s="38" t="s">
        <v>36</v>
      </c>
      <c r="C80" s="38" t="s">
        <v>39</v>
      </c>
      <c r="D80" s="38" t="s">
        <v>50</v>
      </c>
      <c r="E80" s="38" t="s">
        <v>47</v>
      </c>
      <c r="F80" s="54">
        <v>42436</v>
      </c>
      <c r="G80" s="55">
        <v>-13451.61</v>
      </c>
      <c r="H80" s="64"/>
      <c r="I80" s="67">
        <f t="shared" si="9"/>
        <v>-13451.61</v>
      </c>
      <c r="J80" s="64"/>
      <c r="K80" s="63"/>
      <c r="L80" s="76">
        <f t="shared" si="10"/>
        <v>0</v>
      </c>
      <c r="M80" s="77">
        <f t="shared" si="11"/>
        <v>-13451.61</v>
      </c>
      <c r="N80" s="138"/>
    </row>
    <row r="81" spans="1:14" ht="15" x14ac:dyDescent="0.25">
      <c r="A81" s="38" t="s">
        <v>27</v>
      </c>
      <c r="B81" s="38" t="s">
        <v>36</v>
      </c>
      <c r="C81" s="38" t="s">
        <v>39</v>
      </c>
      <c r="D81" s="38" t="s">
        <v>48</v>
      </c>
      <c r="E81" s="38" t="s">
        <v>47</v>
      </c>
      <c r="F81" s="54">
        <v>42460</v>
      </c>
      <c r="G81" s="55">
        <v>-682.2</v>
      </c>
      <c r="H81" s="64"/>
      <c r="I81" s="67">
        <f t="shared" si="9"/>
        <v>-682.2</v>
      </c>
      <c r="J81" s="64"/>
      <c r="K81" s="63"/>
      <c r="L81" s="76">
        <f t="shared" si="10"/>
        <v>0</v>
      </c>
      <c r="M81" s="77">
        <f t="shared" si="11"/>
        <v>-682.2</v>
      </c>
      <c r="N81" s="138"/>
    </row>
    <row r="82" spans="1:14" ht="15" x14ac:dyDescent="0.25">
      <c r="A82" s="38" t="s">
        <v>27</v>
      </c>
      <c r="B82" s="38" t="s">
        <v>36</v>
      </c>
      <c r="C82" s="38" t="s">
        <v>39</v>
      </c>
      <c r="D82" s="38" t="s">
        <v>46</v>
      </c>
      <c r="E82" s="38" t="s">
        <v>47</v>
      </c>
      <c r="F82" s="54">
        <v>42460</v>
      </c>
      <c r="G82" s="55">
        <v>1719315.03</v>
      </c>
      <c r="H82" s="64"/>
      <c r="I82" s="67">
        <f t="shared" si="9"/>
        <v>1719315.03</v>
      </c>
      <c r="J82" s="64"/>
      <c r="K82" s="63"/>
      <c r="L82" s="76">
        <f t="shared" si="10"/>
        <v>0</v>
      </c>
      <c r="M82" s="77">
        <f t="shared" si="11"/>
        <v>1719315.03</v>
      </c>
      <c r="N82" s="138"/>
    </row>
    <row r="83" spans="1:14" ht="15" x14ac:dyDescent="0.25">
      <c r="A83" s="38" t="s">
        <v>27</v>
      </c>
      <c r="B83" s="38" t="s">
        <v>36</v>
      </c>
      <c r="C83" s="38" t="s">
        <v>39</v>
      </c>
      <c r="D83" s="38" t="s">
        <v>49</v>
      </c>
      <c r="E83" s="38" t="s">
        <v>47</v>
      </c>
      <c r="F83" s="54">
        <v>42460</v>
      </c>
      <c r="G83" s="55">
        <v>3684446.3</v>
      </c>
      <c r="H83" s="64"/>
      <c r="I83" s="67">
        <f t="shared" si="9"/>
        <v>3684446.3</v>
      </c>
      <c r="J83" s="64"/>
      <c r="K83" s="63"/>
      <c r="L83" s="76">
        <f t="shared" si="10"/>
        <v>0</v>
      </c>
      <c r="M83" s="77">
        <f t="shared" si="11"/>
        <v>3684446.3</v>
      </c>
      <c r="N83" s="138"/>
    </row>
    <row r="84" spans="1:14" ht="15" x14ac:dyDescent="0.25">
      <c r="A84" s="38" t="s">
        <v>27</v>
      </c>
      <c r="B84" s="38" t="s">
        <v>36</v>
      </c>
      <c r="C84" s="38" t="s">
        <v>40</v>
      </c>
      <c r="D84" s="38" t="s">
        <v>46</v>
      </c>
      <c r="E84" s="38" t="s">
        <v>47</v>
      </c>
      <c r="F84" s="54">
        <v>42468</v>
      </c>
      <c r="G84" s="55">
        <v>-1719315.03</v>
      </c>
      <c r="H84" s="64"/>
      <c r="I84" s="67">
        <f t="shared" si="9"/>
        <v>-1719315.03</v>
      </c>
      <c r="J84" s="64"/>
      <c r="K84" s="63"/>
      <c r="L84" s="76">
        <f t="shared" si="10"/>
        <v>0</v>
      </c>
      <c r="M84" s="77">
        <f t="shared" si="11"/>
        <v>-1719315.03</v>
      </c>
      <c r="N84" s="138"/>
    </row>
    <row r="85" spans="1:14" ht="15" x14ac:dyDescent="0.25">
      <c r="A85" s="38" t="s">
        <v>27</v>
      </c>
      <c r="B85" s="38" t="s">
        <v>36</v>
      </c>
      <c r="C85" s="38" t="s">
        <v>40</v>
      </c>
      <c r="D85" s="38" t="s">
        <v>48</v>
      </c>
      <c r="E85" s="38" t="s">
        <v>47</v>
      </c>
      <c r="F85" s="54">
        <v>42490</v>
      </c>
      <c r="G85" s="55">
        <v>-3666.92</v>
      </c>
      <c r="H85" s="64"/>
      <c r="I85" s="67">
        <f t="shared" si="9"/>
        <v>-3666.92</v>
      </c>
      <c r="J85" s="64"/>
      <c r="K85" s="63"/>
      <c r="L85" s="76">
        <f t="shared" si="10"/>
        <v>0</v>
      </c>
      <c r="M85" s="77">
        <f t="shared" si="11"/>
        <v>-3666.92</v>
      </c>
      <c r="N85" s="138"/>
    </row>
    <row r="86" spans="1:14" ht="15" x14ac:dyDescent="0.25">
      <c r="A86" s="38" t="s">
        <v>27</v>
      </c>
      <c r="B86" s="38" t="s">
        <v>36</v>
      </c>
      <c r="C86" s="38" t="s">
        <v>40</v>
      </c>
      <c r="D86" s="38" t="s">
        <v>49</v>
      </c>
      <c r="E86" s="38" t="s">
        <v>47</v>
      </c>
      <c r="F86" s="54">
        <v>42490</v>
      </c>
      <c r="G86" s="55">
        <v>2776555.69</v>
      </c>
      <c r="H86" s="64"/>
      <c r="I86" s="67">
        <f t="shared" si="9"/>
        <v>2776555.69</v>
      </c>
      <c r="J86" s="64"/>
      <c r="K86" s="63"/>
      <c r="L86" s="76">
        <f t="shared" si="10"/>
        <v>0</v>
      </c>
      <c r="M86" s="77">
        <f t="shared" si="11"/>
        <v>2776555.69</v>
      </c>
      <c r="N86" s="138"/>
    </row>
    <row r="87" spans="1:14" ht="15" x14ac:dyDescent="0.25">
      <c r="A87" s="38" t="s">
        <v>27</v>
      </c>
      <c r="B87" s="38" t="s">
        <v>36</v>
      </c>
      <c r="C87" s="38" t="s">
        <v>40</v>
      </c>
      <c r="D87" s="38" t="s">
        <v>46</v>
      </c>
      <c r="E87" s="38" t="s">
        <v>47</v>
      </c>
      <c r="F87" s="54">
        <v>42490</v>
      </c>
      <c r="G87" s="55">
        <v>1167260.81</v>
      </c>
      <c r="H87" s="64"/>
      <c r="I87" s="67">
        <f t="shared" si="9"/>
        <v>1167260.81</v>
      </c>
      <c r="J87" s="64"/>
      <c r="K87" s="63"/>
      <c r="L87" s="76">
        <f t="shared" si="10"/>
        <v>0</v>
      </c>
      <c r="M87" s="77">
        <f t="shared" si="11"/>
        <v>1167260.81</v>
      </c>
      <c r="N87" s="138"/>
    </row>
    <row r="88" spans="1:14" ht="15" x14ac:dyDescent="0.25">
      <c r="A88" s="38" t="s">
        <v>27</v>
      </c>
      <c r="B88" s="38" t="s">
        <v>36</v>
      </c>
      <c r="C88" s="38" t="s">
        <v>41</v>
      </c>
      <c r="D88" s="38" t="s">
        <v>46</v>
      </c>
      <c r="E88" s="38" t="s">
        <v>47</v>
      </c>
      <c r="F88" s="54">
        <v>42496</v>
      </c>
      <c r="G88" s="55">
        <v>-1167260.81</v>
      </c>
      <c r="H88" s="64"/>
      <c r="I88" s="67">
        <f t="shared" si="9"/>
        <v>-1167260.81</v>
      </c>
      <c r="J88" s="64"/>
      <c r="K88" s="63"/>
      <c r="L88" s="76">
        <f t="shared" si="10"/>
        <v>0</v>
      </c>
      <c r="M88" s="77">
        <f t="shared" si="11"/>
        <v>-1167260.81</v>
      </c>
      <c r="N88" s="138"/>
    </row>
    <row r="89" spans="1:14" ht="15" x14ac:dyDescent="0.25">
      <c r="A89" s="38" t="s">
        <v>27</v>
      </c>
      <c r="B89" s="38" t="s">
        <v>36</v>
      </c>
      <c r="C89" s="38" t="s">
        <v>41</v>
      </c>
      <c r="D89" s="38" t="s">
        <v>48</v>
      </c>
      <c r="E89" s="38" t="s">
        <v>47</v>
      </c>
      <c r="F89" s="54">
        <v>42521</v>
      </c>
      <c r="G89" s="55">
        <v>-996.41</v>
      </c>
      <c r="H89" s="64"/>
      <c r="I89" s="67">
        <f t="shared" si="9"/>
        <v>-996.41</v>
      </c>
      <c r="J89" s="64"/>
      <c r="K89" s="63"/>
      <c r="L89" s="76">
        <f t="shared" si="10"/>
        <v>0</v>
      </c>
      <c r="M89" s="77">
        <f t="shared" si="11"/>
        <v>-996.41</v>
      </c>
      <c r="N89" s="138"/>
    </row>
    <row r="90" spans="1:14" ht="15" x14ac:dyDescent="0.25">
      <c r="A90" s="38" t="s">
        <v>27</v>
      </c>
      <c r="B90" s="38" t="s">
        <v>36</v>
      </c>
      <c r="C90" s="38" t="s">
        <v>41</v>
      </c>
      <c r="D90" s="38" t="s">
        <v>46</v>
      </c>
      <c r="E90" s="38" t="s">
        <v>47</v>
      </c>
      <c r="F90" s="54">
        <v>42521</v>
      </c>
      <c r="G90" s="55">
        <v>1104456.6200000001</v>
      </c>
      <c r="H90" s="64"/>
      <c r="I90" s="67">
        <f t="shared" si="9"/>
        <v>1104456.6200000001</v>
      </c>
      <c r="J90" s="64"/>
      <c r="K90" s="63"/>
      <c r="L90" s="76">
        <f t="shared" si="10"/>
        <v>0</v>
      </c>
      <c r="M90" s="77">
        <f t="shared" si="11"/>
        <v>1104456.6200000001</v>
      </c>
      <c r="N90" s="138"/>
    </row>
    <row r="91" spans="1:14" ht="15" x14ac:dyDescent="0.25">
      <c r="A91" s="38" t="s">
        <v>27</v>
      </c>
      <c r="B91" s="38" t="s">
        <v>36</v>
      </c>
      <c r="C91" s="38" t="s">
        <v>41</v>
      </c>
      <c r="D91" s="38" t="s">
        <v>49</v>
      </c>
      <c r="E91" s="38" t="s">
        <v>47</v>
      </c>
      <c r="F91" s="54">
        <v>42521</v>
      </c>
      <c r="G91" s="55">
        <v>1880903.92</v>
      </c>
      <c r="H91" s="64"/>
      <c r="I91" s="67">
        <f t="shared" si="9"/>
        <v>1880903.92</v>
      </c>
      <c r="J91" s="64"/>
      <c r="K91" s="63"/>
      <c r="L91" s="76">
        <f t="shared" si="10"/>
        <v>0</v>
      </c>
      <c r="M91" s="77">
        <f t="shared" si="11"/>
        <v>1880903.92</v>
      </c>
      <c r="N91" s="138"/>
    </row>
    <row r="92" spans="1:14" ht="15" x14ac:dyDescent="0.25">
      <c r="A92" s="38" t="s">
        <v>27</v>
      </c>
      <c r="B92" s="38" t="s">
        <v>36</v>
      </c>
      <c r="C92" s="38" t="s">
        <v>42</v>
      </c>
      <c r="D92" s="38" t="s">
        <v>46</v>
      </c>
      <c r="E92" s="38" t="s">
        <v>47</v>
      </c>
      <c r="F92" s="54">
        <v>42531</v>
      </c>
      <c r="G92" s="55">
        <v>-1104456.6200000001</v>
      </c>
      <c r="H92" s="64"/>
      <c r="I92" s="67">
        <f t="shared" si="9"/>
        <v>-1104456.6200000001</v>
      </c>
      <c r="J92" s="64"/>
      <c r="K92" s="63"/>
      <c r="L92" s="76">
        <f t="shared" si="10"/>
        <v>0</v>
      </c>
      <c r="M92" s="77">
        <f t="shared" si="11"/>
        <v>-1104456.6200000001</v>
      </c>
      <c r="N92" s="138"/>
    </row>
    <row r="93" spans="1:14" ht="15" x14ac:dyDescent="0.25">
      <c r="A93" s="38" t="s">
        <v>27</v>
      </c>
      <c r="B93" s="38" t="s">
        <v>36</v>
      </c>
      <c r="C93" s="38" t="s">
        <v>42</v>
      </c>
      <c r="D93" s="38" t="s">
        <v>48</v>
      </c>
      <c r="E93" s="38" t="s">
        <v>47</v>
      </c>
      <c r="F93" s="54">
        <v>42550</v>
      </c>
      <c r="G93" s="55">
        <v>-118.34</v>
      </c>
      <c r="H93" s="64"/>
      <c r="I93" s="67">
        <f t="shared" si="9"/>
        <v>-118.34</v>
      </c>
      <c r="J93" s="64"/>
      <c r="K93" s="63"/>
      <c r="L93" s="76">
        <f t="shared" si="10"/>
        <v>0</v>
      </c>
      <c r="M93" s="77">
        <f t="shared" si="11"/>
        <v>-118.34</v>
      </c>
      <c r="N93" s="138"/>
    </row>
    <row r="94" spans="1:14" ht="15" x14ac:dyDescent="0.25">
      <c r="A94" s="38" t="s">
        <v>27</v>
      </c>
      <c r="B94" s="38" t="s">
        <v>36</v>
      </c>
      <c r="C94" s="38" t="s">
        <v>42</v>
      </c>
      <c r="D94" s="38" t="s">
        <v>46</v>
      </c>
      <c r="E94" s="38" t="s">
        <v>47</v>
      </c>
      <c r="F94" s="54">
        <v>42551</v>
      </c>
      <c r="G94" s="55">
        <v>933311.22</v>
      </c>
      <c r="H94" s="64"/>
      <c r="I94" s="67">
        <f t="shared" si="9"/>
        <v>933311.22</v>
      </c>
      <c r="J94" s="64"/>
      <c r="K94" s="63"/>
      <c r="L94" s="76">
        <f t="shared" si="10"/>
        <v>0</v>
      </c>
      <c r="M94" s="77">
        <f t="shared" si="11"/>
        <v>933311.22</v>
      </c>
      <c r="N94" s="138"/>
    </row>
    <row r="95" spans="1:14" ht="15" x14ac:dyDescent="0.25">
      <c r="A95" s="38" t="s">
        <v>27</v>
      </c>
      <c r="B95" s="38" t="s">
        <v>36</v>
      </c>
      <c r="C95" s="38" t="s">
        <v>42</v>
      </c>
      <c r="D95" s="38" t="s">
        <v>49</v>
      </c>
      <c r="E95" s="38" t="s">
        <v>47</v>
      </c>
      <c r="F95" s="54">
        <v>42551</v>
      </c>
      <c r="G95" s="55">
        <v>1717582.53</v>
      </c>
      <c r="H95" s="64"/>
      <c r="I95" s="67">
        <f t="shared" si="9"/>
        <v>1717582.53</v>
      </c>
      <c r="J95" s="64"/>
      <c r="K95" s="63"/>
      <c r="L95" s="76">
        <f t="shared" si="10"/>
        <v>0</v>
      </c>
      <c r="M95" s="77">
        <f t="shared" si="11"/>
        <v>1717582.53</v>
      </c>
      <c r="N95" s="138"/>
    </row>
    <row r="96" spans="1:14" ht="15" x14ac:dyDescent="0.25">
      <c r="A96" s="38" t="s">
        <v>27</v>
      </c>
      <c r="B96" s="38" t="s">
        <v>36</v>
      </c>
      <c r="C96" s="38" t="s">
        <v>43</v>
      </c>
      <c r="D96" s="38" t="s">
        <v>46</v>
      </c>
      <c r="E96" s="38" t="s">
        <v>47</v>
      </c>
      <c r="F96" s="54">
        <v>42562</v>
      </c>
      <c r="G96" s="55">
        <v>-933311.22</v>
      </c>
      <c r="H96" s="64"/>
      <c r="I96" s="67">
        <f t="shared" si="9"/>
        <v>-933311.22</v>
      </c>
      <c r="J96" s="64"/>
      <c r="K96" s="63"/>
      <c r="L96" s="76">
        <f t="shared" si="10"/>
        <v>0</v>
      </c>
      <c r="M96" s="77">
        <f t="shared" si="11"/>
        <v>-933311.22</v>
      </c>
      <c r="N96" s="138"/>
    </row>
    <row r="97" spans="1:14" ht="15" x14ac:dyDescent="0.25">
      <c r="A97" s="38" t="s">
        <v>27</v>
      </c>
      <c r="B97" s="38" t="s">
        <v>36</v>
      </c>
      <c r="C97" s="38" t="s">
        <v>43</v>
      </c>
      <c r="D97" s="38" t="s">
        <v>49</v>
      </c>
      <c r="E97" s="38" t="s">
        <v>47</v>
      </c>
      <c r="F97" s="54">
        <v>42580</v>
      </c>
      <c r="G97" s="55">
        <v>-105.9</v>
      </c>
      <c r="H97" s="64"/>
      <c r="I97" s="67">
        <f t="shared" si="9"/>
        <v>-105.9</v>
      </c>
      <c r="J97" s="64"/>
      <c r="K97" s="63"/>
      <c r="L97" s="76">
        <f t="shared" si="10"/>
        <v>0</v>
      </c>
      <c r="M97" s="77">
        <f t="shared" si="11"/>
        <v>-105.9</v>
      </c>
      <c r="N97" s="138"/>
    </row>
    <row r="98" spans="1:14" ht="15" x14ac:dyDescent="0.25">
      <c r="A98" s="38" t="s">
        <v>27</v>
      </c>
      <c r="B98" s="38" t="s">
        <v>36</v>
      </c>
      <c r="C98" s="38" t="s">
        <v>43</v>
      </c>
      <c r="D98" s="38" t="s">
        <v>49</v>
      </c>
      <c r="E98" s="38" t="s">
        <v>47</v>
      </c>
      <c r="F98" s="54">
        <v>42582</v>
      </c>
      <c r="G98" s="55">
        <v>1488341.22</v>
      </c>
      <c r="H98" s="64"/>
      <c r="I98" s="67">
        <f t="shared" si="9"/>
        <v>1488341.22</v>
      </c>
      <c r="J98" s="64"/>
      <c r="K98" s="63"/>
      <c r="L98" s="76">
        <f t="shared" si="10"/>
        <v>0</v>
      </c>
      <c r="M98" s="77">
        <f t="shared" si="11"/>
        <v>1488341.22</v>
      </c>
      <c r="N98" s="138"/>
    </row>
    <row r="99" spans="1:14" ht="15" x14ac:dyDescent="0.25">
      <c r="A99" s="38" t="s">
        <v>27</v>
      </c>
      <c r="B99" s="38" t="s">
        <v>36</v>
      </c>
      <c r="C99" s="38" t="s">
        <v>43</v>
      </c>
      <c r="D99" s="38" t="s">
        <v>46</v>
      </c>
      <c r="E99" s="38" t="s">
        <v>47</v>
      </c>
      <c r="F99" s="54">
        <v>42582</v>
      </c>
      <c r="G99" s="55">
        <v>894651.71</v>
      </c>
      <c r="H99" s="64"/>
      <c r="I99" s="67">
        <f t="shared" si="9"/>
        <v>894651.71</v>
      </c>
      <c r="J99" s="64"/>
      <c r="K99" s="63"/>
      <c r="L99" s="76">
        <f t="shared" si="10"/>
        <v>0</v>
      </c>
      <c r="M99" s="77">
        <f t="shared" si="11"/>
        <v>894651.71</v>
      </c>
      <c r="N99" s="138"/>
    </row>
    <row r="100" spans="1:14" ht="15" x14ac:dyDescent="0.25">
      <c r="A100" s="38" t="s">
        <v>27</v>
      </c>
      <c r="B100" s="38" t="s">
        <v>36</v>
      </c>
      <c r="C100" s="38" t="s">
        <v>44</v>
      </c>
      <c r="D100" s="38" t="s">
        <v>46</v>
      </c>
      <c r="E100" s="38" t="s">
        <v>47</v>
      </c>
      <c r="F100" s="54">
        <v>42591</v>
      </c>
      <c r="G100" s="55">
        <v>-894651.71</v>
      </c>
      <c r="H100" s="64"/>
      <c r="I100" s="67">
        <f t="shared" si="9"/>
        <v>-894651.71</v>
      </c>
      <c r="J100" s="64"/>
      <c r="K100" s="63"/>
      <c r="L100" s="76">
        <f t="shared" si="10"/>
        <v>0</v>
      </c>
      <c r="M100" s="77">
        <f t="shared" si="11"/>
        <v>-894651.71</v>
      </c>
      <c r="N100" s="138"/>
    </row>
    <row r="101" spans="1:14" ht="15" x14ac:dyDescent="0.25">
      <c r="A101" s="38" t="s">
        <v>27</v>
      </c>
      <c r="B101" s="38" t="s">
        <v>36</v>
      </c>
      <c r="C101" s="38" t="s">
        <v>44</v>
      </c>
      <c r="D101" s="38" t="s">
        <v>48</v>
      </c>
      <c r="E101" s="38" t="s">
        <v>47</v>
      </c>
      <c r="F101" s="54">
        <v>42613</v>
      </c>
      <c r="G101" s="55">
        <v>-105.86</v>
      </c>
      <c r="H101" s="64"/>
      <c r="I101" s="67">
        <f t="shared" si="9"/>
        <v>-105.86</v>
      </c>
      <c r="J101" s="64"/>
      <c r="K101" s="63"/>
      <c r="L101" s="76">
        <f t="shared" si="10"/>
        <v>0</v>
      </c>
      <c r="M101" s="77">
        <f t="shared" si="11"/>
        <v>-105.86</v>
      </c>
      <c r="N101" s="138"/>
    </row>
    <row r="102" spans="1:14" ht="15" x14ac:dyDescent="0.25">
      <c r="A102" s="38" t="s">
        <v>27</v>
      </c>
      <c r="B102" s="38" t="s">
        <v>36</v>
      </c>
      <c r="C102" s="38" t="s">
        <v>44</v>
      </c>
      <c r="D102" s="38" t="s">
        <v>46</v>
      </c>
      <c r="E102" s="38" t="s">
        <v>47</v>
      </c>
      <c r="F102" s="54">
        <v>42613</v>
      </c>
      <c r="G102" s="55">
        <v>860624.76</v>
      </c>
      <c r="H102" s="64"/>
      <c r="I102" s="67">
        <f t="shared" si="9"/>
        <v>860624.76</v>
      </c>
      <c r="J102" s="64"/>
      <c r="K102" s="63"/>
      <c r="L102" s="76">
        <f t="shared" si="10"/>
        <v>0</v>
      </c>
      <c r="M102" s="77">
        <f t="shared" si="11"/>
        <v>860624.76</v>
      </c>
      <c r="N102" s="138"/>
    </row>
    <row r="103" spans="1:14" ht="15" x14ac:dyDescent="0.25">
      <c r="A103" s="38" t="s">
        <v>27</v>
      </c>
      <c r="B103" s="38" t="s">
        <v>36</v>
      </c>
      <c r="C103" s="38" t="s">
        <v>44</v>
      </c>
      <c r="D103" s="38" t="s">
        <v>49</v>
      </c>
      <c r="E103" s="38" t="s">
        <v>47</v>
      </c>
      <c r="F103" s="54">
        <v>42613</v>
      </c>
      <c r="G103" s="55">
        <v>1325131.8400000001</v>
      </c>
      <c r="H103" s="64"/>
      <c r="I103" s="67">
        <f t="shared" si="9"/>
        <v>1325131.8400000001</v>
      </c>
      <c r="J103" s="64"/>
      <c r="K103" s="63"/>
      <c r="L103" s="76">
        <f t="shared" si="10"/>
        <v>0</v>
      </c>
      <c r="M103" s="77">
        <f t="shared" si="11"/>
        <v>1325131.8400000001</v>
      </c>
      <c r="N103" s="138"/>
    </row>
    <row r="104" spans="1:14" ht="15" x14ac:dyDescent="0.25">
      <c r="A104" s="38" t="s">
        <v>27</v>
      </c>
      <c r="B104" s="38" t="s">
        <v>36</v>
      </c>
      <c r="C104" s="38" t="s">
        <v>45</v>
      </c>
      <c r="D104" s="38" t="s">
        <v>46</v>
      </c>
      <c r="E104" s="38" t="s">
        <v>47</v>
      </c>
      <c r="F104" s="54">
        <v>42627</v>
      </c>
      <c r="G104" s="55">
        <v>-860624.76</v>
      </c>
      <c r="H104" s="64"/>
      <c r="I104" s="67">
        <f t="shared" si="9"/>
        <v>-860624.76</v>
      </c>
      <c r="J104" s="64"/>
      <c r="K104" s="63"/>
      <c r="L104" s="76">
        <f t="shared" si="10"/>
        <v>0</v>
      </c>
      <c r="M104" s="77">
        <f t="shared" si="11"/>
        <v>-860624.76</v>
      </c>
      <c r="N104" s="138"/>
    </row>
    <row r="105" spans="1:14" ht="15" x14ac:dyDescent="0.25">
      <c r="A105" s="38" t="s">
        <v>27</v>
      </c>
      <c r="B105" s="38" t="s">
        <v>36</v>
      </c>
      <c r="C105" s="38" t="s">
        <v>45</v>
      </c>
      <c r="D105" s="38" t="s">
        <v>49</v>
      </c>
      <c r="E105" s="38" t="s">
        <v>47</v>
      </c>
      <c r="F105" s="54">
        <v>42643</v>
      </c>
      <c r="G105" s="55">
        <v>-49.1</v>
      </c>
      <c r="H105" s="64"/>
      <c r="I105" s="67">
        <f t="shared" si="9"/>
        <v>-49.1</v>
      </c>
      <c r="J105" s="64"/>
      <c r="K105" s="63"/>
      <c r="L105" s="76">
        <f t="shared" si="10"/>
        <v>0</v>
      </c>
      <c r="M105" s="77">
        <f t="shared" si="11"/>
        <v>-49.1</v>
      </c>
      <c r="N105" s="138"/>
    </row>
    <row r="106" spans="1:14" ht="15" x14ac:dyDescent="0.25">
      <c r="A106" s="38" t="s">
        <v>27</v>
      </c>
      <c r="B106" s="38" t="s">
        <v>36</v>
      </c>
      <c r="C106" s="38" t="s">
        <v>45</v>
      </c>
      <c r="D106" s="38" t="s">
        <v>49</v>
      </c>
      <c r="E106" s="38" t="s">
        <v>47</v>
      </c>
      <c r="F106" s="54">
        <v>42643</v>
      </c>
      <c r="G106" s="55">
        <v>1422732.61</v>
      </c>
      <c r="H106" s="64"/>
      <c r="I106" s="67">
        <f t="shared" si="9"/>
        <v>1422732.61</v>
      </c>
      <c r="J106" s="64"/>
      <c r="K106" s="63"/>
      <c r="L106" s="76">
        <f t="shared" si="10"/>
        <v>0</v>
      </c>
      <c r="M106" s="77">
        <f t="shared" si="11"/>
        <v>1422732.61</v>
      </c>
      <c r="N106" s="138"/>
    </row>
    <row r="107" spans="1:14" ht="15" x14ac:dyDescent="0.25">
      <c r="A107" s="38" t="s">
        <v>27</v>
      </c>
      <c r="B107" s="38" t="s">
        <v>36</v>
      </c>
      <c r="C107" s="38" t="s">
        <v>45</v>
      </c>
      <c r="D107" s="38" t="s">
        <v>46</v>
      </c>
      <c r="E107" s="38" t="s">
        <v>47</v>
      </c>
      <c r="F107" s="54">
        <v>42643</v>
      </c>
      <c r="G107" s="55">
        <v>1007268.29</v>
      </c>
      <c r="H107" s="64"/>
      <c r="I107" s="67">
        <f t="shared" si="9"/>
        <v>1007268.29</v>
      </c>
      <c r="J107" s="64"/>
      <c r="K107" s="63"/>
      <c r="L107" s="76">
        <f t="shared" si="10"/>
        <v>0</v>
      </c>
      <c r="M107" s="77">
        <f t="shared" si="11"/>
        <v>1007268.29</v>
      </c>
      <c r="N107" s="138"/>
    </row>
    <row r="108" spans="1:14" ht="15" x14ac:dyDescent="0.25">
      <c r="A108" s="71" t="s">
        <v>19</v>
      </c>
      <c r="B108" s="71" t="s">
        <v>19</v>
      </c>
      <c r="C108" s="71" t="s">
        <v>19</v>
      </c>
      <c r="D108" s="71" t="s">
        <v>19</v>
      </c>
      <c r="E108" s="71" t="s">
        <v>19</v>
      </c>
      <c r="F108" s="72"/>
      <c r="G108" s="73">
        <v>33105035.210000001</v>
      </c>
      <c r="H108" s="74">
        <f>SUM(H57:H107)</f>
        <v>0</v>
      </c>
      <c r="I108" s="74">
        <f>SUM(I57:I107)</f>
        <v>33105035.210000005</v>
      </c>
      <c r="J108" s="74">
        <f t="shared" ref="J108:M108" si="12">SUM(J57:J107)</f>
        <v>0</v>
      </c>
      <c r="K108" s="74">
        <f t="shared" si="12"/>
        <v>-6731</v>
      </c>
      <c r="L108" s="74">
        <f t="shared" si="12"/>
        <v>0</v>
      </c>
      <c r="M108" s="74">
        <f t="shared" si="12"/>
        <v>33098304.210000005</v>
      </c>
      <c r="N108" s="138"/>
    </row>
    <row r="109" spans="1:14" x14ac:dyDescent="0.3">
      <c r="A109" s="56" t="s">
        <v>64</v>
      </c>
      <c r="C109" s="36"/>
      <c r="D109" s="36"/>
      <c r="E109" s="36"/>
      <c r="F109" s="37"/>
      <c r="G109" s="36"/>
      <c r="H109" s="66"/>
      <c r="I109" s="65"/>
      <c r="J109" s="66"/>
      <c r="K109" s="63"/>
      <c r="L109" s="64"/>
      <c r="M109" s="63"/>
      <c r="N109" s="138"/>
    </row>
    <row r="110" spans="1:14" x14ac:dyDescent="0.3">
      <c r="A110" s="38" t="s">
        <v>51</v>
      </c>
      <c r="B110" s="38" t="s">
        <v>28</v>
      </c>
      <c r="C110" s="38" t="s">
        <v>29</v>
      </c>
      <c r="D110" s="38" t="s">
        <v>52</v>
      </c>
      <c r="E110" s="38" t="s">
        <v>53</v>
      </c>
      <c r="F110" s="54">
        <v>42307</v>
      </c>
      <c r="G110" s="55">
        <v>199.7</v>
      </c>
      <c r="H110" s="68">
        <f ca="1">+G110*H$3</f>
        <v>134.15845999999999</v>
      </c>
      <c r="I110" s="69">
        <f ca="1">+G110*I$3</f>
        <v>65.541539999999998</v>
      </c>
      <c r="J110" s="78">
        <f ca="1">-H110</f>
        <v>-134.15845999999999</v>
      </c>
      <c r="K110" s="79">
        <f ca="1">-I110</f>
        <v>-65.541539999999998</v>
      </c>
      <c r="L110" s="76">
        <f t="shared" ref="L110" ca="1" si="13">+H110+J110</f>
        <v>0</v>
      </c>
      <c r="M110" s="77">
        <f t="shared" ref="M110" ca="1" si="14">+I110+K110</f>
        <v>0</v>
      </c>
      <c r="N110" s="139">
        <v>1</v>
      </c>
    </row>
    <row r="111" spans="1:14" x14ac:dyDescent="0.3">
      <c r="A111" s="38" t="s">
        <v>51</v>
      </c>
      <c r="B111" s="38" t="s">
        <v>28</v>
      </c>
      <c r="C111" s="38" t="s">
        <v>29</v>
      </c>
      <c r="D111" s="38" t="s">
        <v>54</v>
      </c>
      <c r="E111" s="38" t="s">
        <v>53</v>
      </c>
      <c r="F111" s="54">
        <v>42307</v>
      </c>
      <c r="G111" s="55">
        <v>6000</v>
      </c>
      <c r="H111" s="68">
        <f t="shared" ref="H111:H146" ca="1" si="15">+G111*H$3</f>
        <v>4030.7999999999997</v>
      </c>
      <c r="I111" s="69">
        <f t="shared" ref="I111:I146" ca="1" si="16">+G111*I$3</f>
        <v>1969.2</v>
      </c>
      <c r="J111" s="66"/>
      <c r="K111" s="63"/>
      <c r="L111" s="76">
        <f t="shared" ref="L111:L145" ca="1" si="17">+H111+J111</f>
        <v>4030.7999999999997</v>
      </c>
      <c r="M111" s="77">
        <f t="shared" ref="M111:M145" ca="1" si="18">+I111+K111</f>
        <v>1969.2</v>
      </c>
      <c r="N111" s="138"/>
    </row>
    <row r="112" spans="1:14" x14ac:dyDescent="0.3">
      <c r="A112" s="38" t="s">
        <v>51</v>
      </c>
      <c r="B112" s="38" t="s">
        <v>28</v>
      </c>
      <c r="C112" s="38" t="s">
        <v>29</v>
      </c>
      <c r="D112" s="38" t="s">
        <v>55</v>
      </c>
      <c r="E112" s="38" t="s">
        <v>53</v>
      </c>
      <c r="F112" s="54">
        <v>42307</v>
      </c>
      <c r="G112" s="55">
        <v>121415</v>
      </c>
      <c r="H112" s="68">
        <f t="shared" ca="1" si="15"/>
        <v>81566.596999999994</v>
      </c>
      <c r="I112" s="69">
        <f t="shared" ca="1" si="16"/>
        <v>39848.402999999998</v>
      </c>
      <c r="J112" s="64"/>
      <c r="K112" s="63"/>
      <c r="L112" s="76">
        <f t="shared" ca="1" si="17"/>
        <v>81566.596999999994</v>
      </c>
      <c r="M112" s="77">
        <f t="shared" ca="1" si="18"/>
        <v>39848.402999999998</v>
      </c>
      <c r="N112" s="138"/>
    </row>
    <row r="113" spans="1:14" x14ac:dyDescent="0.3">
      <c r="A113" s="38" t="s">
        <v>51</v>
      </c>
      <c r="B113" s="38" t="s">
        <v>28</v>
      </c>
      <c r="C113" s="38" t="s">
        <v>34</v>
      </c>
      <c r="D113" s="38" t="s">
        <v>52</v>
      </c>
      <c r="E113" s="38" t="s">
        <v>53</v>
      </c>
      <c r="F113" s="54">
        <v>42338</v>
      </c>
      <c r="G113" s="55">
        <v>-0.1</v>
      </c>
      <c r="H113" s="68">
        <f t="shared" ca="1" si="15"/>
        <v>-6.7180000000000004E-2</v>
      </c>
      <c r="I113" s="69">
        <f t="shared" ca="1" si="16"/>
        <v>-3.2820000000000002E-2</v>
      </c>
      <c r="J113" s="64"/>
      <c r="K113" s="63"/>
      <c r="L113" s="76">
        <f t="shared" ca="1" si="17"/>
        <v>-6.7180000000000004E-2</v>
      </c>
      <c r="M113" s="77">
        <f t="shared" ca="1" si="18"/>
        <v>-3.2820000000000002E-2</v>
      </c>
      <c r="N113" s="138"/>
    </row>
    <row r="114" spans="1:14" x14ac:dyDescent="0.3">
      <c r="A114" s="38" t="s">
        <v>51</v>
      </c>
      <c r="B114" s="38" t="s">
        <v>28</v>
      </c>
      <c r="C114" s="38" t="s">
        <v>34</v>
      </c>
      <c r="D114" s="38" t="s">
        <v>54</v>
      </c>
      <c r="E114" s="38" t="s">
        <v>53</v>
      </c>
      <c r="F114" s="54">
        <v>42338</v>
      </c>
      <c r="G114" s="55">
        <v>6000</v>
      </c>
      <c r="H114" s="68">
        <f t="shared" ca="1" si="15"/>
        <v>4030.7999999999997</v>
      </c>
      <c r="I114" s="69">
        <f t="shared" ca="1" si="16"/>
        <v>1969.2</v>
      </c>
      <c r="J114" s="64"/>
      <c r="K114" s="63"/>
      <c r="L114" s="76">
        <f t="shared" ca="1" si="17"/>
        <v>4030.7999999999997</v>
      </c>
      <c r="M114" s="77">
        <f t="shared" ca="1" si="18"/>
        <v>1969.2</v>
      </c>
      <c r="N114" s="138"/>
    </row>
    <row r="115" spans="1:14" x14ac:dyDescent="0.3">
      <c r="A115" s="38" t="s">
        <v>51</v>
      </c>
      <c r="B115" s="38" t="s">
        <v>28</v>
      </c>
      <c r="C115" s="38" t="s">
        <v>34</v>
      </c>
      <c r="D115" s="38" t="s">
        <v>55</v>
      </c>
      <c r="E115" s="38" t="s">
        <v>53</v>
      </c>
      <c r="F115" s="54">
        <v>42338</v>
      </c>
      <c r="G115" s="55">
        <v>42595.040000000001</v>
      </c>
      <c r="H115" s="68">
        <f t="shared" ca="1" si="15"/>
        <v>28615.347871999998</v>
      </c>
      <c r="I115" s="69">
        <f t="shared" ca="1" si="16"/>
        <v>13979.692128000001</v>
      </c>
      <c r="J115" s="64"/>
      <c r="K115" s="63"/>
      <c r="L115" s="76">
        <f t="shared" ca="1" si="17"/>
        <v>28615.347871999998</v>
      </c>
      <c r="M115" s="77">
        <f t="shared" ca="1" si="18"/>
        <v>13979.692128000001</v>
      </c>
      <c r="N115" s="138"/>
    </row>
    <row r="116" spans="1:14" x14ac:dyDescent="0.3">
      <c r="A116" s="38" t="s">
        <v>51</v>
      </c>
      <c r="B116" s="38" t="s">
        <v>28</v>
      </c>
      <c r="C116" s="38" t="s">
        <v>35</v>
      </c>
      <c r="D116" s="38" t="s">
        <v>52</v>
      </c>
      <c r="E116" s="38" t="s">
        <v>53</v>
      </c>
      <c r="F116" s="54">
        <v>42368</v>
      </c>
      <c r="G116" s="55">
        <v>-7.0000000000000007E-2</v>
      </c>
      <c r="H116" s="68">
        <f t="shared" ca="1" si="15"/>
        <v>-4.7025999999999998E-2</v>
      </c>
      <c r="I116" s="69">
        <f t="shared" ca="1" si="16"/>
        <v>-2.2974000000000001E-2</v>
      </c>
      <c r="J116" s="64"/>
      <c r="K116" s="63"/>
      <c r="L116" s="76">
        <f t="shared" ca="1" si="17"/>
        <v>-4.7025999999999998E-2</v>
      </c>
      <c r="M116" s="77">
        <f t="shared" ca="1" si="18"/>
        <v>-2.2974000000000001E-2</v>
      </c>
      <c r="N116" s="138"/>
    </row>
    <row r="117" spans="1:14" x14ac:dyDescent="0.3">
      <c r="A117" s="38" t="s">
        <v>51</v>
      </c>
      <c r="B117" s="38" t="s">
        <v>28</v>
      </c>
      <c r="C117" s="38" t="s">
        <v>35</v>
      </c>
      <c r="D117" s="38" t="s">
        <v>54</v>
      </c>
      <c r="E117" s="38" t="s">
        <v>53</v>
      </c>
      <c r="F117" s="54">
        <v>42368</v>
      </c>
      <c r="G117" s="55">
        <v>27000</v>
      </c>
      <c r="H117" s="68">
        <f t="shared" ca="1" si="15"/>
        <v>18138.599999999999</v>
      </c>
      <c r="I117" s="69">
        <f t="shared" ca="1" si="16"/>
        <v>8861.4</v>
      </c>
      <c r="J117" s="64"/>
      <c r="K117" s="63"/>
      <c r="L117" s="76">
        <f t="shared" ca="1" si="17"/>
        <v>18138.599999999999</v>
      </c>
      <c r="M117" s="77">
        <f t="shared" ca="1" si="18"/>
        <v>8861.4</v>
      </c>
      <c r="N117" s="138"/>
    </row>
    <row r="118" spans="1:14" x14ac:dyDescent="0.3">
      <c r="A118" s="38" t="s">
        <v>51</v>
      </c>
      <c r="B118" s="38" t="s">
        <v>28</v>
      </c>
      <c r="C118" s="38" t="s">
        <v>35</v>
      </c>
      <c r="D118" s="38" t="s">
        <v>55</v>
      </c>
      <c r="E118" s="38" t="s">
        <v>53</v>
      </c>
      <c r="F118" s="54">
        <v>42368</v>
      </c>
      <c r="G118" s="55">
        <v>141234.76999999999</v>
      </c>
      <c r="H118" s="68">
        <f t="shared" ca="1" si="15"/>
        <v>94881.518485999986</v>
      </c>
      <c r="I118" s="69">
        <f t="shared" ca="1" si="16"/>
        <v>46353.251513999996</v>
      </c>
      <c r="J118" s="64"/>
      <c r="K118" s="63"/>
      <c r="L118" s="76">
        <f t="shared" ca="1" si="17"/>
        <v>94881.518485999986</v>
      </c>
      <c r="M118" s="77">
        <f t="shared" ca="1" si="18"/>
        <v>46353.251513999996</v>
      </c>
      <c r="N118" s="138"/>
    </row>
    <row r="119" spans="1:14" x14ac:dyDescent="0.3">
      <c r="A119" s="38" t="s">
        <v>51</v>
      </c>
      <c r="B119" s="38" t="s">
        <v>36</v>
      </c>
      <c r="C119" s="38" t="s">
        <v>37</v>
      </c>
      <c r="D119" s="38" t="s">
        <v>55</v>
      </c>
      <c r="E119" s="38" t="s">
        <v>53</v>
      </c>
      <c r="F119" s="54">
        <v>42398</v>
      </c>
      <c r="G119" s="55">
        <v>78298.27</v>
      </c>
      <c r="H119" s="68">
        <f t="shared" ca="1" si="15"/>
        <v>52600.777785999999</v>
      </c>
      <c r="I119" s="69">
        <f t="shared" ca="1" si="16"/>
        <v>25697.492214000002</v>
      </c>
      <c r="J119" s="64"/>
      <c r="K119" s="63"/>
      <c r="L119" s="76">
        <f t="shared" ca="1" si="17"/>
        <v>52600.777785999999</v>
      </c>
      <c r="M119" s="77">
        <f t="shared" ca="1" si="18"/>
        <v>25697.492214000002</v>
      </c>
      <c r="N119" s="138"/>
    </row>
    <row r="120" spans="1:14" x14ac:dyDescent="0.3">
      <c r="A120" s="38" t="s">
        <v>51</v>
      </c>
      <c r="B120" s="38" t="s">
        <v>36</v>
      </c>
      <c r="C120" s="38" t="s">
        <v>37</v>
      </c>
      <c r="D120" s="38" t="s">
        <v>54</v>
      </c>
      <c r="E120" s="38" t="s">
        <v>53</v>
      </c>
      <c r="F120" s="54">
        <v>42398</v>
      </c>
      <c r="G120" s="55">
        <v>5000</v>
      </c>
      <c r="H120" s="68">
        <f t="shared" ca="1" si="15"/>
        <v>3358.9999999999995</v>
      </c>
      <c r="I120" s="69">
        <f t="shared" ca="1" si="16"/>
        <v>1641</v>
      </c>
      <c r="J120" s="64"/>
      <c r="K120" s="63"/>
      <c r="L120" s="76">
        <f t="shared" ca="1" si="17"/>
        <v>3358.9999999999995</v>
      </c>
      <c r="M120" s="77">
        <f t="shared" ca="1" si="18"/>
        <v>1641</v>
      </c>
      <c r="N120" s="138"/>
    </row>
    <row r="121" spans="1:14" x14ac:dyDescent="0.3">
      <c r="A121" s="38" t="s">
        <v>51</v>
      </c>
      <c r="B121" s="38" t="s">
        <v>36</v>
      </c>
      <c r="C121" s="38" t="s">
        <v>37</v>
      </c>
      <c r="D121" s="38" t="s">
        <v>52</v>
      </c>
      <c r="E121" s="38" t="s">
        <v>53</v>
      </c>
      <c r="F121" s="54">
        <v>42398</v>
      </c>
      <c r="G121" s="55">
        <v>5056.78</v>
      </c>
      <c r="H121" s="68">
        <f t="shared" ca="1" si="15"/>
        <v>3397.1448039999996</v>
      </c>
      <c r="I121" s="69">
        <f t="shared" ca="1" si="16"/>
        <v>1659.635196</v>
      </c>
      <c r="J121" s="64"/>
      <c r="K121" s="63"/>
      <c r="L121" s="76">
        <f t="shared" ca="1" si="17"/>
        <v>3397.1448039999996</v>
      </c>
      <c r="M121" s="77">
        <f t="shared" ca="1" si="18"/>
        <v>1659.635196</v>
      </c>
      <c r="N121" s="138"/>
    </row>
    <row r="122" spans="1:14" x14ac:dyDescent="0.3">
      <c r="A122" s="38" t="s">
        <v>51</v>
      </c>
      <c r="B122" s="38" t="s">
        <v>36</v>
      </c>
      <c r="C122" s="38" t="s">
        <v>38</v>
      </c>
      <c r="D122" s="38" t="s">
        <v>54</v>
      </c>
      <c r="E122" s="38" t="s">
        <v>53</v>
      </c>
      <c r="F122" s="54">
        <v>42426</v>
      </c>
      <c r="G122" s="55">
        <v>4000</v>
      </c>
      <c r="H122" s="68">
        <f t="shared" ca="1" si="15"/>
        <v>2687.2</v>
      </c>
      <c r="I122" s="69">
        <f t="shared" ca="1" si="16"/>
        <v>1312.8</v>
      </c>
      <c r="J122" s="64"/>
      <c r="K122" s="63"/>
      <c r="L122" s="76">
        <f t="shared" ca="1" si="17"/>
        <v>2687.2</v>
      </c>
      <c r="M122" s="77">
        <f t="shared" ca="1" si="18"/>
        <v>1312.8</v>
      </c>
      <c r="N122" s="138"/>
    </row>
    <row r="123" spans="1:14" x14ac:dyDescent="0.3">
      <c r="A123" s="38" t="s">
        <v>51</v>
      </c>
      <c r="B123" s="38" t="s">
        <v>36</v>
      </c>
      <c r="C123" s="38" t="s">
        <v>38</v>
      </c>
      <c r="D123" s="38" t="s">
        <v>52</v>
      </c>
      <c r="E123" s="38" t="s">
        <v>53</v>
      </c>
      <c r="F123" s="54">
        <v>42429</v>
      </c>
      <c r="G123" s="55">
        <v>0.09</v>
      </c>
      <c r="H123" s="68">
        <f t="shared" ca="1" si="15"/>
        <v>6.0461999999999995E-2</v>
      </c>
      <c r="I123" s="69">
        <f t="shared" ca="1" si="16"/>
        <v>2.9537999999999998E-2</v>
      </c>
      <c r="J123" s="64"/>
      <c r="K123" s="63"/>
      <c r="L123" s="76">
        <f t="shared" ca="1" si="17"/>
        <v>6.0461999999999995E-2</v>
      </c>
      <c r="M123" s="77">
        <f t="shared" ca="1" si="18"/>
        <v>2.9537999999999998E-2</v>
      </c>
      <c r="N123" s="138"/>
    </row>
    <row r="124" spans="1:14" x14ac:dyDescent="0.3">
      <c r="A124" s="38" t="s">
        <v>51</v>
      </c>
      <c r="B124" s="38" t="s">
        <v>36</v>
      </c>
      <c r="C124" s="38" t="s">
        <v>38</v>
      </c>
      <c r="D124" s="38" t="s">
        <v>55</v>
      </c>
      <c r="E124" s="38" t="s">
        <v>53</v>
      </c>
      <c r="F124" s="54">
        <v>42429</v>
      </c>
      <c r="G124" s="55">
        <v>83809.039999999994</v>
      </c>
      <c r="H124" s="68">
        <f t="shared" ca="1" si="15"/>
        <v>56302.913071999988</v>
      </c>
      <c r="I124" s="69">
        <f t="shared" ca="1" si="16"/>
        <v>27506.126927999998</v>
      </c>
      <c r="J124" s="64"/>
      <c r="K124" s="63"/>
      <c r="L124" s="76">
        <f t="shared" ca="1" si="17"/>
        <v>56302.913071999988</v>
      </c>
      <c r="M124" s="77">
        <f t="shared" ca="1" si="18"/>
        <v>27506.126927999998</v>
      </c>
      <c r="N124" s="138"/>
    </row>
    <row r="125" spans="1:14" x14ac:dyDescent="0.3">
      <c r="A125" s="38" t="s">
        <v>51</v>
      </c>
      <c r="B125" s="38" t="s">
        <v>36</v>
      </c>
      <c r="C125" s="38" t="s">
        <v>39</v>
      </c>
      <c r="D125" s="38" t="s">
        <v>52</v>
      </c>
      <c r="E125" s="38" t="s">
        <v>53</v>
      </c>
      <c r="F125" s="54">
        <v>42460</v>
      </c>
      <c r="G125" s="55">
        <v>-0.27</v>
      </c>
      <c r="H125" s="68">
        <f t="shared" ca="1" si="15"/>
        <v>-0.18138599999999999</v>
      </c>
      <c r="I125" s="69">
        <f t="shared" ca="1" si="16"/>
        <v>-8.8613999999999998E-2</v>
      </c>
      <c r="J125" s="64"/>
      <c r="K125" s="63"/>
      <c r="L125" s="76">
        <f t="shared" ca="1" si="17"/>
        <v>-0.18138599999999999</v>
      </c>
      <c r="M125" s="77">
        <f t="shared" ca="1" si="18"/>
        <v>-8.8613999999999998E-2</v>
      </c>
      <c r="N125" s="138"/>
    </row>
    <row r="126" spans="1:14" x14ac:dyDescent="0.3">
      <c r="A126" s="38" t="s">
        <v>51</v>
      </c>
      <c r="B126" s="38" t="s">
        <v>36</v>
      </c>
      <c r="C126" s="38" t="s">
        <v>39</v>
      </c>
      <c r="D126" s="38" t="s">
        <v>54</v>
      </c>
      <c r="E126" s="38" t="s">
        <v>53</v>
      </c>
      <c r="F126" s="54">
        <v>42460</v>
      </c>
      <c r="G126" s="55">
        <v>6000</v>
      </c>
      <c r="H126" s="68">
        <f t="shared" ca="1" si="15"/>
        <v>4030.7999999999997</v>
      </c>
      <c r="I126" s="69">
        <f t="shared" ca="1" si="16"/>
        <v>1969.2</v>
      </c>
      <c r="J126" s="64"/>
      <c r="K126" s="63"/>
      <c r="L126" s="76">
        <f t="shared" ca="1" si="17"/>
        <v>4030.7999999999997</v>
      </c>
      <c r="M126" s="77">
        <f t="shared" ca="1" si="18"/>
        <v>1969.2</v>
      </c>
      <c r="N126" s="138"/>
    </row>
    <row r="127" spans="1:14" x14ac:dyDescent="0.3">
      <c r="A127" s="38" t="s">
        <v>51</v>
      </c>
      <c r="B127" s="38" t="s">
        <v>36</v>
      </c>
      <c r="C127" s="38" t="s">
        <v>39</v>
      </c>
      <c r="D127" s="38" t="s">
        <v>55</v>
      </c>
      <c r="E127" s="38" t="s">
        <v>53</v>
      </c>
      <c r="F127" s="54">
        <v>42460</v>
      </c>
      <c r="G127" s="55">
        <v>78824.94</v>
      </c>
      <c r="H127" s="68">
        <f t="shared" ca="1" si="15"/>
        <v>52954.594691999999</v>
      </c>
      <c r="I127" s="69">
        <f t="shared" ca="1" si="16"/>
        <v>25870.345308</v>
      </c>
      <c r="J127" s="64"/>
      <c r="K127" s="63"/>
      <c r="L127" s="76">
        <f t="shared" ca="1" si="17"/>
        <v>52954.594691999999</v>
      </c>
      <c r="M127" s="77">
        <f t="shared" ca="1" si="18"/>
        <v>25870.345308</v>
      </c>
      <c r="N127" s="138"/>
    </row>
    <row r="128" spans="1:14" x14ac:dyDescent="0.3">
      <c r="A128" s="38" t="s">
        <v>51</v>
      </c>
      <c r="B128" s="38" t="s">
        <v>36</v>
      </c>
      <c r="C128" s="38" t="s">
        <v>40</v>
      </c>
      <c r="D128" s="38" t="s">
        <v>54</v>
      </c>
      <c r="E128" s="38" t="s">
        <v>53</v>
      </c>
      <c r="F128" s="54">
        <v>42487</v>
      </c>
      <c r="G128" s="55">
        <v>4000</v>
      </c>
      <c r="H128" s="68">
        <f t="shared" ca="1" si="15"/>
        <v>2687.2</v>
      </c>
      <c r="I128" s="69">
        <f t="shared" ca="1" si="16"/>
        <v>1312.8</v>
      </c>
      <c r="J128" s="64"/>
      <c r="K128" s="63"/>
      <c r="L128" s="76">
        <f t="shared" ca="1" si="17"/>
        <v>2687.2</v>
      </c>
      <c r="M128" s="77">
        <f t="shared" ca="1" si="18"/>
        <v>1312.8</v>
      </c>
      <c r="N128" s="138"/>
    </row>
    <row r="129" spans="1:14" x14ac:dyDescent="0.3">
      <c r="A129" s="38" t="s">
        <v>51</v>
      </c>
      <c r="B129" s="38" t="s">
        <v>36</v>
      </c>
      <c r="C129" s="38" t="s">
        <v>40</v>
      </c>
      <c r="D129" s="38" t="s">
        <v>52</v>
      </c>
      <c r="E129" s="38" t="s">
        <v>53</v>
      </c>
      <c r="F129" s="54">
        <v>42490</v>
      </c>
      <c r="G129" s="55">
        <v>-0.1</v>
      </c>
      <c r="H129" s="68">
        <f t="shared" ca="1" si="15"/>
        <v>-6.7180000000000004E-2</v>
      </c>
      <c r="I129" s="69">
        <f t="shared" ca="1" si="16"/>
        <v>-3.2820000000000002E-2</v>
      </c>
      <c r="J129" s="64"/>
      <c r="K129" s="63"/>
      <c r="L129" s="76">
        <f t="shared" ca="1" si="17"/>
        <v>-6.7180000000000004E-2</v>
      </c>
      <c r="M129" s="77">
        <f t="shared" ca="1" si="18"/>
        <v>-3.2820000000000002E-2</v>
      </c>
      <c r="N129" s="138"/>
    </row>
    <row r="130" spans="1:14" x14ac:dyDescent="0.3">
      <c r="A130" s="38" t="s">
        <v>51</v>
      </c>
      <c r="B130" s="38" t="s">
        <v>36</v>
      </c>
      <c r="C130" s="38" t="s">
        <v>40</v>
      </c>
      <c r="D130" s="38" t="s">
        <v>55</v>
      </c>
      <c r="E130" s="38" t="s">
        <v>53</v>
      </c>
      <c r="F130" s="54">
        <v>42490</v>
      </c>
      <c r="G130" s="55">
        <v>118184.26</v>
      </c>
      <c r="H130" s="68">
        <f t="shared" ca="1" si="15"/>
        <v>79396.185867999986</v>
      </c>
      <c r="I130" s="69">
        <f t="shared" ca="1" si="16"/>
        <v>38788.074131999994</v>
      </c>
      <c r="J130" s="64"/>
      <c r="K130" s="63"/>
      <c r="L130" s="76">
        <f t="shared" ca="1" si="17"/>
        <v>79396.185867999986</v>
      </c>
      <c r="M130" s="77">
        <f t="shared" ca="1" si="18"/>
        <v>38788.074131999994</v>
      </c>
      <c r="N130" s="138"/>
    </row>
    <row r="131" spans="1:14" x14ac:dyDescent="0.3">
      <c r="A131" s="38" t="s">
        <v>51</v>
      </c>
      <c r="B131" s="38" t="s">
        <v>36</v>
      </c>
      <c r="C131" s="38" t="s">
        <v>41</v>
      </c>
      <c r="D131" s="38" t="s">
        <v>52</v>
      </c>
      <c r="E131" s="38" t="s">
        <v>53</v>
      </c>
      <c r="F131" s="54">
        <v>42521</v>
      </c>
      <c r="G131" s="55">
        <v>-0.63</v>
      </c>
      <c r="H131" s="68">
        <f t="shared" ca="1" si="15"/>
        <v>-0.423234</v>
      </c>
      <c r="I131" s="69">
        <f t="shared" ca="1" si="16"/>
        <v>-0.20676600000000001</v>
      </c>
      <c r="J131" s="64"/>
      <c r="K131" s="63"/>
      <c r="L131" s="76">
        <f t="shared" ca="1" si="17"/>
        <v>-0.423234</v>
      </c>
      <c r="M131" s="77">
        <f t="shared" ca="1" si="18"/>
        <v>-0.20676600000000001</v>
      </c>
      <c r="N131" s="138"/>
    </row>
    <row r="132" spans="1:14" x14ac:dyDescent="0.3">
      <c r="A132" s="38" t="s">
        <v>51</v>
      </c>
      <c r="B132" s="38" t="s">
        <v>36</v>
      </c>
      <c r="C132" s="38" t="s">
        <v>41</v>
      </c>
      <c r="D132" s="38" t="s">
        <v>54</v>
      </c>
      <c r="E132" s="38" t="s">
        <v>53</v>
      </c>
      <c r="F132" s="54">
        <v>42521</v>
      </c>
      <c r="G132" s="55">
        <v>4000</v>
      </c>
      <c r="H132" s="68">
        <f t="shared" ca="1" si="15"/>
        <v>2687.2</v>
      </c>
      <c r="I132" s="69">
        <f t="shared" ca="1" si="16"/>
        <v>1312.8</v>
      </c>
      <c r="J132" s="64"/>
      <c r="K132" s="63"/>
      <c r="L132" s="76">
        <f t="shared" ca="1" si="17"/>
        <v>2687.2</v>
      </c>
      <c r="M132" s="77">
        <f t="shared" ca="1" si="18"/>
        <v>1312.8</v>
      </c>
      <c r="N132" s="138"/>
    </row>
    <row r="133" spans="1:14" x14ac:dyDescent="0.3">
      <c r="A133" s="38" t="s">
        <v>51</v>
      </c>
      <c r="B133" s="38" t="s">
        <v>36</v>
      </c>
      <c r="C133" s="38" t="s">
        <v>41</v>
      </c>
      <c r="D133" s="38" t="s">
        <v>55</v>
      </c>
      <c r="E133" s="38" t="s">
        <v>53</v>
      </c>
      <c r="F133" s="54">
        <v>42521</v>
      </c>
      <c r="G133" s="55">
        <v>84303.5</v>
      </c>
      <c r="H133" s="68">
        <f t="shared" ca="1" si="15"/>
        <v>56635.091299999993</v>
      </c>
      <c r="I133" s="69">
        <f t="shared" ca="1" si="16"/>
        <v>27668.4087</v>
      </c>
      <c r="J133" s="64"/>
      <c r="K133" s="63"/>
      <c r="L133" s="76">
        <f t="shared" ca="1" si="17"/>
        <v>56635.091299999993</v>
      </c>
      <c r="M133" s="77">
        <f t="shared" ca="1" si="18"/>
        <v>27668.4087</v>
      </c>
      <c r="N133" s="138"/>
    </row>
    <row r="134" spans="1:14" x14ac:dyDescent="0.3">
      <c r="A134" s="38" t="s">
        <v>51</v>
      </c>
      <c r="B134" s="38" t="s">
        <v>36</v>
      </c>
      <c r="C134" s="38" t="s">
        <v>42</v>
      </c>
      <c r="D134" s="38" t="s">
        <v>52</v>
      </c>
      <c r="E134" s="38" t="s">
        <v>53</v>
      </c>
      <c r="F134" s="54">
        <v>42550</v>
      </c>
      <c r="G134" s="55">
        <v>19.47</v>
      </c>
      <c r="H134" s="68">
        <f t="shared" ca="1" si="15"/>
        <v>13.079945999999998</v>
      </c>
      <c r="I134" s="69">
        <f t="shared" ca="1" si="16"/>
        <v>6.3900539999999992</v>
      </c>
      <c r="J134" s="64"/>
      <c r="K134" s="63"/>
      <c r="L134" s="76">
        <f t="shared" ca="1" si="17"/>
        <v>13.079945999999998</v>
      </c>
      <c r="M134" s="77">
        <f t="shared" ca="1" si="18"/>
        <v>6.3900539999999992</v>
      </c>
      <c r="N134" s="138"/>
    </row>
    <row r="135" spans="1:14" x14ac:dyDescent="0.3">
      <c r="A135" s="38" t="s">
        <v>51</v>
      </c>
      <c r="B135" s="38" t="s">
        <v>36</v>
      </c>
      <c r="C135" s="38" t="s">
        <v>42</v>
      </c>
      <c r="D135" s="38" t="s">
        <v>54</v>
      </c>
      <c r="E135" s="38" t="s">
        <v>53</v>
      </c>
      <c r="F135" s="54">
        <v>42550</v>
      </c>
      <c r="G135" s="55">
        <v>10000</v>
      </c>
      <c r="H135" s="68">
        <f t="shared" ca="1" si="15"/>
        <v>6717.9999999999991</v>
      </c>
      <c r="I135" s="69">
        <f t="shared" ca="1" si="16"/>
        <v>3282</v>
      </c>
      <c r="J135" s="64"/>
      <c r="K135" s="63"/>
      <c r="L135" s="76">
        <f t="shared" ca="1" si="17"/>
        <v>6717.9999999999991</v>
      </c>
      <c r="M135" s="77">
        <f t="shared" ca="1" si="18"/>
        <v>3282</v>
      </c>
      <c r="N135" s="138"/>
    </row>
    <row r="136" spans="1:14" x14ac:dyDescent="0.3">
      <c r="A136" s="38" t="s">
        <v>51</v>
      </c>
      <c r="B136" s="38" t="s">
        <v>36</v>
      </c>
      <c r="C136" s="38" t="s">
        <v>42</v>
      </c>
      <c r="D136" s="38" t="s">
        <v>55</v>
      </c>
      <c r="E136" s="38" t="s">
        <v>53</v>
      </c>
      <c r="F136" s="54">
        <v>42551</v>
      </c>
      <c r="G136" s="55">
        <v>88348.06</v>
      </c>
      <c r="H136" s="68">
        <f t="shared" ca="1" si="15"/>
        <v>59352.226707999995</v>
      </c>
      <c r="I136" s="69">
        <f t="shared" ca="1" si="16"/>
        <v>28995.833291999999</v>
      </c>
      <c r="J136" s="64"/>
      <c r="K136" s="63"/>
      <c r="L136" s="76">
        <f t="shared" ca="1" si="17"/>
        <v>59352.226707999995</v>
      </c>
      <c r="M136" s="77">
        <f t="shared" ca="1" si="18"/>
        <v>28995.833291999999</v>
      </c>
      <c r="N136" s="138"/>
    </row>
    <row r="137" spans="1:14" x14ac:dyDescent="0.3">
      <c r="A137" s="38" t="s">
        <v>51</v>
      </c>
      <c r="B137" s="38" t="s">
        <v>36</v>
      </c>
      <c r="C137" s="38" t="s">
        <v>43</v>
      </c>
      <c r="D137" s="38" t="s">
        <v>55</v>
      </c>
      <c r="E137" s="38" t="s">
        <v>53</v>
      </c>
      <c r="F137" s="54">
        <v>42580</v>
      </c>
      <c r="G137" s="55">
        <v>9.94</v>
      </c>
      <c r="H137" s="68">
        <f t="shared" ca="1" si="15"/>
        <v>6.6776919999999995</v>
      </c>
      <c r="I137" s="69">
        <f t="shared" ca="1" si="16"/>
        <v>3.2623079999999995</v>
      </c>
      <c r="J137" s="64"/>
      <c r="K137" s="63"/>
      <c r="L137" s="76">
        <f t="shared" ca="1" si="17"/>
        <v>6.6776919999999995</v>
      </c>
      <c r="M137" s="77">
        <f t="shared" ca="1" si="18"/>
        <v>3.2623079999999995</v>
      </c>
      <c r="N137" s="138"/>
    </row>
    <row r="138" spans="1:14" x14ac:dyDescent="0.3">
      <c r="A138" s="38" t="s">
        <v>51</v>
      </c>
      <c r="B138" s="38" t="s">
        <v>36</v>
      </c>
      <c r="C138" s="38" t="s">
        <v>43</v>
      </c>
      <c r="D138" s="38" t="s">
        <v>54</v>
      </c>
      <c r="E138" s="38" t="s">
        <v>53</v>
      </c>
      <c r="F138" s="54">
        <v>42580</v>
      </c>
      <c r="G138" s="55">
        <v>4000</v>
      </c>
      <c r="H138" s="68">
        <f t="shared" ca="1" si="15"/>
        <v>2687.2</v>
      </c>
      <c r="I138" s="69">
        <f t="shared" ca="1" si="16"/>
        <v>1312.8</v>
      </c>
      <c r="J138" s="64"/>
      <c r="K138" s="63"/>
      <c r="L138" s="76">
        <f t="shared" ca="1" si="17"/>
        <v>2687.2</v>
      </c>
      <c r="M138" s="77">
        <f t="shared" ca="1" si="18"/>
        <v>1312.8</v>
      </c>
      <c r="N138" s="138"/>
    </row>
    <row r="139" spans="1:14" x14ac:dyDescent="0.3">
      <c r="A139" s="38" t="s">
        <v>51</v>
      </c>
      <c r="B139" s="38" t="s">
        <v>36</v>
      </c>
      <c r="C139" s="38" t="s">
        <v>43</v>
      </c>
      <c r="D139" s="38" t="s">
        <v>55</v>
      </c>
      <c r="E139" s="38" t="s">
        <v>53</v>
      </c>
      <c r="F139" s="54">
        <v>42582</v>
      </c>
      <c r="G139" s="55">
        <v>84659.05</v>
      </c>
      <c r="H139" s="68">
        <f t="shared" ca="1" si="15"/>
        <v>56873.949789999999</v>
      </c>
      <c r="I139" s="69">
        <f t="shared" ca="1" si="16"/>
        <v>27785.100210000001</v>
      </c>
      <c r="J139" s="64"/>
      <c r="K139" s="63"/>
      <c r="L139" s="76">
        <f t="shared" ca="1" si="17"/>
        <v>56873.949789999999</v>
      </c>
      <c r="M139" s="77">
        <f t="shared" ca="1" si="18"/>
        <v>27785.100210000001</v>
      </c>
      <c r="N139" s="138"/>
    </row>
    <row r="140" spans="1:14" x14ac:dyDescent="0.3">
      <c r="A140" s="38" t="s">
        <v>51</v>
      </c>
      <c r="B140" s="38" t="s">
        <v>36</v>
      </c>
      <c r="C140" s="38" t="s">
        <v>44</v>
      </c>
      <c r="D140" s="38" t="s">
        <v>54</v>
      </c>
      <c r="E140" s="38" t="s">
        <v>53</v>
      </c>
      <c r="F140" s="54">
        <v>42613</v>
      </c>
      <c r="G140" s="55">
        <v>4000</v>
      </c>
      <c r="H140" s="68">
        <f t="shared" ca="1" si="15"/>
        <v>2687.2</v>
      </c>
      <c r="I140" s="69">
        <f t="shared" ca="1" si="16"/>
        <v>1312.8</v>
      </c>
      <c r="J140" s="64"/>
      <c r="K140" s="63"/>
      <c r="L140" s="76">
        <f t="shared" ca="1" si="17"/>
        <v>2687.2</v>
      </c>
      <c r="M140" s="77">
        <f t="shared" ca="1" si="18"/>
        <v>1312.8</v>
      </c>
      <c r="N140" s="138"/>
    </row>
    <row r="141" spans="1:14" x14ac:dyDescent="0.3">
      <c r="A141" s="38" t="s">
        <v>51</v>
      </c>
      <c r="B141" s="38" t="s">
        <v>36</v>
      </c>
      <c r="C141" s="38" t="s">
        <v>44</v>
      </c>
      <c r="D141" s="38" t="s">
        <v>52</v>
      </c>
      <c r="E141" s="38" t="s">
        <v>53</v>
      </c>
      <c r="F141" s="54">
        <v>42613</v>
      </c>
      <c r="G141" s="55">
        <v>18.25</v>
      </c>
      <c r="H141" s="68">
        <f t="shared" ca="1" si="15"/>
        <v>12.260349999999999</v>
      </c>
      <c r="I141" s="69">
        <f t="shared" ca="1" si="16"/>
        <v>5.9896500000000001</v>
      </c>
      <c r="J141" s="64"/>
      <c r="K141" s="63"/>
      <c r="L141" s="76">
        <f t="shared" ca="1" si="17"/>
        <v>12.260349999999999</v>
      </c>
      <c r="M141" s="77">
        <f t="shared" ca="1" si="18"/>
        <v>5.9896500000000001</v>
      </c>
      <c r="N141" s="138"/>
    </row>
    <row r="142" spans="1:14" x14ac:dyDescent="0.3">
      <c r="A142" s="38" t="s">
        <v>51</v>
      </c>
      <c r="B142" s="38" t="s">
        <v>36</v>
      </c>
      <c r="C142" s="38" t="s">
        <v>44</v>
      </c>
      <c r="D142" s="38" t="s">
        <v>55</v>
      </c>
      <c r="E142" s="38" t="s">
        <v>53</v>
      </c>
      <c r="F142" s="54">
        <v>42613</v>
      </c>
      <c r="G142" s="55">
        <v>100762.28</v>
      </c>
      <c r="H142" s="68">
        <f t="shared" ca="1" si="15"/>
        <v>67692.099703999993</v>
      </c>
      <c r="I142" s="69">
        <f t="shared" ca="1" si="16"/>
        <v>33070.180295999999</v>
      </c>
      <c r="J142" s="64"/>
      <c r="K142" s="63"/>
      <c r="L142" s="76">
        <f t="shared" ca="1" si="17"/>
        <v>67692.099703999993</v>
      </c>
      <c r="M142" s="77">
        <f t="shared" ca="1" si="18"/>
        <v>33070.180295999999</v>
      </c>
      <c r="N142" s="138"/>
    </row>
    <row r="143" spans="1:14" x14ac:dyDescent="0.3">
      <c r="A143" s="38" t="s">
        <v>51</v>
      </c>
      <c r="B143" s="38" t="s">
        <v>36</v>
      </c>
      <c r="C143" s="38" t="s">
        <v>45</v>
      </c>
      <c r="D143" s="38" t="s">
        <v>55</v>
      </c>
      <c r="E143" s="38" t="s">
        <v>53</v>
      </c>
      <c r="F143" s="54">
        <v>42643</v>
      </c>
      <c r="G143" s="55">
        <v>35.729999999999997</v>
      </c>
      <c r="H143" s="68">
        <f t="shared" ca="1" si="15"/>
        <v>24.003413999999996</v>
      </c>
      <c r="I143" s="69">
        <f t="shared" ca="1" si="16"/>
        <v>11.726585999999999</v>
      </c>
      <c r="J143" s="64"/>
      <c r="K143" s="63"/>
      <c r="L143" s="76">
        <f t="shared" ca="1" si="17"/>
        <v>24.003413999999996</v>
      </c>
      <c r="M143" s="77">
        <f t="shared" ca="1" si="18"/>
        <v>11.726585999999999</v>
      </c>
      <c r="N143" s="138"/>
    </row>
    <row r="144" spans="1:14" x14ac:dyDescent="0.3">
      <c r="A144" s="38" t="s">
        <v>51</v>
      </c>
      <c r="B144" s="38" t="s">
        <v>36</v>
      </c>
      <c r="C144" s="38" t="s">
        <v>45</v>
      </c>
      <c r="D144" s="38" t="s">
        <v>54</v>
      </c>
      <c r="E144" s="38" t="s">
        <v>53</v>
      </c>
      <c r="F144" s="54">
        <v>42643</v>
      </c>
      <c r="G144" s="55">
        <v>4000</v>
      </c>
      <c r="H144" s="68">
        <f t="shared" ca="1" si="15"/>
        <v>2687.2</v>
      </c>
      <c r="I144" s="69">
        <f t="shared" ca="1" si="16"/>
        <v>1312.8</v>
      </c>
      <c r="J144" s="64"/>
      <c r="K144" s="63"/>
      <c r="L144" s="76">
        <f t="shared" ca="1" si="17"/>
        <v>2687.2</v>
      </c>
      <c r="M144" s="77">
        <f t="shared" ca="1" si="18"/>
        <v>1312.8</v>
      </c>
      <c r="N144" s="138"/>
    </row>
    <row r="145" spans="1:14" x14ac:dyDescent="0.3">
      <c r="A145" s="38" t="s">
        <v>51</v>
      </c>
      <c r="B145" s="38" t="s">
        <v>36</v>
      </c>
      <c r="C145" s="38" t="s">
        <v>45</v>
      </c>
      <c r="D145" s="38" t="s">
        <v>55</v>
      </c>
      <c r="E145" s="38" t="s">
        <v>53</v>
      </c>
      <c r="F145" s="54">
        <v>42643</v>
      </c>
      <c r="G145" s="55">
        <v>111135.61</v>
      </c>
      <c r="H145" s="68">
        <f t="shared" ca="1" si="15"/>
        <v>74660.902797999996</v>
      </c>
      <c r="I145" s="69">
        <f t="shared" ca="1" si="16"/>
        <v>36474.707201999998</v>
      </c>
      <c r="J145" s="64"/>
      <c r="K145" s="63"/>
      <c r="L145" s="76">
        <f t="shared" ca="1" si="17"/>
        <v>74660.902797999996</v>
      </c>
      <c r="M145" s="77">
        <f t="shared" ca="1" si="18"/>
        <v>36474.707201999998</v>
      </c>
      <c r="N145" s="138"/>
    </row>
    <row r="146" spans="1:14" x14ac:dyDescent="0.3">
      <c r="A146" s="38" t="str">
        <f>+'Sept 16 Ex Tax Trued Up in Oct'!A13</f>
        <v>Excise Taxes</v>
      </c>
      <c r="B146" s="38" t="str">
        <f>+'Sept 16 Ex Tax Trued Up in Oct'!B13</f>
        <v>2016</v>
      </c>
      <c r="C146" s="38" t="str">
        <f>+'Sept 16 Ex Tax Trued Up in Oct'!C13</f>
        <v>10</v>
      </c>
      <c r="D146" s="38" t="str">
        <f>+'Sept 16 Ex Tax Trued Up in Oct'!D13</f>
        <v>State Excise Tax True-up - Common</v>
      </c>
      <c r="E146" s="38" t="str">
        <f>+'Sept 16 Ex Tax Trued Up in Oct'!E13</f>
        <v>40810602</v>
      </c>
      <c r="F146" s="54">
        <f>+'Sept 16 Ex Tax Trued Up in Oct'!F13</f>
        <v>42674</v>
      </c>
      <c r="G146" s="55">
        <v>0</v>
      </c>
      <c r="H146" s="68">
        <f t="shared" ca="1" si="15"/>
        <v>0</v>
      </c>
      <c r="I146" s="69">
        <f t="shared" ca="1" si="16"/>
        <v>0</v>
      </c>
      <c r="J146" s="62">
        <f ca="1">+'Sept 16 Ex Tax Trued Up in Oct'!G13*J3</f>
        <v>13.966721999999999</v>
      </c>
      <c r="K146" s="79">
        <f ca="1">+'Sept 16 Ex Tax Trued Up in Oct'!G13*K3</f>
        <v>6.8232779999999993</v>
      </c>
      <c r="L146" s="76">
        <f t="shared" ref="L146" ca="1" si="19">+H146+J146</f>
        <v>13.966721999999999</v>
      </c>
      <c r="M146" s="77">
        <f t="shared" ref="M146" ca="1" si="20">+I146+K146</f>
        <v>6.8232779999999993</v>
      </c>
      <c r="N146" s="139">
        <v>2</v>
      </c>
    </row>
    <row r="147" spans="1:14" x14ac:dyDescent="0.3">
      <c r="A147" s="71" t="s">
        <v>19</v>
      </c>
      <c r="B147" s="71" t="s">
        <v>19</v>
      </c>
      <c r="C147" s="71" t="s">
        <v>19</v>
      </c>
      <c r="D147" s="71" t="s">
        <v>19</v>
      </c>
      <c r="E147" s="71" t="s">
        <v>19</v>
      </c>
      <c r="F147" s="72"/>
      <c r="G147" s="73">
        <v>1222908.6100000001</v>
      </c>
      <c r="H147" s="74">
        <f ca="1">SUM(H110:H146)</f>
        <v>821550.00419799995</v>
      </c>
      <c r="I147" s="74">
        <f t="shared" ref="I147:M147" ca="1" si="21">SUM(I110:I146)</f>
        <v>401358.60580199998</v>
      </c>
      <c r="J147" s="74">
        <f t="shared" ca="1" si="21"/>
        <v>-120.19173799999999</v>
      </c>
      <c r="K147" s="74">
        <f t="shared" ca="1" si="21"/>
        <v>-58.718261999999996</v>
      </c>
      <c r="L147" s="74">
        <f t="shared" ca="1" si="21"/>
        <v>821429.81245999993</v>
      </c>
      <c r="M147" s="74">
        <f t="shared" ca="1" si="21"/>
        <v>401299.88753999997</v>
      </c>
      <c r="N147" s="138"/>
    </row>
    <row r="148" spans="1:14" x14ac:dyDescent="0.3">
      <c r="A148" s="71" t="s">
        <v>65</v>
      </c>
      <c r="B148" s="71"/>
      <c r="C148" s="71"/>
      <c r="D148" s="71"/>
      <c r="E148" s="71"/>
      <c r="F148" s="72"/>
      <c r="G148" s="73">
        <f t="shared" ref="G148:M148" si="22">+G55+G108+G147</f>
        <v>117798285.83</v>
      </c>
      <c r="H148" s="74">
        <f t="shared" ca="1" si="22"/>
        <v>84291892.014198005</v>
      </c>
      <c r="I148" s="74">
        <f t="shared" ca="1" si="22"/>
        <v>33506393.815802004</v>
      </c>
      <c r="J148" s="74">
        <f t="shared" ca="1" si="22"/>
        <v>36124.958262</v>
      </c>
      <c r="K148" s="74">
        <f t="shared" ca="1" si="22"/>
        <v>-6789.7182620000003</v>
      </c>
      <c r="L148" s="74">
        <f t="shared" ca="1" si="22"/>
        <v>84328016.972460017</v>
      </c>
      <c r="M148" s="74">
        <f t="shared" ca="1" si="22"/>
        <v>33499604.097540006</v>
      </c>
      <c r="N148" s="140"/>
    </row>
    <row r="150" spans="1:14" x14ac:dyDescent="0.3">
      <c r="A150" s="38" t="s">
        <v>66</v>
      </c>
    </row>
    <row r="151" spans="1:14" x14ac:dyDescent="0.3">
      <c r="A151" s="38" t="s">
        <v>230</v>
      </c>
    </row>
  </sheetData>
  <pageMargins left="0.75" right="0.75" top="1" bottom="1" header="0.5" footer="0.5"/>
  <pageSetup scale="53" fitToHeight="3" orientation="landscape" r:id="rId1"/>
  <headerFooter alignWithMargins="0"/>
  <rowBreaks count="2" manualBreakCount="2">
    <brk id="55" max="13" man="1"/>
    <brk id="108"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election activeCell="A18" sqref="A18:G19"/>
    </sheetView>
  </sheetViews>
  <sheetFormatPr defaultColWidth="9.109375" defaultRowHeight="13.2" x14ac:dyDescent="0.3"/>
  <cols>
    <col min="1" max="1" width="20" style="150" bestFit="1" customWidth="1"/>
    <col min="2" max="2" width="13" style="150" bestFit="1" customWidth="1"/>
    <col min="3" max="3" width="8" style="150" bestFit="1" customWidth="1"/>
    <col min="4" max="4" width="49" style="150" bestFit="1" customWidth="1"/>
    <col min="5" max="5" width="10" style="150" bestFit="1" customWidth="1"/>
    <col min="6" max="6" width="14" style="150" bestFit="1" customWidth="1"/>
    <col min="7" max="7" width="17" style="150" bestFit="1" customWidth="1"/>
    <col min="8" max="16384" width="9.109375" style="150"/>
  </cols>
  <sheetData>
    <row r="1" spans="1:8" ht="13.95" thickBot="1" x14ac:dyDescent="0.35">
      <c r="A1" s="151" t="s">
        <v>229</v>
      </c>
      <c r="B1" s="151" t="s">
        <v>24</v>
      </c>
      <c r="C1" s="151" t="s">
        <v>25</v>
      </c>
      <c r="D1" s="151" t="s">
        <v>26</v>
      </c>
      <c r="E1" s="151" t="s">
        <v>12</v>
      </c>
      <c r="F1" s="151" t="s">
        <v>14</v>
      </c>
      <c r="G1" s="151" t="s">
        <v>15</v>
      </c>
    </row>
    <row r="2" spans="1:8" x14ac:dyDescent="0.3">
      <c r="A2" s="152" t="s">
        <v>27</v>
      </c>
      <c r="B2" s="153" t="s">
        <v>36</v>
      </c>
      <c r="C2" s="153" t="s">
        <v>29</v>
      </c>
      <c r="D2" s="153" t="s">
        <v>30</v>
      </c>
      <c r="E2" s="153" t="s">
        <v>31</v>
      </c>
      <c r="F2" s="154">
        <v>42654</v>
      </c>
      <c r="G2" s="155">
        <v>-3868439.86</v>
      </c>
    </row>
    <row r="3" spans="1:8" x14ac:dyDescent="0.3">
      <c r="A3" s="156" t="s">
        <v>27</v>
      </c>
      <c r="B3" s="157" t="s">
        <v>36</v>
      </c>
      <c r="C3" s="157" t="s">
        <v>29</v>
      </c>
      <c r="D3" s="157" t="s">
        <v>46</v>
      </c>
      <c r="E3" s="157" t="s">
        <v>47</v>
      </c>
      <c r="F3" s="158">
        <v>42654</v>
      </c>
      <c r="G3" s="159">
        <v>-1007268.29</v>
      </c>
    </row>
    <row r="4" spans="1:8" x14ac:dyDescent="0.3">
      <c r="A4" s="166" t="s">
        <v>27</v>
      </c>
      <c r="B4" s="165" t="s">
        <v>36</v>
      </c>
      <c r="C4" s="165" t="s">
        <v>29</v>
      </c>
      <c r="D4" s="165" t="s">
        <v>32</v>
      </c>
      <c r="E4" s="165" t="s">
        <v>31</v>
      </c>
      <c r="F4" s="167">
        <v>42674</v>
      </c>
      <c r="G4" s="168">
        <v>11753.7</v>
      </c>
      <c r="H4" s="172" t="s">
        <v>231</v>
      </c>
    </row>
    <row r="5" spans="1:8" x14ac:dyDescent="0.3">
      <c r="A5" s="156" t="s">
        <v>27</v>
      </c>
      <c r="B5" s="157" t="s">
        <v>36</v>
      </c>
      <c r="C5" s="157" t="s">
        <v>29</v>
      </c>
      <c r="D5" s="157" t="s">
        <v>33</v>
      </c>
      <c r="E5" s="157" t="s">
        <v>31</v>
      </c>
      <c r="F5" s="158">
        <v>42674</v>
      </c>
      <c r="G5" s="159">
        <v>6297945.5700000003</v>
      </c>
    </row>
    <row r="6" spans="1:8" x14ac:dyDescent="0.3">
      <c r="A6" s="156" t="s">
        <v>27</v>
      </c>
      <c r="B6" s="157" t="s">
        <v>36</v>
      </c>
      <c r="C6" s="157" t="s">
        <v>29</v>
      </c>
      <c r="D6" s="157" t="s">
        <v>30</v>
      </c>
      <c r="E6" s="157" t="s">
        <v>31</v>
      </c>
      <c r="F6" s="158">
        <v>42674</v>
      </c>
      <c r="G6" s="159">
        <v>4535249.5</v>
      </c>
    </row>
    <row r="7" spans="1:8" x14ac:dyDescent="0.3">
      <c r="A7" s="156" t="s">
        <v>27</v>
      </c>
      <c r="B7" s="157" t="s">
        <v>36</v>
      </c>
      <c r="C7" s="157" t="s">
        <v>29</v>
      </c>
      <c r="D7" s="157" t="s">
        <v>19</v>
      </c>
      <c r="E7" s="157" t="s">
        <v>31</v>
      </c>
      <c r="F7" s="158">
        <v>42674</v>
      </c>
      <c r="G7" s="159">
        <v>-10833195.07</v>
      </c>
    </row>
    <row r="8" spans="1:8" ht="13.95" thickBot="1" x14ac:dyDescent="0.35">
      <c r="A8" s="160" t="s">
        <v>27</v>
      </c>
      <c r="B8" s="161" t="s">
        <v>36</v>
      </c>
      <c r="C8" s="161" t="s">
        <v>29</v>
      </c>
      <c r="D8" s="161" t="s">
        <v>19</v>
      </c>
      <c r="E8" s="161" t="s">
        <v>31</v>
      </c>
      <c r="F8" s="162">
        <v>42674</v>
      </c>
      <c r="G8" s="163">
        <v>3856686.16</v>
      </c>
    </row>
    <row r="9" spans="1:8" x14ac:dyDescent="0.3">
      <c r="A9" s="152" t="s">
        <v>27</v>
      </c>
      <c r="B9" s="153" t="s">
        <v>36</v>
      </c>
      <c r="C9" s="153" t="s">
        <v>29</v>
      </c>
      <c r="D9" s="153" t="s">
        <v>49</v>
      </c>
      <c r="E9" s="153" t="s">
        <v>47</v>
      </c>
      <c r="F9" s="154">
        <v>42674</v>
      </c>
      <c r="G9" s="155">
        <v>1956662.19</v>
      </c>
    </row>
    <row r="10" spans="1:8" x14ac:dyDescent="0.3">
      <c r="A10" s="156" t="s">
        <v>27</v>
      </c>
      <c r="B10" s="157" t="s">
        <v>36</v>
      </c>
      <c r="C10" s="157" t="s">
        <v>29</v>
      </c>
      <c r="D10" s="157" t="s">
        <v>46</v>
      </c>
      <c r="E10" s="157" t="s">
        <v>47</v>
      </c>
      <c r="F10" s="158">
        <v>42674</v>
      </c>
      <c r="G10" s="159">
        <v>1482245.26</v>
      </c>
    </row>
    <row r="11" spans="1:8" x14ac:dyDescent="0.3">
      <c r="A11" s="156" t="s">
        <v>27</v>
      </c>
      <c r="B11" s="157" t="s">
        <v>36</v>
      </c>
      <c r="C11" s="157" t="s">
        <v>29</v>
      </c>
      <c r="D11" s="157" t="s">
        <v>19</v>
      </c>
      <c r="E11" s="157" t="s">
        <v>47</v>
      </c>
      <c r="F11" s="158">
        <v>42674</v>
      </c>
      <c r="G11" s="159">
        <v>-3438907.45</v>
      </c>
    </row>
    <row r="12" spans="1:8" ht="13.95" thickBot="1" x14ac:dyDescent="0.35">
      <c r="A12" s="160" t="s">
        <v>27</v>
      </c>
      <c r="B12" s="161" t="s">
        <v>36</v>
      </c>
      <c r="C12" s="161" t="s">
        <v>29</v>
      </c>
      <c r="D12" s="161" t="s">
        <v>19</v>
      </c>
      <c r="E12" s="161" t="s">
        <v>47</v>
      </c>
      <c r="F12" s="162">
        <v>42674</v>
      </c>
      <c r="G12" s="163">
        <v>1007268.29</v>
      </c>
    </row>
    <row r="13" spans="1:8" x14ac:dyDescent="0.3">
      <c r="A13" s="169" t="s">
        <v>51</v>
      </c>
      <c r="B13" s="164" t="s">
        <v>36</v>
      </c>
      <c r="C13" s="164" t="s">
        <v>29</v>
      </c>
      <c r="D13" s="164" t="s">
        <v>52</v>
      </c>
      <c r="E13" s="164" t="s">
        <v>53</v>
      </c>
      <c r="F13" s="170">
        <v>42674</v>
      </c>
      <c r="G13" s="171">
        <v>20.79</v>
      </c>
      <c r="H13" s="172" t="s">
        <v>231</v>
      </c>
    </row>
    <row r="14" spans="1:8" x14ac:dyDescent="0.3">
      <c r="A14" s="156" t="s">
        <v>51</v>
      </c>
      <c r="B14" s="157" t="s">
        <v>36</v>
      </c>
      <c r="C14" s="157" t="s">
        <v>29</v>
      </c>
      <c r="D14" s="157" t="s">
        <v>54</v>
      </c>
      <c r="E14" s="157" t="s">
        <v>53</v>
      </c>
      <c r="F14" s="158">
        <v>42674</v>
      </c>
      <c r="G14" s="159">
        <v>4000</v>
      </c>
    </row>
    <row r="15" spans="1:8" x14ac:dyDescent="0.3">
      <c r="A15" s="156" t="s">
        <v>51</v>
      </c>
      <c r="B15" s="157" t="s">
        <v>36</v>
      </c>
      <c r="C15" s="157" t="s">
        <v>29</v>
      </c>
      <c r="D15" s="157" t="s">
        <v>55</v>
      </c>
      <c r="E15" s="157" t="s">
        <v>53</v>
      </c>
      <c r="F15" s="158">
        <v>42674</v>
      </c>
      <c r="G15" s="159">
        <v>105800.91</v>
      </c>
    </row>
    <row r="16" spans="1:8" x14ac:dyDescent="0.3">
      <c r="A16" s="156" t="s">
        <v>51</v>
      </c>
      <c r="B16" s="157" t="s">
        <v>36</v>
      </c>
      <c r="C16" s="157" t="s">
        <v>29</v>
      </c>
      <c r="D16" s="157" t="s">
        <v>19</v>
      </c>
      <c r="E16" s="157" t="s">
        <v>53</v>
      </c>
      <c r="F16" s="158">
        <v>42674</v>
      </c>
      <c r="G16" s="159">
        <v>-105800.91</v>
      </c>
    </row>
    <row r="17" spans="1:7" ht="13.95" thickBot="1" x14ac:dyDescent="0.35">
      <c r="A17" s="160" t="s">
        <v>51</v>
      </c>
      <c r="B17" s="161" t="s">
        <v>36</v>
      </c>
      <c r="C17" s="161" t="s">
        <v>29</v>
      </c>
      <c r="D17" s="161" t="s">
        <v>19</v>
      </c>
      <c r="E17" s="161" t="s">
        <v>53</v>
      </c>
      <c r="F17" s="162">
        <v>42674</v>
      </c>
      <c r="G17" s="163">
        <v>-4020.79</v>
      </c>
    </row>
    <row r="18" spans="1:7" x14ac:dyDescent="0.3">
      <c r="A18" s="179" t="s">
        <v>19</v>
      </c>
      <c r="B18" s="179" t="s">
        <v>19</v>
      </c>
      <c r="C18" s="179" t="s">
        <v>19</v>
      </c>
      <c r="D18" s="179" t="s">
        <v>19</v>
      </c>
      <c r="E18" s="179" t="s">
        <v>19</v>
      </c>
      <c r="F18" s="180"/>
      <c r="G18" s="181">
        <v>0</v>
      </c>
    </row>
    <row r="19" spans="1:7" ht="12.75" x14ac:dyDescent="0.25">
      <c r="A19" s="182"/>
      <c r="B19" s="182"/>
      <c r="C19" s="182"/>
      <c r="D19" s="182"/>
      <c r="E19" s="182"/>
      <c r="F19" s="182"/>
      <c r="G19" s="182"/>
    </row>
  </sheetData>
  <pageMargins left="0.75" right="0.75" top="1" bottom="1" header="0.5" footer="0.5"/>
  <pageSetup scale="5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N29" sqref="N29"/>
    </sheetView>
  </sheetViews>
  <sheetFormatPr defaultColWidth="9.109375" defaultRowHeight="14.4" x14ac:dyDescent="0.3"/>
  <cols>
    <col min="1" max="1" width="30.44140625" style="28" bestFit="1" customWidth="1"/>
    <col min="2" max="2" width="9" style="28" bestFit="1" customWidth="1"/>
    <col min="3" max="3" width="12.6640625" style="28" bestFit="1" customWidth="1"/>
    <col min="4" max="4" width="12.109375" style="28" bestFit="1" customWidth="1"/>
    <col min="5" max="5" width="15" style="28" bestFit="1" customWidth="1"/>
    <col min="6" max="16384" width="9.109375" style="28"/>
  </cols>
  <sheetData>
    <row r="1" spans="1:5" x14ac:dyDescent="0.3">
      <c r="A1" s="26" t="s">
        <v>22</v>
      </c>
      <c r="B1" s="26" t="s">
        <v>12</v>
      </c>
      <c r="C1" s="26" t="s">
        <v>13</v>
      </c>
      <c r="D1" s="26" t="s">
        <v>14</v>
      </c>
      <c r="E1" s="27" t="s">
        <v>15</v>
      </c>
    </row>
    <row r="2" spans="1:5" x14ac:dyDescent="0.3">
      <c r="A2" s="29" t="s">
        <v>16</v>
      </c>
      <c r="B2" s="29" t="s">
        <v>17</v>
      </c>
      <c r="C2" s="29" t="s">
        <v>18</v>
      </c>
      <c r="D2" s="30">
        <v>42307</v>
      </c>
      <c r="E2" s="31">
        <v>337791</v>
      </c>
    </row>
    <row r="3" spans="1:5" x14ac:dyDescent="0.3">
      <c r="A3" s="29" t="s">
        <v>16</v>
      </c>
      <c r="B3" s="29" t="s">
        <v>17</v>
      </c>
      <c r="C3" s="29" t="s">
        <v>18</v>
      </c>
      <c r="D3" s="30">
        <v>42338</v>
      </c>
      <c r="E3" s="31">
        <v>407285</v>
      </c>
    </row>
    <row r="4" spans="1:5" x14ac:dyDescent="0.3">
      <c r="A4" s="29" t="s">
        <v>16</v>
      </c>
      <c r="B4" s="29" t="s">
        <v>17</v>
      </c>
      <c r="C4" s="29" t="s">
        <v>18</v>
      </c>
      <c r="D4" s="30">
        <v>42368</v>
      </c>
      <c r="E4" s="31">
        <v>436741</v>
      </c>
    </row>
    <row r="5" spans="1:5" x14ac:dyDescent="0.3">
      <c r="A5" s="29" t="s">
        <v>16</v>
      </c>
      <c r="B5" s="29" t="s">
        <v>17</v>
      </c>
      <c r="C5" s="29" t="s">
        <v>18</v>
      </c>
      <c r="D5" s="30">
        <v>42398</v>
      </c>
      <c r="E5" s="31">
        <v>454147</v>
      </c>
    </row>
    <row r="6" spans="1:5" x14ac:dyDescent="0.3">
      <c r="A6" s="29" t="s">
        <v>16</v>
      </c>
      <c r="B6" s="29" t="s">
        <v>17</v>
      </c>
      <c r="C6" s="29" t="s">
        <v>18</v>
      </c>
      <c r="D6" s="30">
        <v>42429</v>
      </c>
      <c r="E6" s="31">
        <v>415177</v>
      </c>
    </row>
    <row r="7" spans="1:5" x14ac:dyDescent="0.3">
      <c r="A7" s="29" t="s">
        <v>16</v>
      </c>
      <c r="B7" s="29" t="s">
        <v>17</v>
      </c>
      <c r="C7" s="29" t="s">
        <v>18</v>
      </c>
      <c r="D7" s="30">
        <v>42460</v>
      </c>
      <c r="E7" s="31">
        <v>384184</v>
      </c>
    </row>
    <row r="8" spans="1:5" x14ac:dyDescent="0.3">
      <c r="A8" s="29" t="s">
        <v>16</v>
      </c>
      <c r="B8" s="29" t="s">
        <v>17</v>
      </c>
      <c r="C8" s="29" t="s">
        <v>18</v>
      </c>
      <c r="D8" s="30">
        <v>42471</v>
      </c>
      <c r="E8" s="31">
        <v>-52998.8</v>
      </c>
    </row>
    <row r="9" spans="1:5" x14ac:dyDescent="0.3">
      <c r="A9" s="29" t="s">
        <v>16</v>
      </c>
      <c r="B9" s="29" t="s">
        <v>17</v>
      </c>
      <c r="C9" s="29" t="s">
        <v>18</v>
      </c>
      <c r="D9" s="30">
        <v>42490</v>
      </c>
      <c r="E9" s="31">
        <v>333722</v>
      </c>
    </row>
    <row r="10" spans="1:5" x14ac:dyDescent="0.3">
      <c r="A10" s="29" t="s">
        <v>16</v>
      </c>
      <c r="B10" s="29" t="s">
        <v>17</v>
      </c>
      <c r="C10" s="29" t="s">
        <v>18</v>
      </c>
      <c r="D10" s="30">
        <v>42521</v>
      </c>
      <c r="E10" s="31">
        <v>323472</v>
      </c>
    </row>
    <row r="11" spans="1:5" x14ac:dyDescent="0.3">
      <c r="A11" s="29" t="s">
        <v>16</v>
      </c>
      <c r="B11" s="29" t="s">
        <v>17</v>
      </c>
      <c r="C11" s="29" t="s">
        <v>18</v>
      </c>
      <c r="D11" s="30">
        <v>42551</v>
      </c>
      <c r="E11" s="31">
        <v>330319</v>
      </c>
    </row>
    <row r="12" spans="1:5" x14ac:dyDescent="0.3">
      <c r="A12" s="29" t="s">
        <v>16</v>
      </c>
      <c r="B12" s="29" t="s">
        <v>17</v>
      </c>
      <c r="C12" s="29" t="s">
        <v>18</v>
      </c>
      <c r="D12" s="30">
        <v>42582</v>
      </c>
      <c r="E12" s="31">
        <v>325601</v>
      </c>
    </row>
    <row r="13" spans="1:5" x14ac:dyDescent="0.3">
      <c r="A13" s="29" t="s">
        <v>16</v>
      </c>
      <c r="B13" s="29" t="s">
        <v>17</v>
      </c>
      <c r="C13" s="29" t="s">
        <v>18</v>
      </c>
      <c r="D13" s="30">
        <v>42613</v>
      </c>
      <c r="E13" s="31">
        <v>369301</v>
      </c>
    </row>
    <row r="14" spans="1:5" x14ac:dyDescent="0.3">
      <c r="A14" s="29" t="s">
        <v>16</v>
      </c>
      <c r="B14" s="29" t="s">
        <v>17</v>
      </c>
      <c r="C14" s="29" t="s">
        <v>18</v>
      </c>
      <c r="D14" s="30">
        <v>42643</v>
      </c>
      <c r="E14" s="31">
        <v>322024</v>
      </c>
    </row>
    <row r="15" spans="1:5" x14ac:dyDescent="0.3">
      <c r="A15" s="26" t="s">
        <v>19</v>
      </c>
      <c r="B15" s="26" t="s">
        <v>19</v>
      </c>
      <c r="C15" s="26" t="s">
        <v>19</v>
      </c>
      <c r="D15" s="32"/>
      <c r="E15" s="173">
        <v>4386765.2</v>
      </c>
    </row>
    <row r="16" spans="1:5" x14ac:dyDescent="0.3">
      <c r="A16" s="29"/>
      <c r="B16" s="29"/>
      <c r="C16" s="29"/>
      <c r="D16" s="29"/>
      <c r="E16" s="33"/>
    </row>
    <row r="17" spans="1:5" x14ac:dyDescent="0.3">
      <c r="A17" s="26" t="s">
        <v>23</v>
      </c>
      <c r="B17" s="26" t="s">
        <v>12</v>
      </c>
      <c r="C17" s="26" t="s">
        <v>13</v>
      </c>
      <c r="D17" s="26" t="s">
        <v>14</v>
      </c>
      <c r="E17" s="27" t="s">
        <v>15</v>
      </c>
    </row>
    <row r="18" spans="1:5" x14ac:dyDescent="0.3">
      <c r="A18" s="29" t="s">
        <v>20</v>
      </c>
      <c r="B18" s="29" t="s">
        <v>21</v>
      </c>
      <c r="C18" s="29" t="s">
        <v>18</v>
      </c>
      <c r="D18" s="30">
        <v>42307</v>
      </c>
      <c r="E18" s="31">
        <v>149199</v>
      </c>
    </row>
    <row r="19" spans="1:5" x14ac:dyDescent="0.3">
      <c r="A19" s="29" t="s">
        <v>20</v>
      </c>
      <c r="B19" s="29" t="s">
        <v>21</v>
      </c>
      <c r="C19" s="29" t="s">
        <v>18</v>
      </c>
      <c r="D19" s="30">
        <v>42338</v>
      </c>
      <c r="E19" s="31">
        <v>-56018</v>
      </c>
    </row>
    <row r="20" spans="1:5" x14ac:dyDescent="0.3">
      <c r="A20" s="29" t="s">
        <v>20</v>
      </c>
      <c r="B20" s="29" t="s">
        <v>21</v>
      </c>
      <c r="C20" s="29" t="s">
        <v>18</v>
      </c>
      <c r="D20" s="30">
        <v>42338</v>
      </c>
      <c r="E20" s="31">
        <v>265890</v>
      </c>
    </row>
    <row r="21" spans="1:5" x14ac:dyDescent="0.3">
      <c r="A21" s="29" t="s">
        <v>20</v>
      </c>
      <c r="B21" s="29" t="s">
        <v>21</v>
      </c>
      <c r="C21" s="29" t="s">
        <v>18</v>
      </c>
      <c r="D21" s="30">
        <v>42368</v>
      </c>
      <c r="E21" s="31">
        <v>218097</v>
      </c>
    </row>
    <row r="22" spans="1:5" ht="15" x14ac:dyDescent="0.25">
      <c r="A22" s="29" t="s">
        <v>20</v>
      </c>
      <c r="B22" s="29" t="s">
        <v>21</v>
      </c>
      <c r="C22" s="29" t="s">
        <v>18</v>
      </c>
      <c r="D22" s="30">
        <v>42398</v>
      </c>
      <c r="E22" s="31">
        <v>264412</v>
      </c>
    </row>
    <row r="23" spans="1:5" x14ac:dyDescent="0.3">
      <c r="A23" s="29" t="s">
        <v>20</v>
      </c>
      <c r="B23" s="29" t="s">
        <v>21</v>
      </c>
      <c r="C23" s="29" t="s">
        <v>18</v>
      </c>
      <c r="D23" s="30">
        <v>42429</v>
      </c>
      <c r="E23" s="31">
        <v>194310</v>
      </c>
    </row>
    <row r="24" spans="1:5" x14ac:dyDescent="0.3">
      <c r="A24" s="29" t="s">
        <v>20</v>
      </c>
      <c r="B24" s="29" t="s">
        <v>21</v>
      </c>
      <c r="C24" s="29" t="s">
        <v>18</v>
      </c>
      <c r="D24" s="30">
        <v>42460</v>
      </c>
      <c r="E24" s="31">
        <v>186283</v>
      </c>
    </row>
    <row r="25" spans="1:5" x14ac:dyDescent="0.3">
      <c r="A25" s="29" t="s">
        <v>20</v>
      </c>
      <c r="B25" s="29" t="s">
        <v>21</v>
      </c>
      <c r="C25" s="29" t="s">
        <v>18</v>
      </c>
      <c r="D25" s="30">
        <v>42471</v>
      </c>
      <c r="E25" s="31">
        <v>-19959.650000000001</v>
      </c>
    </row>
    <row r="26" spans="1:5" x14ac:dyDescent="0.3">
      <c r="A26" s="29" t="s">
        <v>20</v>
      </c>
      <c r="B26" s="29" t="s">
        <v>21</v>
      </c>
      <c r="C26" s="29" t="s">
        <v>18</v>
      </c>
      <c r="D26" s="30">
        <v>42490</v>
      </c>
      <c r="E26" s="31">
        <v>134623</v>
      </c>
    </row>
    <row r="27" spans="1:5" x14ac:dyDescent="0.3">
      <c r="A27" s="29" t="s">
        <v>20</v>
      </c>
      <c r="B27" s="29" t="s">
        <v>21</v>
      </c>
      <c r="C27" s="29" t="s">
        <v>18</v>
      </c>
      <c r="D27" s="30">
        <v>42521</v>
      </c>
      <c r="E27" s="31">
        <v>98672</v>
      </c>
    </row>
    <row r="28" spans="1:5" x14ac:dyDescent="0.3">
      <c r="A28" s="29" t="s">
        <v>20</v>
      </c>
      <c r="B28" s="29" t="s">
        <v>21</v>
      </c>
      <c r="C28" s="29" t="s">
        <v>18</v>
      </c>
      <c r="D28" s="30">
        <v>42551</v>
      </c>
      <c r="E28" s="31">
        <v>96752</v>
      </c>
    </row>
    <row r="29" spans="1:5" x14ac:dyDescent="0.3">
      <c r="A29" s="29" t="s">
        <v>20</v>
      </c>
      <c r="B29" s="29" t="s">
        <v>21</v>
      </c>
      <c r="C29" s="29" t="s">
        <v>18</v>
      </c>
      <c r="D29" s="30">
        <v>42582</v>
      </c>
      <c r="E29" s="31">
        <v>75737</v>
      </c>
    </row>
    <row r="30" spans="1:5" x14ac:dyDescent="0.3">
      <c r="A30" s="29" t="s">
        <v>20</v>
      </c>
      <c r="B30" s="29" t="s">
        <v>21</v>
      </c>
      <c r="C30" s="29" t="s">
        <v>18</v>
      </c>
      <c r="D30" s="30">
        <v>42613</v>
      </c>
      <c r="E30" s="31">
        <v>68983</v>
      </c>
    </row>
    <row r="31" spans="1:5" x14ac:dyDescent="0.3">
      <c r="A31" s="29" t="s">
        <v>20</v>
      </c>
      <c r="B31" s="29" t="s">
        <v>21</v>
      </c>
      <c r="C31" s="29" t="s">
        <v>18</v>
      </c>
      <c r="D31" s="30">
        <v>42643</v>
      </c>
      <c r="E31" s="31">
        <v>82718</v>
      </c>
    </row>
    <row r="32" spans="1:5" x14ac:dyDescent="0.3">
      <c r="A32" s="26" t="s">
        <v>19</v>
      </c>
      <c r="B32" s="26" t="s">
        <v>19</v>
      </c>
      <c r="C32" s="26" t="s">
        <v>19</v>
      </c>
      <c r="D32" s="32"/>
      <c r="E32" s="173">
        <v>1759698.35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opLeftCell="A4" zoomScaleNormal="100" workbookViewId="0">
      <selection activeCell="B19" sqref="B19"/>
    </sheetView>
  </sheetViews>
  <sheetFormatPr defaultRowHeight="14.4" x14ac:dyDescent="0.3"/>
  <cols>
    <col min="1" max="1" width="9.109375" style="114"/>
    <col min="2" max="2" width="117.88671875" customWidth="1"/>
    <col min="3" max="3" width="3.6640625" bestFit="1" customWidth="1"/>
    <col min="4" max="4" width="17.6640625" bestFit="1" customWidth="1"/>
    <col min="5" max="5" width="15.88671875" bestFit="1" customWidth="1"/>
    <col min="6" max="6" width="19.88671875" bestFit="1" customWidth="1"/>
  </cols>
  <sheetData>
    <row r="1" spans="1:6" x14ac:dyDescent="0.3">
      <c r="A1" s="118" t="s">
        <v>67</v>
      </c>
      <c r="B1" s="118"/>
      <c r="C1" s="118"/>
      <c r="D1" s="118"/>
      <c r="E1" s="118"/>
      <c r="F1" s="118"/>
    </row>
    <row r="2" spans="1:6" x14ac:dyDescent="0.3">
      <c r="A2" s="118" t="s">
        <v>68</v>
      </c>
      <c r="B2" s="118"/>
      <c r="C2" s="118"/>
      <c r="D2" s="118"/>
      <c r="E2" s="118"/>
      <c r="F2" s="118"/>
    </row>
    <row r="3" spans="1:6" x14ac:dyDescent="0.3">
      <c r="A3" s="118" t="s">
        <v>157</v>
      </c>
      <c r="B3" s="119"/>
      <c r="C3" s="119"/>
      <c r="D3" s="119"/>
      <c r="E3" s="119"/>
      <c r="F3" s="119"/>
    </row>
    <row r="5" spans="1:6" x14ac:dyDescent="0.3">
      <c r="A5" s="116" t="s">
        <v>152</v>
      </c>
    </row>
    <row r="6" spans="1:6" x14ac:dyDescent="0.3">
      <c r="A6" s="117" t="s">
        <v>153</v>
      </c>
    </row>
    <row r="7" spans="1:6" x14ac:dyDescent="0.3">
      <c r="A7" s="117" t="s">
        <v>154</v>
      </c>
    </row>
    <row r="8" spans="1:6" x14ac:dyDescent="0.3">
      <c r="A8" s="117" t="s">
        <v>155</v>
      </c>
    </row>
    <row r="9" spans="1:6" x14ac:dyDescent="0.3">
      <c r="A9" s="117" t="s">
        <v>156</v>
      </c>
    </row>
    <row r="10" spans="1:6" x14ac:dyDescent="0.3">
      <c r="A10" s="117"/>
    </row>
    <row r="11" spans="1:6" x14ac:dyDescent="0.3">
      <c r="A11" s="115" t="s">
        <v>70</v>
      </c>
    </row>
    <row r="12" spans="1:6" x14ac:dyDescent="0.3">
      <c r="A12" s="115" t="s">
        <v>71</v>
      </c>
      <c r="B12" t="s">
        <v>72</v>
      </c>
      <c r="C12" s="85" t="s">
        <v>71</v>
      </c>
      <c r="D12" s="174">
        <f>+'IS Sept 2016'!B13</f>
        <v>2146048308.1900001</v>
      </c>
    </row>
    <row r="13" spans="1:6" x14ac:dyDescent="0.3">
      <c r="A13" s="115" t="s">
        <v>73</v>
      </c>
      <c r="B13" t="s">
        <v>74</v>
      </c>
      <c r="C13" s="175" t="s">
        <v>69</v>
      </c>
      <c r="D13" t="s">
        <v>73</v>
      </c>
    </row>
    <row r="14" spans="1:6" x14ac:dyDescent="0.3">
      <c r="A14" s="115" t="s">
        <v>75</v>
      </c>
      <c r="B14" t="s">
        <v>76</v>
      </c>
      <c r="C14" s="175"/>
      <c r="D14" t="s">
        <v>75</v>
      </c>
    </row>
    <row r="15" spans="1:6" x14ac:dyDescent="0.3">
      <c r="A15" s="115" t="s">
        <v>77</v>
      </c>
      <c r="B15" t="s">
        <v>163</v>
      </c>
      <c r="C15" t="s">
        <v>77</v>
      </c>
      <c r="D15" s="174"/>
    </row>
    <row r="16" spans="1:6" x14ac:dyDescent="0.3">
      <c r="A16" s="115" t="s">
        <v>78</v>
      </c>
      <c r="B16" t="s">
        <v>164</v>
      </c>
      <c r="C16" t="s">
        <v>78</v>
      </c>
      <c r="D16" s="174"/>
    </row>
    <row r="17" spans="1:7" ht="15" thickBot="1" x14ac:dyDescent="0.35">
      <c r="A17" s="115">
        <v>1</v>
      </c>
      <c r="B17" s="120" t="s">
        <v>79</v>
      </c>
      <c r="D17" t="s">
        <v>80</v>
      </c>
      <c r="E17">
        <v>1</v>
      </c>
      <c r="F17" s="86">
        <f>+D12</f>
        <v>2146048308.1900001</v>
      </c>
    </row>
    <row r="18" spans="1:7" ht="15.6" thickTop="1" thickBot="1" x14ac:dyDescent="0.35">
      <c r="A18" s="115">
        <v>2</v>
      </c>
      <c r="B18" t="s">
        <v>81</v>
      </c>
      <c r="E18">
        <v>2</v>
      </c>
      <c r="F18" s="178">
        <f>+E48</f>
        <v>21402654.129999995</v>
      </c>
      <c r="G18" t="s">
        <v>165</v>
      </c>
    </row>
    <row r="19" spans="1:7" ht="15" thickTop="1" x14ac:dyDescent="0.3">
      <c r="A19" s="115">
        <v>3</v>
      </c>
      <c r="B19" t="s">
        <v>82</v>
      </c>
      <c r="E19">
        <v>3</v>
      </c>
      <c r="F19" s="87">
        <f>SUM(F17:F18)</f>
        <v>2167450962.3200002</v>
      </c>
    </row>
    <row r="20" spans="1:7" x14ac:dyDescent="0.3">
      <c r="A20" s="115">
        <v>4</v>
      </c>
      <c r="B20" t="s">
        <v>83</v>
      </c>
      <c r="E20">
        <v>4</v>
      </c>
      <c r="F20" s="88"/>
    </row>
    <row r="21" spans="1:7" x14ac:dyDescent="0.3">
      <c r="A21" s="115" t="s">
        <v>84</v>
      </c>
      <c r="B21" t="s">
        <v>158</v>
      </c>
      <c r="E21" s="114" t="s">
        <v>85</v>
      </c>
      <c r="F21" s="89">
        <f>IF(AND(F19&gt;=1,F19&lt;20000),"ZERO", 0)</f>
        <v>0</v>
      </c>
    </row>
    <row r="22" spans="1:7" x14ac:dyDescent="0.3">
      <c r="A22" s="115" t="s">
        <v>86</v>
      </c>
      <c r="B22" t="s">
        <v>159</v>
      </c>
      <c r="C22" t="s">
        <v>87</v>
      </c>
      <c r="D22" s="90">
        <f>IF(AND(20000&lt;=F19,F19&lt;=50000),F19, 0)</f>
        <v>0</v>
      </c>
      <c r="E22" s="91" t="s">
        <v>88</v>
      </c>
      <c r="F22" s="92">
        <f>IF(D22&gt;1, (D22*0.001), 0)</f>
        <v>0</v>
      </c>
    </row>
    <row r="23" spans="1:7" x14ac:dyDescent="0.3">
      <c r="A23" s="115"/>
      <c r="B23" t="s">
        <v>160</v>
      </c>
    </row>
    <row r="24" spans="1:7" x14ac:dyDescent="0.3">
      <c r="A24" s="115" t="s">
        <v>89</v>
      </c>
      <c r="B24" t="s">
        <v>161</v>
      </c>
      <c r="C24" t="s">
        <v>90</v>
      </c>
      <c r="D24" s="92">
        <f>IF(F19&gt;50000, F19, 0)</f>
        <v>2167450962.3200002</v>
      </c>
      <c r="F24" s="121"/>
    </row>
    <row r="25" spans="1:7" x14ac:dyDescent="0.3">
      <c r="A25" s="115" t="s">
        <v>91</v>
      </c>
      <c r="B25" t="s">
        <v>162</v>
      </c>
      <c r="C25" t="s">
        <v>92</v>
      </c>
      <c r="D25" s="92">
        <f>IF(D24&gt;1, 50000, 0)</f>
        <v>50000</v>
      </c>
      <c r="E25" s="91" t="s">
        <v>88</v>
      </c>
      <c r="F25" s="92">
        <f t="shared" ref="F25" si="0">IF(D25&gt;1, (D25*0.001), 0)</f>
        <v>50</v>
      </c>
    </row>
    <row r="26" spans="1:7" x14ac:dyDescent="0.3">
      <c r="A26" s="115" t="s">
        <v>93</v>
      </c>
      <c r="B26" t="s">
        <v>94</v>
      </c>
      <c r="C26" t="s">
        <v>95</v>
      </c>
      <c r="D26" s="92">
        <f>+D24-D25</f>
        <v>2167400962.3200002</v>
      </c>
      <c r="E26" s="91" t="s">
        <v>96</v>
      </c>
      <c r="F26" s="92">
        <f>IF(D26&gt;1, (D26*0.002), 0)</f>
        <v>4334801.9246400008</v>
      </c>
    </row>
    <row r="27" spans="1:7" x14ac:dyDescent="0.3">
      <c r="A27" s="115">
        <v>5</v>
      </c>
      <c r="B27" t="s">
        <v>97</v>
      </c>
      <c r="E27">
        <v>5</v>
      </c>
      <c r="F27" s="92">
        <f>SUM(F25:F26)</f>
        <v>4334851.9246400008</v>
      </c>
    </row>
    <row r="28" spans="1:7" x14ac:dyDescent="0.3">
      <c r="A28" s="115"/>
      <c r="E28" s="93" t="s">
        <v>98</v>
      </c>
      <c r="F28" s="94" t="s">
        <v>99</v>
      </c>
    </row>
    <row r="29" spans="1:7" x14ac:dyDescent="0.3">
      <c r="A29" s="115"/>
      <c r="B29" s="120" t="s">
        <v>100</v>
      </c>
    </row>
    <row r="30" spans="1:7" x14ac:dyDescent="0.3">
      <c r="A30" s="115">
        <v>6</v>
      </c>
      <c r="B30" t="s">
        <v>101</v>
      </c>
      <c r="E30">
        <v>6</v>
      </c>
      <c r="F30" s="88"/>
    </row>
    <row r="31" spans="1:7" x14ac:dyDescent="0.3">
      <c r="A31" s="115" t="s">
        <v>102</v>
      </c>
      <c r="B31" t="s">
        <v>103</v>
      </c>
      <c r="C31" t="s">
        <v>104</v>
      </c>
      <c r="D31" s="177">
        <v>0</v>
      </c>
      <c r="E31" s="91" t="s">
        <v>105</v>
      </c>
      <c r="F31" s="92">
        <f>IF(D31&gt;0, (D31*0.02), 0)</f>
        <v>0</v>
      </c>
    </row>
    <row r="32" spans="1:7" x14ac:dyDescent="0.3">
      <c r="A32" s="115">
        <v>7</v>
      </c>
      <c r="B32" t="s">
        <v>106</v>
      </c>
      <c r="E32">
        <v>7</v>
      </c>
      <c r="F32" s="88"/>
    </row>
    <row r="33" spans="1:6" x14ac:dyDescent="0.3">
      <c r="A33" s="115" t="s">
        <v>107</v>
      </c>
      <c r="B33" t="s">
        <v>108</v>
      </c>
      <c r="E33" s="114" t="s">
        <v>107</v>
      </c>
      <c r="F33" s="176"/>
    </row>
    <row r="34" spans="1:6" x14ac:dyDescent="0.3">
      <c r="A34" s="115" t="s">
        <v>109</v>
      </c>
      <c r="B34" t="s">
        <v>110</v>
      </c>
      <c r="E34" s="114" t="s">
        <v>109</v>
      </c>
      <c r="F34" s="92">
        <f>F27*F33*0.01</f>
        <v>0</v>
      </c>
    </row>
    <row r="35" spans="1:6" x14ac:dyDescent="0.3">
      <c r="A35" s="115">
        <v>8</v>
      </c>
      <c r="B35" t="s">
        <v>111</v>
      </c>
      <c r="E35">
        <v>8</v>
      </c>
      <c r="F35" s="92">
        <f>SUM(F34,F31)</f>
        <v>0</v>
      </c>
    </row>
    <row r="36" spans="1:6" x14ac:dyDescent="0.3">
      <c r="A36" s="115"/>
      <c r="E36" t="s">
        <v>98</v>
      </c>
      <c r="F36" s="94" t="s">
        <v>112</v>
      </c>
    </row>
    <row r="37" spans="1:6" x14ac:dyDescent="0.3">
      <c r="A37" s="115"/>
    </row>
    <row r="38" spans="1:6" x14ac:dyDescent="0.3">
      <c r="A38" s="115">
        <v>9</v>
      </c>
      <c r="B38" t="s">
        <v>113</v>
      </c>
      <c r="E38">
        <v>9</v>
      </c>
      <c r="F38" s="122">
        <f>IF((F21="ZERO"),"ZERO",SUM(F22,F27,F35))</f>
        <v>4334851.9246400008</v>
      </c>
    </row>
    <row r="39" spans="1:6" x14ac:dyDescent="0.3">
      <c r="A39" s="115"/>
    </row>
    <row r="40" spans="1:6" ht="28.8" x14ac:dyDescent="0.3">
      <c r="A40" s="115" t="s">
        <v>114</v>
      </c>
      <c r="B40" s="113" t="s">
        <v>115</v>
      </c>
    </row>
    <row r="41" spans="1:6" ht="28.8" x14ac:dyDescent="0.3">
      <c r="A41" s="115" t="s">
        <v>116</v>
      </c>
      <c r="B41" s="113" t="s">
        <v>117</v>
      </c>
    </row>
    <row r="42" spans="1:6" x14ac:dyDescent="0.3">
      <c r="A42" s="123"/>
      <c r="B42" s="124"/>
      <c r="C42" s="124"/>
      <c r="D42" s="124"/>
      <c r="E42" s="124"/>
      <c r="F42" s="124"/>
    </row>
    <row r="43" spans="1:6" x14ac:dyDescent="0.3">
      <c r="B43" s="126" t="s">
        <v>166</v>
      </c>
      <c r="C43" s="122"/>
      <c r="D43" s="122"/>
      <c r="E43" s="122"/>
      <c r="F43" s="122"/>
    </row>
    <row r="44" spans="1:6" x14ac:dyDescent="0.3">
      <c r="B44" s="105" t="s">
        <v>139</v>
      </c>
      <c r="E44" s="127">
        <f>+'IS Sept 2016'!B23</f>
        <v>2894874.52</v>
      </c>
    </row>
    <row r="45" spans="1:6" x14ac:dyDescent="0.3">
      <c r="B45" s="105" t="s">
        <v>140</v>
      </c>
      <c r="E45" s="127">
        <f>+'IS Sept 2016'!B24</f>
        <v>12976964.199999999</v>
      </c>
    </row>
    <row r="46" spans="1:6" x14ac:dyDescent="0.3">
      <c r="B46" s="105" t="s">
        <v>141</v>
      </c>
      <c r="E46" s="127">
        <f>+'IS Sept 2016'!B25</f>
        <v>18118500.879999999</v>
      </c>
    </row>
    <row r="47" spans="1:6" x14ac:dyDescent="0.3">
      <c r="B47" s="134" t="s">
        <v>214</v>
      </c>
      <c r="E47" s="127">
        <f>-'Order Group 456'!B50</f>
        <v>-12587685.470000001</v>
      </c>
    </row>
    <row r="48" spans="1:6" ht="15" thickBot="1" x14ac:dyDescent="0.35">
      <c r="B48" t="s">
        <v>167</v>
      </c>
      <c r="E48" s="130">
        <f>SUM(E44:E47)</f>
        <v>21402654.129999995</v>
      </c>
      <c r="F48" s="129"/>
    </row>
    <row r="49" spans="6:6" ht="15" thickTop="1" x14ac:dyDescent="0.3">
      <c r="F49" s="129"/>
    </row>
  </sheetData>
  <dataValidations count="1">
    <dataValidation showInputMessage="1" errorTitle="test" error="test" sqref="F17"/>
  </dataValidations>
  <pageMargins left="0.7" right="0.7" top="0.75" bottom="0.75" header="0.3" footer="0.3"/>
  <pageSetup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D35" sqref="D35"/>
    </sheetView>
  </sheetViews>
  <sheetFormatPr defaultRowHeight="14.4" x14ac:dyDescent="0.3"/>
  <cols>
    <col min="1" max="1" width="9.109375" style="114"/>
    <col min="2" max="2" width="117.88671875" customWidth="1"/>
    <col min="3" max="3" width="3.6640625" bestFit="1" customWidth="1"/>
    <col min="4" max="4" width="17.6640625" bestFit="1" customWidth="1"/>
    <col min="5" max="5" width="15.88671875" bestFit="1" customWidth="1"/>
    <col min="6" max="6" width="19.88671875" bestFit="1" customWidth="1"/>
  </cols>
  <sheetData>
    <row r="1" spans="1:6" x14ac:dyDescent="0.3">
      <c r="A1" s="118" t="s">
        <v>67</v>
      </c>
      <c r="B1" s="118"/>
      <c r="C1" s="118"/>
      <c r="D1" s="118"/>
      <c r="E1" s="118"/>
      <c r="F1" s="118"/>
    </row>
    <row r="2" spans="1:6" x14ac:dyDescent="0.3">
      <c r="A2" s="118" t="s">
        <v>223</v>
      </c>
      <c r="B2" s="118"/>
      <c r="C2" s="118"/>
      <c r="D2" s="118"/>
      <c r="E2" s="118"/>
      <c r="F2" s="118"/>
    </row>
    <row r="3" spans="1:6" x14ac:dyDescent="0.3">
      <c r="A3" s="118" t="s">
        <v>157</v>
      </c>
      <c r="B3" s="119"/>
      <c r="C3" s="119"/>
      <c r="D3" s="119"/>
      <c r="E3" s="119"/>
      <c r="F3" s="119"/>
    </row>
    <row r="5" spans="1:6" x14ac:dyDescent="0.3">
      <c r="A5" s="116" t="s">
        <v>215</v>
      </c>
    </row>
    <row r="6" spans="1:6" x14ac:dyDescent="0.3">
      <c r="A6" s="117" t="s">
        <v>216</v>
      </c>
    </row>
    <row r="7" spans="1:6" x14ac:dyDescent="0.3">
      <c r="A7" s="117" t="s">
        <v>217</v>
      </c>
    </row>
    <row r="8" spans="1:6" x14ac:dyDescent="0.3">
      <c r="A8" s="117" t="s">
        <v>155</v>
      </c>
    </row>
    <row r="9" spans="1:6" x14ac:dyDescent="0.3">
      <c r="A9" s="117" t="s">
        <v>218</v>
      </c>
    </row>
    <row r="10" spans="1:6" x14ac:dyDescent="0.3">
      <c r="A10" s="117"/>
    </row>
    <row r="11" spans="1:6" x14ac:dyDescent="0.3">
      <c r="A11" s="115" t="s">
        <v>70</v>
      </c>
    </row>
    <row r="12" spans="1:6" x14ac:dyDescent="0.3">
      <c r="A12" s="115" t="s">
        <v>71</v>
      </c>
      <c r="B12" t="s">
        <v>219</v>
      </c>
      <c r="C12" s="85" t="s">
        <v>71</v>
      </c>
      <c r="D12" s="174">
        <f>+'IS Sept 2016'!C13</f>
        <v>857492456.10000002</v>
      </c>
    </row>
    <row r="13" spans="1:6" x14ac:dyDescent="0.3">
      <c r="A13" s="115" t="s">
        <v>73</v>
      </c>
      <c r="B13" t="s">
        <v>74</v>
      </c>
      <c r="C13" s="175" t="s">
        <v>69</v>
      </c>
      <c r="D13" t="s">
        <v>73</v>
      </c>
    </row>
    <row r="14" spans="1:6" x14ac:dyDescent="0.3">
      <c r="A14" s="115" t="s">
        <v>75</v>
      </c>
      <c r="B14" t="s">
        <v>76</v>
      </c>
      <c r="C14" s="175"/>
      <c r="D14" t="s">
        <v>75</v>
      </c>
    </row>
    <row r="15" spans="1:6" x14ac:dyDescent="0.3">
      <c r="A15" s="115" t="s">
        <v>77</v>
      </c>
      <c r="B15" t="s">
        <v>163</v>
      </c>
      <c r="C15" t="s">
        <v>77</v>
      </c>
      <c r="D15" s="174"/>
    </row>
    <row r="16" spans="1:6" x14ac:dyDescent="0.3">
      <c r="A16" s="115" t="s">
        <v>78</v>
      </c>
      <c r="B16" t="s">
        <v>164</v>
      </c>
      <c r="C16" t="s">
        <v>78</v>
      </c>
      <c r="D16" s="174"/>
    </row>
    <row r="17" spans="1:6" ht="15" thickBot="1" x14ac:dyDescent="0.35">
      <c r="A17" s="115">
        <v>1</v>
      </c>
      <c r="B17" s="120" t="s">
        <v>79</v>
      </c>
      <c r="D17" t="s">
        <v>80</v>
      </c>
      <c r="E17">
        <v>1</v>
      </c>
      <c r="F17" s="86">
        <f>+D12</f>
        <v>857492456.10000002</v>
      </c>
    </row>
    <row r="18" spans="1:6" ht="15.6" thickTop="1" thickBot="1" x14ac:dyDescent="0.35">
      <c r="A18" s="115">
        <v>2</v>
      </c>
      <c r="B18" t="s">
        <v>220</v>
      </c>
      <c r="E18">
        <v>2</v>
      </c>
      <c r="F18" s="136"/>
    </row>
    <row r="19" spans="1:6" ht="15" thickTop="1" x14ac:dyDescent="0.3">
      <c r="A19" s="115">
        <v>3</v>
      </c>
      <c r="B19" t="s">
        <v>82</v>
      </c>
      <c r="E19">
        <v>3</v>
      </c>
      <c r="F19" s="87">
        <f>SUM(F17:F18)</f>
        <v>857492456.10000002</v>
      </c>
    </row>
    <row r="20" spans="1:6" x14ac:dyDescent="0.3">
      <c r="A20" s="115">
        <v>4</v>
      </c>
      <c r="B20" t="s">
        <v>83</v>
      </c>
      <c r="E20">
        <v>4</v>
      </c>
      <c r="F20" s="88"/>
    </row>
    <row r="21" spans="1:6" x14ac:dyDescent="0.3">
      <c r="A21" s="115" t="s">
        <v>84</v>
      </c>
      <c r="B21" t="s">
        <v>158</v>
      </c>
      <c r="E21" s="114" t="s">
        <v>85</v>
      </c>
      <c r="F21" s="89">
        <f>IF(AND(F19&gt;=1,F19&lt;20000),"ZERO", 0)</f>
        <v>0</v>
      </c>
    </row>
    <row r="22" spans="1:6" x14ac:dyDescent="0.3">
      <c r="A22" s="115" t="s">
        <v>86</v>
      </c>
      <c r="B22" t="s">
        <v>159</v>
      </c>
      <c r="C22" t="s">
        <v>87</v>
      </c>
      <c r="D22" s="90">
        <f>IF(AND(20000&lt;=F19,F19&lt;=50000),F19, 0)</f>
        <v>0</v>
      </c>
      <c r="E22" s="91" t="s">
        <v>88</v>
      </c>
      <c r="F22" s="92">
        <f>IF(D22&gt;1, (D22*0.001), 0)</f>
        <v>0</v>
      </c>
    </row>
    <row r="23" spans="1:6" x14ac:dyDescent="0.3">
      <c r="A23" s="115"/>
      <c r="B23" t="s">
        <v>160</v>
      </c>
    </row>
    <row r="24" spans="1:6" x14ac:dyDescent="0.3">
      <c r="A24" s="115" t="s">
        <v>89</v>
      </c>
      <c r="B24" t="s">
        <v>161</v>
      </c>
      <c r="C24" t="s">
        <v>90</v>
      </c>
      <c r="D24" s="92">
        <f>IF(F19&gt;50000, F19, 0)</f>
        <v>857492456.10000002</v>
      </c>
      <c r="F24" s="121"/>
    </row>
    <row r="25" spans="1:6" x14ac:dyDescent="0.3">
      <c r="A25" s="115" t="s">
        <v>91</v>
      </c>
      <c r="B25" t="s">
        <v>162</v>
      </c>
      <c r="C25" t="s">
        <v>92</v>
      </c>
      <c r="D25" s="92">
        <f>IF(D24&gt;1, 50000, 0)</f>
        <v>50000</v>
      </c>
      <c r="E25" s="91" t="s">
        <v>88</v>
      </c>
      <c r="F25" s="92">
        <f t="shared" ref="F25" si="0">IF(D25&gt;1, (D25*0.001), 0)</f>
        <v>50</v>
      </c>
    </row>
    <row r="26" spans="1:6" x14ac:dyDescent="0.3">
      <c r="A26" s="115" t="s">
        <v>93</v>
      </c>
      <c r="B26" t="s">
        <v>94</v>
      </c>
      <c r="C26" t="s">
        <v>95</v>
      </c>
      <c r="D26" s="92">
        <f>+D24-D25</f>
        <v>857442456.10000002</v>
      </c>
      <c r="E26" s="91" t="s">
        <v>96</v>
      </c>
      <c r="F26" s="92">
        <f>IF(D26&gt;1, (D26*0.002), 0)</f>
        <v>1714884.9122000001</v>
      </c>
    </row>
    <row r="27" spans="1:6" x14ac:dyDescent="0.3">
      <c r="A27" s="115">
        <v>5</v>
      </c>
      <c r="B27" t="s">
        <v>97</v>
      </c>
      <c r="E27">
        <v>5</v>
      </c>
      <c r="F27" s="92">
        <f>SUM(F25:F26)</f>
        <v>1714934.9122000001</v>
      </c>
    </row>
    <row r="28" spans="1:6" x14ac:dyDescent="0.3">
      <c r="A28" s="115"/>
      <c r="E28" s="93" t="s">
        <v>98</v>
      </c>
      <c r="F28" s="94" t="s">
        <v>99</v>
      </c>
    </row>
    <row r="29" spans="1:6" x14ac:dyDescent="0.3">
      <c r="A29" s="115"/>
      <c r="B29" s="120" t="s">
        <v>100</v>
      </c>
    </row>
    <row r="30" spans="1:6" x14ac:dyDescent="0.3">
      <c r="A30" s="115">
        <v>6</v>
      </c>
      <c r="B30" t="s">
        <v>101</v>
      </c>
      <c r="E30">
        <v>6</v>
      </c>
      <c r="F30" s="88"/>
    </row>
    <row r="31" spans="1:6" x14ac:dyDescent="0.3">
      <c r="A31" s="115" t="s">
        <v>102</v>
      </c>
      <c r="B31" t="s">
        <v>103</v>
      </c>
      <c r="C31" t="s">
        <v>104</v>
      </c>
      <c r="D31" s="177">
        <v>0</v>
      </c>
      <c r="E31" s="91" t="s">
        <v>105</v>
      </c>
      <c r="F31" s="92">
        <f>IF(D31&gt;0, (D31*0.02), 0)</f>
        <v>0</v>
      </c>
    </row>
    <row r="32" spans="1:6" x14ac:dyDescent="0.3">
      <c r="A32" s="115">
        <v>7</v>
      </c>
      <c r="B32" t="s">
        <v>106</v>
      </c>
      <c r="E32">
        <v>7</v>
      </c>
      <c r="F32" s="88"/>
    </row>
    <row r="33" spans="1:8" x14ac:dyDescent="0.3">
      <c r="A33" s="115" t="s">
        <v>107</v>
      </c>
      <c r="B33" t="s">
        <v>108</v>
      </c>
      <c r="E33" s="114" t="s">
        <v>107</v>
      </c>
      <c r="F33" s="176"/>
    </row>
    <row r="34" spans="1:8" x14ac:dyDescent="0.3">
      <c r="A34" s="115" t="s">
        <v>109</v>
      </c>
      <c r="B34" t="s">
        <v>110</v>
      </c>
      <c r="E34" s="114" t="s">
        <v>109</v>
      </c>
      <c r="F34" s="92">
        <f>F27*F33*0.01</f>
        <v>0</v>
      </c>
    </row>
    <row r="35" spans="1:8" x14ac:dyDescent="0.3">
      <c r="A35" s="115">
        <v>8</v>
      </c>
      <c r="B35" t="s">
        <v>111</v>
      </c>
      <c r="E35">
        <v>8</v>
      </c>
      <c r="F35" s="92">
        <f>SUM(F34,F31)</f>
        <v>0</v>
      </c>
    </row>
    <row r="36" spans="1:8" x14ac:dyDescent="0.3">
      <c r="A36" s="115"/>
      <c r="E36" t="s">
        <v>98</v>
      </c>
      <c r="F36" s="94" t="s">
        <v>112</v>
      </c>
    </row>
    <row r="37" spans="1:8" x14ac:dyDescent="0.3">
      <c r="A37" s="115"/>
    </row>
    <row r="38" spans="1:8" x14ac:dyDescent="0.3">
      <c r="A38" s="115">
        <v>9</v>
      </c>
      <c r="B38" t="s">
        <v>221</v>
      </c>
      <c r="E38">
        <v>9</v>
      </c>
      <c r="F38" s="122">
        <f>IF((F21="ZERO"),"ZERO",SUM(F22,F27,F35))</f>
        <v>1714934.9122000001</v>
      </c>
    </row>
    <row r="39" spans="1:8" x14ac:dyDescent="0.3">
      <c r="A39" s="115"/>
    </row>
    <row r="40" spans="1:8" ht="100.8" x14ac:dyDescent="0.3">
      <c r="A40" s="115" t="s">
        <v>114</v>
      </c>
      <c r="B40" s="113" t="s">
        <v>222</v>
      </c>
    </row>
    <row r="41" spans="1:8" ht="28.8" x14ac:dyDescent="0.3">
      <c r="A41" s="115" t="s">
        <v>116</v>
      </c>
      <c r="B41" s="113" t="s">
        <v>117</v>
      </c>
    </row>
    <row r="43" spans="1:8" x14ac:dyDescent="0.3">
      <c r="G43" s="122"/>
      <c r="H43" s="122"/>
    </row>
    <row r="44" spans="1:8" x14ac:dyDescent="0.3">
      <c r="G44" s="122"/>
      <c r="H44" s="122"/>
    </row>
    <row r="45" spans="1:8" x14ac:dyDescent="0.3">
      <c r="G45" s="122"/>
      <c r="H45" s="122"/>
    </row>
    <row r="46" spans="1:8" x14ac:dyDescent="0.3">
      <c r="G46" s="122"/>
      <c r="H46" s="122"/>
    </row>
    <row r="47" spans="1:8" x14ac:dyDescent="0.3">
      <c r="G47" s="122"/>
      <c r="H47" s="122"/>
    </row>
    <row r="48" spans="1:8" x14ac:dyDescent="0.3">
      <c r="B48" s="122"/>
      <c r="C48" s="122"/>
      <c r="D48" s="122"/>
      <c r="E48" s="122"/>
      <c r="F48" s="122"/>
      <c r="G48" s="122"/>
      <c r="H48" s="122"/>
    </row>
  </sheetData>
  <dataValidations disablePrompts="1" count="1">
    <dataValidation showInputMessage="1" errorTitle="test" error="test" sqref="F17"/>
  </dataValidations>
  <pageMargins left="0.7" right="0.7" top="0.75" bottom="0.75" header="0.3" footer="0.3"/>
  <pageSetup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H49" sqref="H49"/>
    </sheetView>
  </sheetViews>
  <sheetFormatPr defaultRowHeight="14.4" x14ac:dyDescent="0.3"/>
  <cols>
    <col min="1" max="1" width="47.6640625" bestFit="1" customWidth="1"/>
    <col min="2" max="2" width="13.5546875" bestFit="1" customWidth="1"/>
    <col min="3" max="3" width="12" bestFit="1" customWidth="1"/>
  </cols>
  <sheetData>
    <row r="1" spans="1:3" x14ac:dyDescent="0.3">
      <c r="A1" s="96" t="s">
        <v>119</v>
      </c>
      <c r="B1" s="96"/>
      <c r="C1" s="96"/>
    </row>
    <row r="2" spans="1:3" x14ac:dyDescent="0.3">
      <c r="A2" s="96" t="s">
        <v>120</v>
      </c>
      <c r="B2" s="96"/>
      <c r="C2" s="96"/>
    </row>
    <row r="3" spans="1:3" x14ac:dyDescent="0.3">
      <c r="A3" s="96" t="s">
        <v>151</v>
      </c>
      <c r="B3" s="96"/>
      <c r="C3" s="96"/>
    </row>
    <row r="4" spans="1:3" x14ac:dyDescent="0.3">
      <c r="A4" s="97" t="s">
        <v>121</v>
      </c>
      <c r="B4" s="98" t="s">
        <v>22</v>
      </c>
      <c r="C4" s="98" t="s">
        <v>23</v>
      </c>
    </row>
    <row r="5" spans="1:3" x14ac:dyDescent="0.3">
      <c r="A5" s="99" t="s">
        <v>122</v>
      </c>
      <c r="B5" s="100"/>
      <c r="C5" s="100"/>
    </row>
    <row r="6" spans="1:3" x14ac:dyDescent="0.3">
      <c r="A6" s="101" t="s">
        <v>123</v>
      </c>
      <c r="B6" s="102"/>
      <c r="C6" s="102"/>
    </row>
    <row r="7" spans="1:3" x14ac:dyDescent="0.3">
      <c r="A7" s="103" t="s">
        <v>124</v>
      </c>
      <c r="B7" s="104">
        <v>1133291978.5999999</v>
      </c>
      <c r="C7" s="104">
        <v>0</v>
      </c>
    </row>
    <row r="8" spans="1:3" x14ac:dyDescent="0.3">
      <c r="A8" s="103" t="s">
        <v>125</v>
      </c>
      <c r="B8" s="104">
        <v>992834955.05999994</v>
      </c>
      <c r="C8" s="104">
        <v>0</v>
      </c>
    </row>
    <row r="9" spans="1:3" x14ac:dyDescent="0.3">
      <c r="A9" s="103" t="s">
        <v>126</v>
      </c>
      <c r="B9" s="104">
        <v>19921374.529999901</v>
      </c>
      <c r="C9" s="104">
        <v>0</v>
      </c>
    </row>
    <row r="10" spans="1:3" x14ac:dyDescent="0.3">
      <c r="A10" s="103" t="s">
        <v>127</v>
      </c>
      <c r="B10" s="104">
        <v>0</v>
      </c>
      <c r="C10" s="104">
        <v>575792986.83999896</v>
      </c>
    </row>
    <row r="11" spans="1:3" x14ac:dyDescent="0.3">
      <c r="A11" s="103" t="s">
        <v>128</v>
      </c>
      <c r="B11" s="104">
        <v>0</v>
      </c>
      <c r="C11" s="104">
        <v>261755024.53999901</v>
      </c>
    </row>
    <row r="12" spans="1:3" x14ac:dyDescent="0.3">
      <c r="A12" s="95" t="s">
        <v>129</v>
      </c>
      <c r="B12" s="127">
        <v>0</v>
      </c>
      <c r="C12" s="104">
        <v>19944444.719999999</v>
      </c>
    </row>
    <row r="13" spans="1:3" x14ac:dyDescent="0.3">
      <c r="A13" s="105" t="s">
        <v>130</v>
      </c>
      <c r="B13" s="131">
        <v>2146048308.1900001</v>
      </c>
      <c r="C13" s="112">
        <v>857492456.10000002</v>
      </c>
    </row>
    <row r="14" spans="1:3" x14ac:dyDescent="0.3">
      <c r="A14" s="107" t="s">
        <v>131</v>
      </c>
      <c r="B14" s="127"/>
      <c r="C14" s="104"/>
    </row>
    <row r="15" spans="1:3" x14ac:dyDescent="0.3">
      <c r="A15" s="95" t="s">
        <v>118</v>
      </c>
      <c r="B15" s="127">
        <v>324382.2</v>
      </c>
      <c r="C15" s="104">
        <v>0</v>
      </c>
    </row>
    <row r="16" spans="1:3" x14ac:dyDescent="0.3">
      <c r="A16" s="105" t="s">
        <v>132</v>
      </c>
      <c r="B16" s="112">
        <v>324382.2</v>
      </c>
      <c r="C16" s="106">
        <v>0</v>
      </c>
    </row>
    <row r="17" spans="1:3" x14ac:dyDescent="0.3">
      <c r="A17" s="107" t="s">
        <v>133</v>
      </c>
      <c r="B17" s="127"/>
      <c r="C17" s="104"/>
    </row>
    <row r="18" spans="1:3" x14ac:dyDescent="0.3">
      <c r="A18" s="105" t="s">
        <v>134</v>
      </c>
      <c r="B18" s="127">
        <v>53788170.889999896</v>
      </c>
      <c r="C18" s="104">
        <v>0</v>
      </c>
    </row>
    <row r="19" spans="1:3" x14ac:dyDescent="0.3">
      <c r="A19" s="95" t="s">
        <v>135</v>
      </c>
      <c r="B19" s="127">
        <v>147337570.84999999</v>
      </c>
      <c r="C19" s="104">
        <v>0</v>
      </c>
    </row>
    <row r="20" spans="1:3" x14ac:dyDescent="0.3">
      <c r="A20" s="105" t="s">
        <v>136</v>
      </c>
      <c r="B20" s="112">
        <v>201125741.739999</v>
      </c>
      <c r="C20" s="106">
        <v>0</v>
      </c>
    </row>
    <row r="21" spans="1:3" x14ac:dyDescent="0.3">
      <c r="A21" s="107" t="s">
        <v>137</v>
      </c>
      <c r="B21" s="104"/>
      <c r="C21" s="104"/>
    </row>
    <row r="22" spans="1:3" x14ac:dyDescent="0.3">
      <c r="A22" s="105" t="s">
        <v>138</v>
      </c>
      <c r="B22" s="104">
        <v>0</v>
      </c>
      <c r="C22" s="104">
        <v>0</v>
      </c>
    </row>
    <row r="23" spans="1:3" x14ac:dyDescent="0.3">
      <c r="A23" s="105" t="s">
        <v>139</v>
      </c>
      <c r="B23" s="128">
        <v>2894874.52</v>
      </c>
      <c r="C23" s="104">
        <v>0</v>
      </c>
    </row>
    <row r="24" spans="1:3" x14ac:dyDescent="0.3">
      <c r="A24" s="105" t="s">
        <v>140</v>
      </c>
      <c r="B24" s="128">
        <v>12976964.199999999</v>
      </c>
      <c r="C24" s="104">
        <v>0</v>
      </c>
    </row>
    <row r="25" spans="1:3" x14ac:dyDescent="0.3">
      <c r="A25" s="105" t="s">
        <v>141</v>
      </c>
      <c r="B25" s="128">
        <v>18118500.879999999</v>
      </c>
      <c r="C25" s="104">
        <v>0</v>
      </c>
    </row>
    <row r="26" spans="1:3" x14ac:dyDescent="0.3">
      <c r="A26" s="105" t="s">
        <v>142</v>
      </c>
      <c r="B26" s="104">
        <v>7446504.8799999999</v>
      </c>
      <c r="C26" s="104">
        <v>0</v>
      </c>
    </row>
    <row r="27" spans="1:3" x14ac:dyDescent="0.3">
      <c r="A27" s="105" t="s">
        <v>143</v>
      </c>
      <c r="B27" s="104">
        <v>6404494.4699999904</v>
      </c>
      <c r="C27" s="104">
        <v>0</v>
      </c>
    </row>
    <row r="28" spans="1:3" x14ac:dyDescent="0.3">
      <c r="A28" s="105" t="s">
        <v>144</v>
      </c>
      <c r="B28" s="104">
        <v>0</v>
      </c>
      <c r="C28" s="104">
        <v>1014020.99</v>
      </c>
    </row>
    <row r="29" spans="1:3" x14ac:dyDescent="0.3">
      <c r="A29" s="105" t="s">
        <v>145</v>
      </c>
      <c r="B29" s="104">
        <v>0</v>
      </c>
      <c r="C29" s="104">
        <v>4455471.17</v>
      </c>
    </row>
    <row r="30" spans="1:3" x14ac:dyDescent="0.3">
      <c r="A30" s="105" t="s">
        <v>146</v>
      </c>
      <c r="B30" s="104">
        <v>0</v>
      </c>
      <c r="C30" s="104">
        <v>980101.5</v>
      </c>
    </row>
    <row r="31" spans="1:3" x14ac:dyDescent="0.3">
      <c r="A31" s="105" t="s">
        <v>147</v>
      </c>
      <c r="B31" s="104">
        <v>0</v>
      </c>
      <c r="C31" s="104">
        <v>6972952.5899999999</v>
      </c>
    </row>
    <row r="32" spans="1:3" x14ac:dyDescent="0.3">
      <c r="A32" s="95" t="s">
        <v>148</v>
      </c>
      <c r="B32" s="104">
        <v>0</v>
      </c>
      <c r="C32" s="104">
        <v>24557596.2299999</v>
      </c>
    </row>
    <row r="33" spans="1:3" x14ac:dyDescent="0.3">
      <c r="A33" s="108" t="s">
        <v>149</v>
      </c>
      <c r="B33" s="106">
        <v>47841338.950000003</v>
      </c>
      <c r="C33" s="106">
        <v>37980142.479999997</v>
      </c>
    </row>
    <row r="34" spans="1:3" ht="15" thickBot="1" x14ac:dyDescent="0.35">
      <c r="A34" s="109" t="s">
        <v>150</v>
      </c>
      <c r="B34" s="110">
        <v>2395339771.0799999</v>
      </c>
      <c r="C34" s="110">
        <v>895472598.57999897</v>
      </c>
    </row>
    <row r="35" spans="1:3" ht="15" thickTop="1" x14ac:dyDescent="0.3">
      <c r="A35" s="111"/>
      <c r="B35" s="104"/>
      <c r="C35" s="1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topLeftCell="A22" workbookViewId="0">
      <selection activeCell="F56" sqref="F56"/>
    </sheetView>
  </sheetViews>
  <sheetFormatPr defaultRowHeight="14.4" x14ac:dyDescent="0.3"/>
  <cols>
    <col min="1" max="1" width="69.33203125" customWidth="1"/>
    <col min="2" max="2" width="12.5546875" bestFit="1" customWidth="1"/>
  </cols>
  <sheetData>
    <row r="1" spans="1:2" x14ac:dyDescent="0.3">
      <c r="A1" t="s">
        <v>168</v>
      </c>
    </row>
    <row r="2" spans="1:2" x14ac:dyDescent="0.3">
      <c r="A2" t="s">
        <v>169</v>
      </c>
    </row>
    <row r="3" spans="1:2" x14ac:dyDescent="0.3">
      <c r="A3" t="s">
        <v>170</v>
      </c>
    </row>
    <row r="4" spans="1:2" x14ac:dyDescent="0.3">
      <c r="A4" t="s">
        <v>171</v>
      </c>
    </row>
    <row r="7" spans="1:2" x14ac:dyDescent="0.3">
      <c r="A7" t="s">
        <v>172</v>
      </c>
    </row>
    <row r="12" spans="1:2" x14ac:dyDescent="0.3">
      <c r="A12" t="s">
        <v>173</v>
      </c>
      <c r="B12" t="s">
        <v>174</v>
      </c>
    </row>
    <row r="13" spans="1:2" x14ac:dyDescent="0.3">
      <c r="A13" t="s">
        <v>175</v>
      </c>
      <c r="B13">
        <v>0</v>
      </c>
    </row>
    <row r="14" spans="1:2" x14ac:dyDescent="0.3">
      <c r="A14" t="s">
        <v>176</v>
      </c>
      <c r="B14" s="125">
        <v>-42630.26</v>
      </c>
    </row>
    <row r="15" spans="1:2" x14ac:dyDescent="0.3">
      <c r="A15" t="s">
        <v>177</v>
      </c>
      <c r="B15" s="125">
        <v>-215933.22</v>
      </c>
    </row>
    <row r="16" spans="1:2" x14ac:dyDescent="0.3">
      <c r="A16" t="s">
        <v>178</v>
      </c>
      <c r="B16" s="125">
        <v>-138393.73000000001</v>
      </c>
    </row>
    <row r="17" spans="1:2" x14ac:dyDescent="0.3">
      <c r="A17" t="s">
        <v>179</v>
      </c>
      <c r="B17" s="125">
        <v>1563408.86</v>
      </c>
    </row>
    <row r="18" spans="1:2" x14ac:dyDescent="0.3">
      <c r="A18" t="s">
        <v>180</v>
      </c>
      <c r="B18" s="125">
        <v>-173122.62</v>
      </c>
    </row>
    <row r="19" spans="1:2" x14ac:dyDescent="0.3">
      <c r="A19" t="s">
        <v>181</v>
      </c>
      <c r="B19" s="125">
        <v>-652945.05000000005</v>
      </c>
    </row>
    <row r="20" spans="1:2" x14ac:dyDescent="0.3">
      <c r="A20" t="s">
        <v>182</v>
      </c>
      <c r="B20" s="125">
        <v>-96238949.969999999</v>
      </c>
    </row>
    <row r="21" spans="1:2" x14ac:dyDescent="0.3">
      <c r="A21" t="s">
        <v>183</v>
      </c>
      <c r="B21" s="125">
        <v>114262627.94</v>
      </c>
    </row>
    <row r="22" spans="1:2" x14ac:dyDescent="0.3">
      <c r="A22" t="s">
        <v>184</v>
      </c>
      <c r="B22" s="125">
        <v>-84644.75</v>
      </c>
    </row>
    <row r="23" spans="1:2" x14ac:dyDescent="0.3">
      <c r="A23" t="s">
        <v>185</v>
      </c>
      <c r="B23" s="125">
        <v>-1026108</v>
      </c>
    </row>
    <row r="24" spans="1:2" x14ac:dyDescent="0.3">
      <c r="A24" t="s">
        <v>186</v>
      </c>
      <c r="B24" s="125">
        <v>-1188516.6599999999</v>
      </c>
    </row>
    <row r="25" spans="1:2" x14ac:dyDescent="0.3">
      <c r="A25" t="s">
        <v>187</v>
      </c>
      <c r="B25" s="125">
        <v>0</v>
      </c>
    </row>
    <row r="26" spans="1:2" x14ac:dyDescent="0.3">
      <c r="A26" t="s">
        <v>188</v>
      </c>
      <c r="B26" s="125">
        <v>0</v>
      </c>
    </row>
    <row r="27" spans="1:2" x14ac:dyDescent="0.3">
      <c r="A27" t="s">
        <v>189</v>
      </c>
      <c r="B27" s="125">
        <v>-296729</v>
      </c>
    </row>
    <row r="28" spans="1:2" x14ac:dyDescent="0.3">
      <c r="A28" t="s">
        <v>190</v>
      </c>
      <c r="B28" s="125">
        <v>-25700</v>
      </c>
    </row>
    <row r="29" spans="1:2" x14ac:dyDescent="0.3">
      <c r="A29" t="s">
        <v>191</v>
      </c>
      <c r="B29" s="125">
        <v>-18439628.539999999</v>
      </c>
    </row>
    <row r="30" spans="1:2" x14ac:dyDescent="0.3">
      <c r="A30" t="s">
        <v>192</v>
      </c>
      <c r="B30" s="125">
        <v>6688730.8099999996</v>
      </c>
    </row>
    <row r="31" spans="1:2" x14ac:dyDescent="0.3">
      <c r="A31" t="s">
        <v>193</v>
      </c>
      <c r="B31" s="125">
        <v>368806</v>
      </c>
    </row>
    <row r="32" spans="1:2" x14ac:dyDescent="0.3">
      <c r="A32" t="s">
        <v>194</v>
      </c>
      <c r="B32" s="125">
        <v>-472747.79</v>
      </c>
    </row>
    <row r="33" spans="1:2" x14ac:dyDescent="0.3">
      <c r="A33" t="s">
        <v>195</v>
      </c>
      <c r="B33" s="125">
        <v>192664.8</v>
      </c>
    </row>
    <row r="34" spans="1:2" x14ac:dyDescent="0.3">
      <c r="A34" t="s">
        <v>196</v>
      </c>
      <c r="B34" s="125">
        <v>0</v>
      </c>
    </row>
    <row r="35" spans="1:2" x14ac:dyDescent="0.3">
      <c r="A35" t="s">
        <v>197</v>
      </c>
      <c r="B35" s="125">
        <v>-305.69</v>
      </c>
    </row>
    <row r="36" spans="1:2" x14ac:dyDescent="0.3">
      <c r="A36" t="s">
        <v>198</v>
      </c>
      <c r="B36" s="125">
        <v>651158.36</v>
      </c>
    </row>
    <row r="37" spans="1:2" x14ac:dyDescent="0.3">
      <c r="A37" t="s">
        <v>199</v>
      </c>
      <c r="B37" s="125">
        <v>-9988110.1600000001</v>
      </c>
    </row>
    <row r="38" spans="1:2" x14ac:dyDescent="0.3">
      <c r="A38" t="s">
        <v>200</v>
      </c>
      <c r="B38" s="125">
        <v>-2017960.28</v>
      </c>
    </row>
    <row r="39" spans="1:2" x14ac:dyDescent="0.3">
      <c r="A39" t="s">
        <v>201</v>
      </c>
      <c r="B39" s="125">
        <v>768895.75</v>
      </c>
    </row>
    <row r="40" spans="1:2" x14ac:dyDescent="0.3">
      <c r="A40" t="s">
        <v>202</v>
      </c>
      <c r="B40" s="125">
        <v>523957.32</v>
      </c>
    </row>
    <row r="41" spans="1:2" x14ac:dyDescent="0.3">
      <c r="A41" t="s">
        <v>203</v>
      </c>
      <c r="B41" s="125">
        <v>-290646.93</v>
      </c>
    </row>
    <row r="42" spans="1:2" x14ac:dyDescent="0.3">
      <c r="A42" t="s">
        <v>204</v>
      </c>
      <c r="B42" s="125">
        <v>4654244.8600000003</v>
      </c>
    </row>
    <row r="43" spans="1:2" ht="15" x14ac:dyDescent="0.25">
      <c r="A43" t="s">
        <v>205</v>
      </c>
      <c r="B43" s="125">
        <v>-329248.65000000002</v>
      </c>
    </row>
    <row r="44" spans="1:2" x14ac:dyDescent="0.3">
      <c r="A44" t="s">
        <v>206</v>
      </c>
      <c r="B44" s="125">
        <v>9324172.9900000002</v>
      </c>
    </row>
    <row r="45" spans="1:2" x14ac:dyDescent="0.3">
      <c r="A45" t="s">
        <v>207</v>
      </c>
      <c r="B45" s="125">
        <v>7101416.5899999999</v>
      </c>
    </row>
    <row r="46" spans="1:2" x14ac:dyDescent="0.3">
      <c r="A46" t="s">
        <v>208</v>
      </c>
      <c r="B46" s="125">
        <v>-1843611.87</v>
      </c>
    </row>
    <row r="47" spans="1:2" x14ac:dyDescent="0.3">
      <c r="A47" t="s">
        <v>209</v>
      </c>
      <c r="B47" s="125">
        <v>12634151.109999999</v>
      </c>
    </row>
    <row r="48" spans="1:2" x14ac:dyDescent="0.3">
      <c r="A48" t="s">
        <v>210</v>
      </c>
      <c r="B48" s="125">
        <v>-46465.64</v>
      </c>
    </row>
    <row r="49" spans="1:2" x14ac:dyDescent="0.3">
      <c r="A49" t="s">
        <v>211</v>
      </c>
      <c r="B49" s="125">
        <v>-46465.64</v>
      </c>
    </row>
    <row r="50" spans="1:2" x14ac:dyDescent="0.3">
      <c r="A50" s="132" t="s">
        <v>212</v>
      </c>
      <c r="B50" s="133">
        <v>12587685.470000001</v>
      </c>
    </row>
    <row r="51" spans="1:2" x14ac:dyDescent="0.3">
      <c r="A51" t="s">
        <v>213</v>
      </c>
      <c r="B51" s="125">
        <v>12587685.470000001</v>
      </c>
    </row>
  </sheetData>
  <pageMargins left="0.7" right="0.7" top="0.75" bottom="0.75" header="0.3" footer="0.3"/>
  <pageSetup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3C679FACBF767418D4D2AF9C5803E0B" ma:contentTypeVersion="76" ma:contentTypeDescription="" ma:contentTypeScope="" ma:versionID="f058cda35981f7a69f184a1697251f0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00299f69f6737e1860c4c7d05e205bb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2018-03-30T07:00:00+00:00</OpenedDate>
    <SignificantOrder xmlns="dc463f71-b30c-4ab2-9473-d307f9d35888">false</SignificantOrder>
    <Date1 xmlns="dc463f71-b30c-4ab2-9473-d307f9d35888">2018-04-05T07:00:00+00:00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180283</DocketNumber>
    <DelegatedOrder xmlns="dc463f71-b30c-4ab2-9473-d307f9d35888">false</DelegatedOrder>
  </documentManagement>
</p:properties>
</file>

<file path=customXml/itemProps1.xml><?xml version="1.0" encoding="utf-8"?>
<ds:datastoreItem xmlns:ds="http://schemas.openxmlformats.org/officeDocument/2006/customXml" ds:itemID="{9DAB568F-F208-4923-9E65-C064F851A7E7}"/>
</file>

<file path=customXml/itemProps2.xml><?xml version="1.0" encoding="utf-8"?>
<ds:datastoreItem xmlns:ds="http://schemas.openxmlformats.org/officeDocument/2006/customXml" ds:itemID="{5DF16DC2-E59E-4F74-AFE6-54C09432C783}"/>
</file>

<file path=customXml/itemProps3.xml><?xml version="1.0" encoding="utf-8"?>
<ds:datastoreItem xmlns:ds="http://schemas.openxmlformats.org/officeDocument/2006/customXml" ds:itemID="{00E63393-AAB8-4E8F-B102-7762513C81A0}"/>
</file>

<file path=customXml/itemProps4.xml><?xml version="1.0" encoding="utf-8"?>
<ds:datastoreItem xmlns:ds="http://schemas.openxmlformats.org/officeDocument/2006/customXml" ds:itemID="{35F844E0-2867-4395-8532-4351299099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Lead E</vt:lpstr>
      <vt:lpstr>Lead G</vt:lpstr>
      <vt:lpstr>TY Excise Tax</vt:lpstr>
      <vt:lpstr>Sept 16 Ex Tax Trued Up in Oct</vt:lpstr>
      <vt:lpstr>TY Filing Fee</vt:lpstr>
      <vt:lpstr>E Filing Fee Restated</vt:lpstr>
      <vt:lpstr>G Filing Fee Restated</vt:lpstr>
      <vt:lpstr>IS Sept 2016</vt:lpstr>
      <vt:lpstr>Order Group 456</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nchar</dc:creator>
  <cp:lastModifiedBy>kbarnard</cp:lastModifiedBy>
  <cp:lastPrinted>2016-11-29T16:37:28Z</cp:lastPrinted>
  <dcterms:created xsi:type="dcterms:W3CDTF">2016-11-22T00:40:47Z</dcterms:created>
  <dcterms:modified xsi:type="dcterms:W3CDTF">2018-04-05T16:08:15Z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0x0101006E56B4D1795A2E4DB2F0B01679ED314A00A3C679FACBF767418D4D2AF9C5803E0B</vt:lpwstr>
  </property>
  <property fmtid="{D5CDD505-2E9C-101B-9397-08002B2CF9AE}" pid="3" name="_docset_NoMedatataSyncRequired">
    <vt:lpwstr>False</vt:lpwstr>
  </property>
  <property fmtid="{D5CDD505-2E9C-101B-9397-08002B2CF9AE}" pid="4" name="IsEFSEC">
    <vt:bool>false</vt:bool>
  </property>
</Properties>
</file>