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3640" windowHeight="9165"/>
  </bookViews>
  <sheets>
    <sheet name="Sch 1 Summary" sheetId="1" r:id="rId1"/>
    <sheet name="Sch 2 Juris Allocations" sheetId="2" r:id="rId2"/>
    <sheet name="YE Revenues" sheetId="13" r:id="rId3"/>
    <sheet name="YE Rev Calc" sheetId="12" r:id="rId4"/>
    <sheet name="Insur Exp" sheetId="10" r:id="rId5"/>
    <sheet name="Bad Debts" sheetId="5" r:id="rId6"/>
    <sheet name="O&amp;M Efficiency" sheetId="3" r:id="rId7"/>
    <sheet name="Exec Comp" sheetId="4" r:id="rId8"/>
    <sheet name="MEHC Officers" sheetId="14" r:id="rId9"/>
    <sheet name="NPC" sheetId="8" r:id="rId10"/>
    <sheet name="FloThru Tax" sheetId="11" r:id="rId11"/>
    <sheet name="Maj Plt Additions" sheetId="7" r:id="rId12"/>
    <sheet name="TY End PIS" sheetId="15" r:id="rId13"/>
    <sheet name="Work Cap" sheetId="9" r:id="rId14"/>
    <sheet name="Bridger Impairment" sheetId="6" r:id="rId15"/>
  </sheets>
  <definedNames>
    <definedName name="NOIConvert">'Sch 1 Summary'!$H$96</definedName>
    <definedName name="_xlnm.Print_Area" localSheetId="5">'Bad Debts'!$A$1:$H$32</definedName>
    <definedName name="_xlnm.Print_Area" localSheetId="14">'Bridger Impairment'!$A$1:$H$28</definedName>
    <definedName name="_xlnm.Print_Area" localSheetId="7">'Exec Comp'!$A$1:$H$29</definedName>
    <definedName name="_xlnm.Print_Area" localSheetId="10">'FloThru Tax'!$A$1:$H$55</definedName>
    <definedName name="_xlnm.Print_Area" localSheetId="4">'Insur Exp'!$A$1:$H$57</definedName>
    <definedName name="_xlnm.Print_Area" localSheetId="11">'Maj Plt Additions'!$A$1:$L$32</definedName>
    <definedName name="_xlnm.Print_Area" localSheetId="8">'MEHC Officers'!$A$1:$H$29</definedName>
    <definedName name="_xlnm.Print_Area" localSheetId="6">'O&amp;M Efficiency'!$A$1:$H$32</definedName>
    <definedName name="_xlnm.Print_Area" localSheetId="0">'Sch 1 Summary'!$A$1:$V$86</definedName>
    <definedName name="_xlnm.Print_Area" localSheetId="1">'Sch 2 Juris Allocations'!$A$1:$L$36</definedName>
    <definedName name="_xlnm.Print_Area" localSheetId="12">'TY End PIS'!$A$1:$H$67</definedName>
    <definedName name="_xlnm.Print_Area" localSheetId="13">'Work Cap'!$A$1:$H$31</definedName>
    <definedName name="_xlnm.Print_Area" localSheetId="3">'YE Rev Calc'!$A$1:$R$184</definedName>
    <definedName name="_xlnm.Print_Area" localSheetId="2">'YE Revenues'!$A$1:$H$40</definedName>
    <definedName name="ROR">'Sch 1 Summary'!$H$94</definedName>
  </definedNames>
  <calcPr calcId="125725"/>
</workbook>
</file>

<file path=xl/calcChain.xml><?xml version="1.0" encoding="utf-8"?>
<calcChain xmlns="http://schemas.openxmlformats.org/spreadsheetml/2006/main">
  <c r="D71" i="12"/>
  <c r="P43"/>
  <c r="H55" i="11"/>
  <c r="N36" i="1"/>
  <c r="P77"/>
  <c r="R77" s="1"/>
  <c r="V77" s="1"/>
  <c r="V22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P75"/>
  <c r="H54" i="15"/>
  <c r="H58" s="1"/>
  <c r="H49"/>
  <c r="H34"/>
  <c r="H38" s="1"/>
  <c r="H25"/>
  <c r="H43" l="1"/>
  <c r="N75" i="1" s="1"/>
  <c r="N41"/>
  <c r="R41" s="1"/>
  <c r="V41" s="1"/>
  <c r="H19" i="14"/>
  <c r="H26" s="1"/>
  <c r="H23"/>
  <c r="H36" i="8"/>
  <c r="H30"/>
  <c r="H28"/>
  <c r="H26"/>
  <c r="H24"/>
  <c r="L29" i="2"/>
  <c r="L28"/>
  <c r="L27"/>
  <c r="L26"/>
  <c r="L24"/>
  <c r="L23"/>
  <c r="L22"/>
  <c r="L21"/>
  <c r="L20"/>
  <c r="L25"/>
  <c r="H24"/>
  <c r="H23"/>
  <c r="H22"/>
  <c r="H21"/>
  <c r="F20"/>
  <c r="H57" i="10"/>
  <c r="P13" i="1"/>
  <c r="V183" i="12"/>
  <c r="V176"/>
  <c r="V169"/>
  <c r="O89"/>
  <c r="N89"/>
  <c r="M89"/>
  <c r="L89"/>
  <c r="K89"/>
  <c r="J89"/>
  <c r="I89"/>
  <c r="H89"/>
  <c r="G89"/>
  <c r="G154" s="1"/>
  <c r="F89"/>
  <c r="E89"/>
  <c r="E154" s="1"/>
  <c r="D89"/>
  <c r="O88"/>
  <c r="O153" s="1"/>
  <c r="N88"/>
  <c r="M88"/>
  <c r="M153" s="1"/>
  <c r="L88"/>
  <c r="K88"/>
  <c r="K153" s="1"/>
  <c r="J88"/>
  <c r="I88"/>
  <c r="I153" s="1"/>
  <c r="H88"/>
  <c r="G88"/>
  <c r="G153" s="1"/>
  <c r="F88"/>
  <c r="E88"/>
  <c r="E153" s="1"/>
  <c r="D88"/>
  <c r="O87"/>
  <c r="O152" s="1"/>
  <c r="N87"/>
  <c r="M87"/>
  <c r="M152" s="1"/>
  <c r="L87"/>
  <c r="K87"/>
  <c r="K152" s="1"/>
  <c r="J87"/>
  <c r="I87"/>
  <c r="I152" s="1"/>
  <c r="H87"/>
  <c r="G87"/>
  <c r="G152" s="1"/>
  <c r="F87"/>
  <c r="E87"/>
  <c r="E152" s="1"/>
  <c r="D87"/>
  <c r="O86"/>
  <c r="O151" s="1"/>
  <c r="N86"/>
  <c r="M86"/>
  <c r="M151" s="1"/>
  <c r="L86"/>
  <c r="K86"/>
  <c r="K151" s="1"/>
  <c r="J86"/>
  <c r="I86"/>
  <c r="I151" s="1"/>
  <c r="H86"/>
  <c r="G86"/>
  <c r="G151" s="1"/>
  <c r="F86"/>
  <c r="E86"/>
  <c r="E151" s="1"/>
  <c r="D86"/>
  <c r="O85"/>
  <c r="O150" s="1"/>
  <c r="N85"/>
  <c r="M85"/>
  <c r="M150" s="1"/>
  <c r="L85"/>
  <c r="K85"/>
  <c r="K150" s="1"/>
  <c r="J85"/>
  <c r="I85"/>
  <c r="I150" s="1"/>
  <c r="H85"/>
  <c r="G85"/>
  <c r="G150" s="1"/>
  <c r="F85"/>
  <c r="E85"/>
  <c r="E150" s="1"/>
  <c r="D85"/>
  <c r="O82"/>
  <c r="O147" s="1"/>
  <c r="N82"/>
  <c r="M82"/>
  <c r="M147" s="1"/>
  <c r="L82"/>
  <c r="K82"/>
  <c r="K147" s="1"/>
  <c r="J82"/>
  <c r="I82"/>
  <c r="I147" s="1"/>
  <c r="H82"/>
  <c r="G82"/>
  <c r="G147" s="1"/>
  <c r="F82"/>
  <c r="E82"/>
  <c r="E147" s="1"/>
  <c r="D82"/>
  <c r="O81"/>
  <c r="O146" s="1"/>
  <c r="N81"/>
  <c r="M81"/>
  <c r="M146" s="1"/>
  <c r="L81"/>
  <c r="K81"/>
  <c r="K146" s="1"/>
  <c r="J81"/>
  <c r="I81"/>
  <c r="I146" s="1"/>
  <c r="H81"/>
  <c r="G81"/>
  <c r="G146" s="1"/>
  <c r="F81"/>
  <c r="E81"/>
  <c r="E146" s="1"/>
  <c r="D81"/>
  <c r="O80"/>
  <c r="O145" s="1"/>
  <c r="N80"/>
  <c r="M80"/>
  <c r="M145" s="1"/>
  <c r="L80"/>
  <c r="K80"/>
  <c r="K145" s="1"/>
  <c r="J80"/>
  <c r="I80"/>
  <c r="I145" s="1"/>
  <c r="H80"/>
  <c r="G80"/>
  <c r="G145" s="1"/>
  <c r="F80"/>
  <c r="E80"/>
  <c r="E145" s="1"/>
  <c r="D80"/>
  <c r="O79"/>
  <c r="O144" s="1"/>
  <c r="N79"/>
  <c r="M79"/>
  <c r="M144" s="1"/>
  <c r="L79"/>
  <c r="K79"/>
  <c r="K144" s="1"/>
  <c r="J79"/>
  <c r="I79"/>
  <c r="I144" s="1"/>
  <c r="H79"/>
  <c r="G79"/>
  <c r="G144" s="1"/>
  <c r="F79"/>
  <c r="E79"/>
  <c r="E144" s="1"/>
  <c r="D79"/>
  <c r="O78"/>
  <c r="O143" s="1"/>
  <c r="N78"/>
  <c r="M78"/>
  <c r="M143" s="1"/>
  <c r="L78"/>
  <c r="K78"/>
  <c r="K143" s="1"/>
  <c r="J78"/>
  <c r="I78"/>
  <c r="I143" s="1"/>
  <c r="H78"/>
  <c r="G78"/>
  <c r="G143" s="1"/>
  <c r="F78"/>
  <c r="E78"/>
  <c r="E143" s="1"/>
  <c r="D78"/>
  <c r="O77"/>
  <c r="O108" s="1"/>
  <c r="O169" s="1"/>
  <c r="N77"/>
  <c r="N108" s="1"/>
  <c r="N169" s="1"/>
  <c r="M77"/>
  <c r="M108" s="1"/>
  <c r="M169" s="1"/>
  <c r="L77"/>
  <c r="L108" s="1"/>
  <c r="L169" s="1"/>
  <c r="K77"/>
  <c r="K108" s="1"/>
  <c r="K169" s="1"/>
  <c r="J77"/>
  <c r="J108" s="1"/>
  <c r="J169" s="1"/>
  <c r="I77"/>
  <c r="I108" s="1"/>
  <c r="I169" s="1"/>
  <c r="H77"/>
  <c r="H108" s="1"/>
  <c r="H169" s="1"/>
  <c r="G77"/>
  <c r="G108" s="1"/>
  <c r="G169" s="1"/>
  <c r="F77"/>
  <c r="F108" s="1"/>
  <c r="F169" s="1"/>
  <c r="E77"/>
  <c r="E108" s="1"/>
  <c r="E169" s="1"/>
  <c r="D77"/>
  <c r="D108" s="1"/>
  <c r="D169" s="1"/>
  <c r="O76"/>
  <c r="O141" s="1"/>
  <c r="N76"/>
  <c r="M76"/>
  <c r="M141" s="1"/>
  <c r="L76"/>
  <c r="K76"/>
  <c r="K141" s="1"/>
  <c r="J76"/>
  <c r="I76"/>
  <c r="I141" s="1"/>
  <c r="H76"/>
  <c r="G76"/>
  <c r="G141" s="1"/>
  <c r="F76"/>
  <c r="E76"/>
  <c r="E141" s="1"/>
  <c r="D76"/>
  <c r="O73"/>
  <c r="O138" s="1"/>
  <c r="N73"/>
  <c r="M73"/>
  <c r="M138" s="1"/>
  <c r="L73"/>
  <c r="K73"/>
  <c r="K138" s="1"/>
  <c r="J73"/>
  <c r="I73"/>
  <c r="I138" s="1"/>
  <c r="H73"/>
  <c r="G73"/>
  <c r="G138" s="1"/>
  <c r="F73"/>
  <c r="E73"/>
  <c r="E138" s="1"/>
  <c r="D73"/>
  <c r="O72"/>
  <c r="O137" s="1"/>
  <c r="N72"/>
  <c r="M72"/>
  <c r="M137" s="1"/>
  <c r="L72"/>
  <c r="K72"/>
  <c r="K137" s="1"/>
  <c r="J72"/>
  <c r="I72"/>
  <c r="I137" s="1"/>
  <c r="H72"/>
  <c r="G72"/>
  <c r="G137" s="1"/>
  <c r="F72"/>
  <c r="E72"/>
  <c r="E137" s="1"/>
  <c r="D72"/>
  <c r="O71"/>
  <c r="O136" s="1"/>
  <c r="N71"/>
  <c r="N136" s="1"/>
  <c r="M71"/>
  <c r="M136" s="1"/>
  <c r="L71"/>
  <c r="L136" s="1"/>
  <c r="K71"/>
  <c r="K136" s="1"/>
  <c r="J71"/>
  <c r="J136" s="1"/>
  <c r="I71"/>
  <c r="I136" s="1"/>
  <c r="H71"/>
  <c r="H136" s="1"/>
  <c r="G71"/>
  <c r="G136" s="1"/>
  <c r="F71"/>
  <c r="F136" s="1"/>
  <c r="E71"/>
  <c r="E136" s="1"/>
  <c r="D136"/>
  <c r="P55"/>
  <c r="O55"/>
  <c r="O90" s="1"/>
  <c r="N55"/>
  <c r="M55"/>
  <c r="M90" s="1"/>
  <c r="L55"/>
  <c r="L90" s="1"/>
  <c r="K55"/>
  <c r="K90" s="1"/>
  <c r="J55"/>
  <c r="I55"/>
  <c r="I90" s="1"/>
  <c r="H55"/>
  <c r="H90" s="1"/>
  <c r="G55"/>
  <c r="G90" s="1"/>
  <c r="F55"/>
  <c r="E55"/>
  <c r="E90" s="1"/>
  <c r="D55"/>
  <c r="D90" s="1"/>
  <c r="W54"/>
  <c r="V54" s="1"/>
  <c r="W53"/>
  <c r="V53" s="1"/>
  <c r="W52"/>
  <c r="V52" s="1"/>
  <c r="W51"/>
  <c r="V51" s="1"/>
  <c r="W50"/>
  <c r="V50" s="1"/>
  <c r="P48"/>
  <c r="O48"/>
  <c r="N48"/>
  <c r="M48"/>
  <c r="L48"/>
  <c r="K48"/>
  <c r="J48"/>
  <c r="I48"/>
  <c r="H48"/>
  <c r="G48"/>
  <c r="F48"/>
  <c r="E48"/>
  <c r="D48"/>
  <c r="W47"/>
  <c r="V47" s="1"/>
  <c r="W46"/>
  <c r="V46" s="1"/>
  <c r="W45"/>
  <c r="V45" s="1"/>
  <c r="W44"/>
  <c r="V44" s="1"/>
  <c r="W43"/>
  <c r="V43" s="1"/>
  <c r="W42"/>
  <c r="V42" s="1"/>
  <c r="W41"/>
  <c r="V41" s="1"/>
  <c r="P39"/>
  <c r="O39"/>
  <c r="N39"/>
  <c r="M39"/>
  <c r="L39"/>
  <c r="K39"/>
  <c r="J39"/>
  <c r="I39"/>
  <c r="H39"/>
  <c r="G39"/>
  <c r="F39"/>
  <c r="E39"/>
  <c r="D39"/>
  <c r="W38"/>
  <c r="V38" s="1"/>
  <c r="W37"/>
  <c r="V37" s="1"/>
  <c r="W36"/>
  <c r="V36" s="1"/>
  <c r="V27"/>
  <c r="O27"/>
  <c r="N27"/>
  <c r="M27"/>
  <c r="L27"/>
  <c r="K27"/>
  <c r="J27"/>
  <c r="I27"/>
  <c r="H27"/>
  <c r="G27"/>
  <c r="F27"/>
  <c r="E27"/>
  <c r="D27"/>
  <c r="P26"/>
  <c r="W26" s="1"/>
  <c r="V181" s="1"/>
  <c r="P25"/>
  <c r="W25" s="1"/>
  <c r="V180" s="1"/>
  <c r="P24"/>
  <c r="W24" s="1"/>
  <c r="V179" s="1"/>
  <c r="P23"/>
  <c r="W23" s="1"/>
  <c r="V178" s="1"/>
  <c r="P22"/>
  <c r="W22" s="1"/>
  <c r="V177" s="1"/>
  <c r="V20"/>
  <c r="O20"/>
  <c r="N20"/>
  <c r="M20"/>
  <c r="L20"/>
  <c r="K20"/>
  <c r="J20"/>
  <c r="I20"/>
  <c r="H20"/>
  <c r="G20"/>
  <c r="F20"/>
  <c r="E20"/>
  <c r="D20"/>
  <c r="P19"/>
  <c r="W19" s="1"/>
  <c r="V174" s="1"/>
  <c r="P18"/>
  <c r="W18" s="1"/>
  <c r="V173" s="1"/>
  <c r="P17"/>
  <c r="W17" s="1"/>
  <c r="V172" s="1"/>
  <c r="P16"/>
  <c r="W16" s="1"/>
  <c r="V171" s="1"/>
  <c r="P15"/>
  <c r="W15" s="1"/>
  <c r="V170" s="1"/>
  <c r="P14"/>
  <c r="P13"/>
  <c r="W13" s="1"/>
  <c r="V11"/>
  <c r="O11"/>
  <c r="N11"/>
  <c r="M11"/>
  <c r="L11"/>
  <c r="K11"/>
  <c r="J11"/>
  <c r="I11"/>
  <c r="H11"/>
  <c r="G11"/>
  <c r="F11"/>
  <c r="E11"/>
  <c r="D11"/>
  <c r="P10"/>
  <c r="P9"/>
  <c r="P8"/>
  <c r="R75" i="1" l="1"/>
  <c r="V75" s="1"/>
  <c r="V39" i="12"/>
  <c r="V55"/>
  <c r="D155"/>
  <c r="H155"/>
  <c r="W39"/>
  <c r="W55"/>
  <c r="P20"/>
  <c r="L155"/>
  <c r="D57"/>
  <c r="F57"/>
  <c r="H57"/>
  <c r="J57"/>
  <c r="L57"/>
  <c r="N57"/>
  <c r="V48"/>
  <c r="W48" s="1"/>
  <c r="G83"/>
  <c r="I83"/>
  <c r="K83"/>
  <c r="M83"/>
  <c r="O83"/>
  <c r="F90"/>
  <c r="J90"/>
  <c r="N90"/>
  <c r="P169"/>
  <c r="H67" i="15"/>
  <c r="V168" i="12"/>
  <c r="W20"/>
  <c r="V175" s="1"/>
  <c r="P57"/>
  <c r="E83"/>
  <c r="D137"/>
  <c r="D103"/>
  <c r="F137"/>
  <c r="F103"/>
  <c r="H137"/>
  <c r="H103"/>
  <c r="J137"/>
  <c r="J103"/>
  <c r="L137"/>
  <c r="L103"/>
  <c r="N137"/>
  <c r="N103"/>
  <c r="D138"/>
  <c r="D104"/>
  <c r="F138"/>
  <c r="F104"/>
  <c r="H138"/>
  <c r="H104"/>
  <c r="J138"/>
  <c r="J104"/>
  <c r="L138"/>
  <c r="L104"/>
  <c r="N138"/>
  <c r="N104"/>
  <c r="D141"/>
  <c r="D107"/>
  <c r="F141"/>
  <c r="F107"/>
  <c r="H141"/>
  <c r="H107"/>
  <c r="J141"/>
  <c r="J107"/>
  <c r="L141"/>
  <c r="L107"/>
  <c r="N141"/>
  <c r="N107"/>
  <c r="D143"/>
  <c r="D109"/>
  <c r="F143"/>
  <c r="F109"/>
  <c r="H143"/>
  <c r="H109"/>
  <c r="J143"/>
  <c r="J109"/>
  <c r="J170" s="1"/>
  <c r="L143"/>
  <c r="L109"/>
  <c r="L170" s="1"/>
  <c r="N143"/>
  <c r="N109"/>
  <c r="N170" s="1"/>
  <c r="D144"/>
  <c r="D110"/>
  <c r="D171" s="1"/>
  <c r="F144"/>
  <c r="F110"/>
  <c r="F171" s="1"/>
  <c r="H144"/>
  <c r="H110"/>
  <c r="H171" s="1"/>
  <c r="J144"/>
  <c r="J110"/>
  <c r="J171" s="1"/>
  <c r="L144"/>
  <c r="L110"/>
  <c r="L171" s="1"/>
  <c r="N144"/>
  <c r="N110"/>
  <c r="N171" s="1"/>
  <c r="D145"/>
  <c r="D111"/>
  <c r="D172" s="1"/>
  <c r="F145"/>
  <c r="F111"/>
  <c r="F172" s="1"/>
  <c r="H145"/>
  <c r="H111"/>
  <c r="H172" s="1"/>
  <c r="J145"/>
  <c r="J111"/>
  <c r="J172" s="1"/>
  <c r="L145"/>
  <c r="L111"/>
  <c r="L172" s="1"/>
  <c r="N145"/>
  <c r="N111"/>
  <c r="N172" s="1"/>
  <c r="D146"/>
  <c r="D112"/>
  <c r="D173" s="1"/>
  <c r="F146"/>
  <c r="F112"/>
  <c r="F173" s="1"/>
  <c r="H146"/>
  <c r="H112"/>
  <c r="H173" s="1"/>
  <c r="J146"/>
  <c r="J112"/>
  <c r="J173" s="1"/>
  <c r="L146"/>
  <c r="L112"/>
  <c r="L173" s="1"/>
  <c r="N146"/>
  <c r="N112"/>
  <c r="N173" s="1"/>
  <c r="D147"/>
  <c r="D113"/>
  <c r="D174" s="1"/>
  <c r="F147"/>
  <c r="F113"/>
  <c r="F174" s="1"/>
  <c r="H147"/>
  <c r="H113"/>
  <c r="H174" s="1"/>
  <c r="J147"/>
  <c r="J113"/>
  <c r="J174" s="1"/>
  <c r="L147"/>
  <c r="L113"/>
  <c r="L174" s="1"/>
  <c r="N147"/>
  <c r="N113"/>
  <c r="N174" s="1"/>
  <c r="D150"/>
  <c r="D116"/>
  <c r="D177" s="1"/>
  <c r="F150"/>
  <c r="F116"/>
  <c r="F177" s="1"/>
  <c r="H150"/>
  <c r="H116"/>
  <c r="H177" s="1"/>
  <c r="J150"/>
  <c r="J116"/>
  <c r="J177" s="1"/>
  <c r="L150"/>
  <c r="L116"/>
  <c r="L177" s="1"/>
  <c r="N150"/>
  <c r="N116"/>
  <c r="N177" s="1"/>
  <c r="D151"/>
  <c r="D117"/>
  <c r="D178" s="1"/>
  <c r="F151"/>
  <c r="F117"/>
  <c r="F178" s="1"/>
  <c r="H151"/>
  <c r="H117"/>
  <c r="H178" s="1"/>
  <c r="J151"/>
  <c r="J117"/>
  <c r="J178" s="1"/>
  <c r="L151"/>
  <c r="L117"/>
  <c r="L178" s="1"/>
  <c r="N151"/>
  <c r="N117"/>
  <c r="N178" s="1"/>
  <c r="D152"/>
  <c r="D118"/>
  <c r="D179" s="1"/>
  <c r="F152"/>
  <c r="F118"/>
  <c r="F179" s="1"/>
  <c r="H152"/>
  <c r="H118"/>
  <c r="H179" s="1"/>
  <c r="J152"/>
  <c r="J118"/>
  <c r="J179" s="1"/>
  <c r="L152"/>
  <c r="L118"/>
  <c r="L179" s="1"/>
  <c r="N152"/>
  <c r="N118"/>
  <c r="N179" s="1"/>
  <c r="D153"/>
  <c r="D119"/>
  <c r="D180" s="1"/>
  <c r="F153"/>
  <c r="F119"/>
  <c r="F180" s="1"/>
  <c r="H153"/>
  <c r="H119"/>
  <c r="H180" s="1"/>
  <c r="J153"/>
  <c r="J119"/>
  <c r="J180" s="1"/>
  <c r="L153"/>
  <c r="L119"/>
  <c r="L180" s="1"/>
  <c r="N153"/>
  <c r="N119"/>
  <c r="N180" s="1"/>
  <c r="D154"/>
  <c r="D120"/>
  <c r="D181" s="1"/>
  <c r="F154"/>
  <c r="F120"/>
  <c r="F181" s="1"/>
  <c r="H154"/>
  <c r="H120"/>
  <c r="H181" s="1"/>
  <c r="J154"/>
  <c r="J120"/>
  <c r="J181" s="1"/>
  <c r="L154"/>
  <c r="L120"/>
  <c r="L181" s="1"/>
  <c r="N154"/>
  <c r="N120"/>
  <c r="N181" s="1"/>
  <c r="O121"/>
  <c r="M121"/>
  <c r="K121"/>
  <c r="I121"/>
  <c r="G121"/>
  <c r="E121"/>
  <c r="N121"/>
  <c r="J121"/>
  <c r="F121"/>
  <c r="L121"/>
  <c r="H121"/>
  <c r="D121"/>
  <c r="F155"/>
  <c r="J155"/>
  <c r="N155"/>
  <c r="P27"/>
  <c r="W27"/>
  <c r="V182" s="1"/>
  <c r="G29"/>
  <c r="K29"/>
  <c r="O29"/>
  <c r="G57"/>
  <c r="G92" s="1"/>
  <c r="K57"/>
  <c r="K92" s="1"/>
  <c r="O57"/>
  <c r="O92" s="1"/>
  <c r="D74"/>
  <c r="D139" s="1"/>
  <c r="H74"/>
  <c r="H139" s="1"/>
  <c r="L74"/>
  <c r="L139" s="1"/>
  <c r="D83"/>
  <c r="H83"/>
  <c r="L83"/>
  <c r="D102"/>
  <c r="D163" s="1"/>
  <c r="H102"/>
  <c r="H163" s="1"/>
  <c r="L102"/>
  <c r="L163" s="1"/>
  <c r="D29"/>
  <c r="H29"/>
  <c r="L29"/>
  <c r="E148"/>
  <c r="G148"/>
  <c r="I148"/>
  <c r="K148"/>
  <c r="M148"/>
  <c r="O148"/>
  <c r="E29"/>
  <c r="I29"/>
  <c r="M29"/>
  <c r="V29"/>
  <c r="E74"/>
  <c r="E105" s="1"/>
  <c r="G74"/>
  <c r="G105" s="1"/>
  <c r="I74"/>
  <c r="I105" s="1"/>
  <c r="K74"/>
  <c r="K105" s="1"/>
  <c r="M74"/>
  <c r="M105" s="1"/>
  <c r="O74"/>
  <c r="O105" s="1"/>
  <c r="O114"/>
  <c r="E57"/>
  <c r="I57"/>
  <c r="I92" s="1"/>
  <c r="M57"/>
  <c r="M92" s="1"/>
  <c r="F74"/>
  <c r="F105" s="1"/>
  <c r="J74"/>
  <c r="J105" s="1"/>
  <c r="N74"/>
  <c r="N105" s="1"/>
  <c r="F83"/>
  <c r="F114" s="1"/>
  <c r="J83"/>
  <c r="J114" s="1"/>
  <c r="N83"/>
  <c r="N114" s="1"/>
  <c r="F102"/>
  <c r="F163" s="1"/>
  <c r="J102"/>
  <c r="J163" s="1"/>
  <c r="N102"/>
  <c r="N163" s="1"/>
  <c r="I154"/>
  <c r="I120"/>
  <c r="K154"/>
  <c r="K120"/>
  <c r="M154"/>
  <c r="M120"/>
  <c r="O154"/>
  <c r="O120"/>
  <c r="P11"/>
  <c r="W11" s="1"/>
  <c r="E155"/>
  <c r="G155"/>
  <c r="I155"/>
  <c r="K155"/>
  <c r="M155"/>
  <c r="O155"/>
  <c r="F29"/>
  <c r="J29"/>
  <c r="N29"/>
  <c r="E102"/>
  <c r="E163" s="1"/>
  <c r="G102"/>
  <c r="G163" s="1"/>
  <c r="I102"/>
  <c r="I163" s="1"/>
  <c r="K102"/>
  <c r="K163" s="1"/>
  <c r="M102"/>
  <c r="M163" s="1"/>
  <c r="O102"/>
  <c r="O163" s="1"/>
  <c r="E103"/>
  <c r="E164" s="1"/>
  <c r="G103"/>
  <c r="G164" s="1"/>
  <c r="I103"/>
  <c r="I164" s="1"/>
  <c r="K103"/>
  <c r="K164" s="1"/>
  <c r="M103"/>
  <c r="M164" s="1"/>
  <c r="O103"/>
  <c r="O164" s="1"/>
  <c r="E104"/>
  <c r="E165" s="1"/>
  <c r="G104"/>
  <c r="G165" s="1"/>
  <c r="I104"/>
  <c r="I165" s="1"/>
  <c r="K104"/>
  <c r="K165" s="1"/>
  <c r="M104"/>
  <c r="M165" s="1"/>
  <c r="O104"/>
  <c r="O165" s="1"/>
  <c r="E107"/>
  <c r="E168" s="1"/>
  <c r="G107"/>
  <c r="G168" s="1"/>
  <c r="I107"/>
  <c r="I168" s="1"/>
  <c r="K107"/>
  <c r="K168" s="1"/>
  <c r="M107"/>
  <c r="M168" s="1"/>
  <c r="O107"/>
  <c r="O168" s="1"/>
  <c r="E109"/>
  <c r="E170" s="1"/>
  <c r="G109"/>
  <c r="G170" s="1"/>
  <c r="I109"/>
  <c r="I170" s="1"/>
  <c r="K109"/>
  <c r="K170" s="1"/>
  <c r="M109"/>
  <c r="M170" s="1"/>
  <c r="O109"/>
  <c r="O170" s="1"/>
  <c r="E110"/>
  <c r="E171" s="1"/>
  <c r="G110"/>
  <c r="G171" s="1"/>
  <c r="I110"/>
  <c r="I171" s="1"/>
  <c r="K110"/>
  <c r="K171" s="1"/>
  <c r="M110"/>
  <c r="M171" s="1"/>
  <c r="O110"/>
  <c r="O171" s="1"/>
  <c r="E111"/>
  <c r="E172" s="1"/>
  <c r="G111"/>
  <c r="G172" s="1"/>
  <c r="I111"/>
  <c r="I172" s="1"/>
  <c r="K111"/>
  <c r="K172" s="1"/>
  <c r="M111"/>
  <c r="M172" s="1"/>
  <c r="O111"/>
  <c r="O172" s="1"/>
  <c r="E112"/>
  <c r="E173" s="1"/>
  <c r="G112"/>
  <c r="G173" s="1"/>
  <c r="I112"/>
  <c r="I173" s="1"/>
  <c r="K112"/>
  <c r="K173" s="1"/>
  <c r="M112"/>
  <c r="M173" s="1"/>
  <c r="O112"/>
  <c r="O173" s="1"/>
  <c r="E113"/>
  <c r="E174" s="1"/>
  <c r="G113"/>
  <c r="G174" s="1"/>
  <c r="I113"/>
  <c r="I174" s="1"/>
  <c r="K113"/>
  <c r="K174" s="1"/>
  <c r="M113"/>
  <c r="M174" s="1"/>
  <c r="O113"/>
  <c r="O174" s="1"/>
  <c r="E114"/>
  <c r="G114"/>
  <c r="I114"/>
  <c r="K114"/>
  <c r="M114"/>
  <c r="E116"/>
  <c r="E177" s="1"/>
  <c r="G116"/>
  <c r="G177" s="1"/>
  <c r="I116"/>
  <c r="I177" s="1"/>
  <c r="K116"/>
  <c r="K177" s="1"/>
  <c r="M116"/>
  <c r="M177" s="1"/>
  <c r="O116"/>
  <c r="O177" s="1"/>
  <c r="E117"/>
  <c r="E178" s="1"/>
  <c r="G117"/>
  <c r="G178" s="1"/>
  <c r="I117"/>
  <c r="I178" s="1"/>
  <c r="K117"/>
  <c r="K178" s="1"/>
  <c r="M117"/>
  <c r="M178" s="1"/>
  <c r="O117"/>
  <c r="O178" s="1"/>
  <c r="E118"/>
  <c r="E179" s="1"/>
  <c r="G118"/>
  <c r="G179" s="1"/>
  <c r="I118"/>
  <c r="I179" s="1"/>
  <c r="K118"/>
  <c r="K179" s="1"/>
  <c r="M118"/>
  <c r="M179" s="1"/>
  <c r="O118"/>
  <c r="O179" s="1"/>
  <c r="E119"/>
  <c r="E180" s="1"/>
  <c r="G119"/>
  <c r="G180" s="1"/>
  <c r="I119"/>
  <c r="I180" s="1"/>
  <c r="K119"/>
  <c r="K180" s="1"/>
  <c r="M119"/>
  <c r="M180" s="1"/>
  <c r="O119"/>
  <c r="O180" s="1"/>
  <c r="E120"/>
  <c r="E181" s="1"/>
  <c r="G120"/>
  <c r="G181" s="1"/>
  <c r="J148" l="1"/>
  <c r="L105"/>
  <c r="H92"/>
  <c r="V57"/>
  <c r="H170"/>
  <c r="F170"/>
  <c r="F175" s="1"/>
  <c r="D170"/>
  <c r="N168"/>
  <c r="L168"/>
  <c r="J168"/>
  <c r="H168"/>
  <c r="F168"/>
  <c r="D168"/>
  <c r="N165"/>
  <c r="L165"/>
  <c r="J165"/>
  <c r="H165"/>
  <c r="F165"/>
  <c r="D165"/>
  <c r="N164"/>
  <c r="L164"/>
  <c r="J164"/>
  <c r="J166" s="1"/>
  <c r="H164"/>
  <c r="H166" s="1"/>
  <c r="F164"/>
  <c r="D164"/>
  <c r="D105"/>
  <c r="W29"/>
  <c r="V184" s="1"/>
  <c r="V166"/>
  <c r="E92"/>
  <c r="E123" s="1"/>
  <c r="W57"/>
  <c r="L148"/>
  <c r="L114"/>
  <c r="D148"/>
  <c r="D114"/>
  <c r="D182"/>
  <c r="P177"/>
  <c r="D175"/>
  <c r="P168"/>
  <c r="O123"/>
  <c r="M123"/>
  <c r="K123"/>
  <c r="I123"/>
  <c r="G123"/>
  <c r="H123"/>
  <c r="D166"/>
  <c r="P163"/>
  <c r="H148"/>
  <c r="H114"/>
  <c r="G182"/>
  <c r="M175"/>
  <c r="I175"/>
  <c r="E175"/>
  <c r="M166"/>
  <c r="I166"/>
  <c r="E166"/>
  <c r="P29"/>
  <c r="O139"/>
  <c r="K139"/>
  <c r="G139"/>
  <c r="P180"/>
  <c r="P179"/>
  <c r="P178"/>
  <c r="N182"/>
  <c r="L182"/>
  <c r="J182"/>
  <c r="H182"/>
  <c r="F182"/>
  <c r="P174"/>
  <c r="P173"/>
  <c r="P172"/>
  <c r="P171"/>
  <c r="P170"/>
  <c r="N175"/>
  <c r="L175"/>
  <c r="J175"/>
  <c r="H175"/>
  <c r="P165"/>
  <c r="P164"/>
  <c r="H105"/>
  <c r="L92"/>
  <c r="L123" s="1"/>
  <c r="D92"/>
  <c r="D123" s="1"/>
  <c r="I182"/>
  <c r="E182"/>
  <c r="O175"/>
  <c r="K175"/>
  <c r="G175"/>
  <c r="O166"/>
  <c r="K166"/>
  <c r="G166"/>
  <c r="O181"/>
  <c r="O182" s="1"/>
  <c r="M181"/>
  <c r="M182" s="1"/>
  <c r="K181"/>
  <c r="K182" s="1"/>
  <c r="I181"/>
  <c r="N166"/>
  <c r="N184" s="1"/>
  <c r="F166"/>
  <c r="N139"/>
  <c r="J139"/>
  <c r="F139"/>
  <c r="L166"/>
  <c r="N148"/>
  <c r="F148"/>
  <c r="M139"/>
  <c r="I139"/>
  <c r="E139"/>
  <c r="N92"/>
  <c r="N123" s="1"/>
  <c r="J92"/>
  <c r="J123" s="1"/>
  <c r="F92"/>
  <c r="F123" s="1"/>
  <c r="J184" l="1"/>
  <c r="E184"/>
  <c r="F184"/>
  <c r="P181"/>
  <c r="H184"/>
  <c r="D184"/>
  <c r="P166"/>
  <c r="K184"/>
  <c r="M184"/>
  <c r="P175"/>
  <c r="P182"/>
  <c r="V186"/>
  <c r="L184"/>
  <c r="G184"/>
  <c r="O184"/>
  <c r="I184"/>
  <c r="P184" l="1"/>
  <c r="H19" i="13" s="1"/>
  <c r="H23" l="1"/>
  <c r="H28"/>
  <c r="P59" i="1"/>
  <c r="N59"/>
  <c r="H27" i="10"/>
  <c r="H42" s="1"/>
  <c r="H20"/>
  <c r="H34" s="1"/>
  <c r="H17"/>
  <c r="H23" i="9"/>
  <c r="H27" s="1"/>
  <c r="P76" i="1" s="1"/>
  <c r="H23" i="6"/>
  <c r="L30" i="7"/>
  <c r="P67" i="1" s="1"/>
  <c r="H30" i="7"/>
  <c r="L26"/>
  <c r="J26"/>
  <c r="H26"/>
  <c r="J21"/>
  <c r="J30" s="1"/>
  <c r="N67" i="1" s="1"/>
  <c r="H21" i="7"/>
  <c r="F39" i="8"/>
  <c r="H31" i="13" l="1"/>
  <c r="H35" s="1"/>
  <c r="H39" s="1"/>
  <c r="N23" i="1" s="1"/>
  <c r="R23" s="1"/>
  <c r="V23" s="1"/>
  <c r="R67"/>
  <c r="V67" s="1"/>
  <c r="R76"/>
  <c r="V76" s="1"/>
  <c r="R59"/>
  <c r="V59" s="1"/>
  <c r="H46" i="10"/>
  <c r="H53" s="1"/>
  <c r="H23"/>
  <c r="N32" i="1" l="1"/>
  <c r="R32" l="1"/>
  <c r="V32" s="1"/>
  <c r="F36" i="8" l="1"/>
  <c r="H33"/>
  <c r="H39" s="1"/>
  <c r="N44" i="1" s="1"/>
  <c r="R44" s="1"/>
  <c r="V44" s="1"/>
  <c r="F33" i="8"/>
  <c r="F30"/>
  <c r="F28"/>
  <c r="F26"/>
  <c r="F24"/>
  <c r="H23" i="5"/>
  <c r="N40" i="1"/>
  <c r="R40" s="1"/>
  <c r="V40" s="1"/>
  <c r="H22" i="4"/>
  <c r="H18"/>
  <c r="H25" s="1"/>
  <c r="H20" i="3"/>
  <c r="H17"/>
  <c r="H23" s="1"/>
  <c r="R36" i="1" l="1"/>
  <c r="V36" s="1"/>
  <c r="H27" i="3"/>
  <c r="H30" s="1"/>
  <c r="N39" i="1" s="1"/>
  <c r="R39" s="1"/>
  <c r="V39" s="1"/>
  <c r="J29" i="2"/>
  <c r="J28"/>
  <c r="J27"/>
  <c r="J25"/>
  <c r="F24"/>
  <c r="F23"/>
  <c r="F22"/>
  <c r="F21"/>
  <c r="H20"/>
  <c r="L84" i="1"/>
  <c r="J84"/>
  <c r="L80"/>
  <c r="J80"/>
  <c r="H80"/>
  <c r="L78"/>
  <c r="J78"/>
  <c r="H78"/>
  <c r="L63"/>
  <c r="J63"/>
  <c r="H63"/>
  <c r="L53"/>
  <c r="J53"/>
  <c r="H53"/>
  <c r="H48"/>
  <c r="L42"/>
  <c r="J42"/>
  <c r="H42"/>
  <c r="L24"/>
  <c r="J24"/>
  <c r="H24"/>
  <c r="H82" l="1"/>
  <c r="H84" s="1"/>
  <c r="H31" i="2"/>
  <c r="N13" i="1" s="1"/>
  <c r="J31" i="2"/>
  <c r="F31"/>
  <c r="L31"/>
  <c r="R13" i="1" l="1"/>
  <c r="V13" s="1"/>
</calcChain>
</file>

<file path=xl/sharedStrings.xml><?xml version="1.0" encoding="utf-8"?>
<sst xmlns="http://schemas.openxmlformats.org/spreadsheetml/2006/main" count="796" uniqueCount="487">
  <si>
    <t>NOI</t>
  </si>
  <si>
    <t>Rate Base</t>
  </si>
  <si>
    <t>Rev. Req.</t>
  </si>
  <si>
    <t>Unadjusted Washington Allocated Data (Per Books)</t>
  </si>
  <si>
    <t>Temperature Normalization</t>
  </si>
  <si>
    <t>Revenue Normalizing</t>
  </si>
  <si>
    <t>Effective Price Change</t>
  </si>
  <si>
    <t>SO2 Emission Allowance Sales</t>
  </si>
  <si>
    <t>REC Revenues</t>
  </si>
  <si>
    <t>Wheeling Revenue</t>
  </si>
  <si>
    <t>Ancillary Revenue</t>
  </si>
  <si>
    <t>3.8</t>
  </si>
  <si>
    <t>Schedule 300 Fee Change</t>
  </si>
  <si>
    <t>Tab 3 - Revenue - Subtotal</t>
  </si>
  <si>
    <t>Miscellaneous Expense &amp; Revenue</t>
  </si>
  <si>
    <t>General Wage Increase - Restating</t>
  </si>
  <si>
    <t>General Wage Increase - Pro Forma</t>
  </si>
  <si>
    <t>Irrigation Load Control Program</t>
  </si>
  <si>
    <t>Remove Non-Recurring Entries</t>
  </si>
  <si>
    <t>Pension Curtailment</t>
  </si>
  <si>
    <t>DSM Revenue and Expense Removal</t>
  </si>
  <si>
    <t xml:space="preserve">Insurance Expense </t>
  </si>
  <si>
    <t>Advertising</t>
  </si>
  <si>
    <t>Memberships &amp; Subscriptions</t>
  </si>
  <si>
    <t>AMR Savings</t>
  </si>
  <si>
    <t>Uncollectible Expense</t>
  </si>
  <si>
    <t>4.13</t>
  </si>
  <si>
    <t>Legal Expenses</t>
  </si>
  <si>
    <t>4.14</t>
  </si>
  <si>
    <t>Naughton Write-Off</t>
  </si>
  <si>
    <t>4.15</t>
  </si>
  <si>
    <t>O&amp;M Efficiency</t>
  </si>
  <si>
    <t>Tab 4 - O&amp;M - Subtotal</t>
  </si>
  <si>
    <t>Net Power Costs - Restating</t>
  </si>
  <si>
    <t>5.1.1</t>
  </si>
  <si>
    <t>Net Power Costs - Pro Forma</t>
  </si>
  <si>
    <t>James River Royalty Offset</t>
  </si>
  <si>
    <t>BPA Residential Exchange</t>
  </si>
  <si>
    <t>Colstrip #3 Removal</t>
  </si>
  <si>
    <t>Tab 5 - NPC - Subtotal</t>
  </si>
  <si>
    <t>6.1</t>
  </si>
  <si>
    <t>Hydro Decommissioning</t>
  </si>
  <si>
    <t>6.2 - 6.2.3</t>
  </si>
  <si>
    <t>Proposed Depreciation Rates - Expense</t>
  </si>
  <si>
    <t>6.3.1</t>
  </si>
  <si>
    <t>Proposed Depreciation Rates - Reserve</t>
  </si>
  <si>
    <t>Tab 6 - Depreciation/Amortization - Subtotal</t>
  </si>
  <si>
    <t>7.1</t>
  </si>
  <si>
    <t>Interest True Up</t>
  </si>
  <si>
    <t>7.2</t>
  </si>
  <si>
    <t>Property Tax Expense</t>
  </si>
  <si>
    <t>7.3</t>
  </si>
  <si>
    <t>Renewable Energy Tax Credit</t>
  </si>
  <si>
    <t>7.4</t>
  </si>
  <si>
    <t>PowerTax ADIT Balance</t>
  </si>
  <si>
    <t>7.5</t>
  </si>
  <si>
    <t>WA Low Income Tax Credit</t>
  </si>
  <si>
    <t>7.6/7.6.1</t>
  </si>
  <si>
    <t>Flow-Through Adjustment</t>
  </si>
  <si>
    <t>7.7</t>
  </si>
  <si>
    <t>Remove Deferred State Tax Expense &amp; Balance</t>
  </si>
  <si>
    <t>7.8</t>
  </si>
  <si>
    <t>WA Public Utility Tax Adjustment</t>
  </si>
  <si>
    <t>7.9</t>
  </si>
  <si>
    <t>AFUDC - Equity</t>
  </si>
  <si>
    <t>Tab 7 - Tax- Subtotal</t>
  </si>
  <si>
    <t>8.1</t>
  </si>
  <si>
    <t>Jim Bridger Mine Rate Base</t>
  </si>
  <si>
    <t>8.2</t>
  </si>
  <si>
    <t>Environmental Settlement (PERCO)</t>
  </si>
  <si>
    <t>8.3</t>
  </si>
  <si>
    <t>Customer Advances for Construction</t>
  </si>
  <si>
    <t>8.4</t>
  </si>
  <si>
    <t>Major Plant Additions</t>
  </si>
  <si>
    <t>8.5/8.5.1</t>
  </si>
  <si>
    <t>Miscellaneous Rate Base</t>
  </si>
  <si>
    <t>8.6</t>
  </si>
  <si>
    <t>Powerdale Hydro Removal</t>
  </si>
  <si>
    <t>8.7</t>
  </si>
  <si>
    <t>Removal of Colstrip #4 AFUDC</t>
  </si>
  <si>
    <t>8.8</t>
  </si>
  <si>
    <t>Trojan Unrecovered Plant</t>
  </si>
  <si>
    <t>8.9</t>
  </si>
  <si>
    <t>Customer Service Deposits</t>
  </si>
  <si>
    <t>8.10</t>
  </si>
  <si>
    <t>Reg Asset Amortization</t>
  </si>
  <si>
    <t>8.11</t>
  </si>
  <si>
    <t>Misc. Asset Sales and Removals</t>
  </si>
  <si>
    <t>8.12 - 8.12.6</t>
  </si>
  <si>
    <t>Adjust June 2012 AMA Plant Balances to June 2012 Year-End</t>
  </si>
  <si>
    <t>Investor Supplied Working Capital</t>
  </si>
  <si>
    <t>Tab 8 - Rate Base- Subtotal</t>
  </si>
  <si>
    <t>Production Factor</t>
  </si>
  <si>
    <t>Tab 9 - Production Factor- Subtotal</t>
  </si>
  <si>
    <t>Subtotal Normalizing Adjustments</t>
  </si>
  <si>
    <t>Total Adjusted Results</t>
  </si>
  <si>
    <t xml:space="preserve">Notes: </t>
  </si>
  <si>
    <t>(1) The revenue requirement column is calculated using the Company's proposed return on rate base of 7.80% and the NOI conversion factor of 61.881%.</t>
  </si>
  <si>
    <t>PacifiCorp</t>
  </si>
  <si>
    <t>Adj't No.</t>
  </si>
  <si>
    <t>Designation</t>
  </si>
  <si>
    <t>Adjustment Description</t>
  </si>
  <si>
    <t>Line</t>
  </si>
  <si>
    <t>No.</t>
  </si>
  <si>
    <t>PacifiCorp Adjustments - Original Filing</t>
  </si>
  <si>
    <t>Public Counsel Adjustments</t>
  </si>
  <si>
    <t>Public Counsel Position</t>
  </si>
  <si>
    <t>Relative to the Company's</t>
  </si>
  <si>
    <t>Original Filed Position</t>
  </si>
  <si>
    <t>Revenue</t>
  </si>
  <si>
    <t>Requirement</t>
  </si>
  <si>
    <t>Impact</t>
  </si>
  <si>
    <t>Difference</t>
  </si>
  <si>
    <t>SUMMARY OF PUBLIC COUNSEL ADJUSTMENTS AND COMPARISON TO PACIFICORP'S DIRECT FILING WASHINGTON ELECTRIC OPERATIONS ADJUSTMENTS</t>
  </si>
  <si>
    <t>Docket No. UE-130043</t>
  </si>
  <si>
    <t>Schedule No. 1</t>
  </si>
  <si>
    <t>Before-Tax</t>
  </si>
  <si>
    <t xml:space="preserve">Changes in </t>
  </si>
  <si>
    <t xml:space="preserve">Revenues </t>
  </si>
  <si>
    <t>or Expenses</t>
  </si>
  <si>
    <t>Net</t>
  </si>
  <si>
    <t>Operating</t>
  </si>
  <si>
    <t>Income</t>
  </si>
  <si>
    <t>Impacts</t>
  </si>
  <si>
    <t>Washington Jurisdictional Impacts Resulting from Public</t>
  </si>
  <si>
    <t>Rate</t>
  </si>
  <si>
    <t>Base</t>
  </si>
  <si>
    <t>Revenues</t>
  </si>
  <si>
    <t>O&amp;M Expenses</t>
  </si>
  <si>
    <t>Depreciation Expense</t>
  </si>
  <si>
    <t>Property Taxes</t>
  </si>
  <si>
    <t>Net Power Costs</t>
  </si>
  <si>
    <t>Plant in Service</t>
  </si>
  <si>
    <t>Accumulated Depreciation</t>
  </si>
  <si>
    <t>Working Capital</t>
  </si>
  <si>
    <t>Adjustments to YE/ Plant Balance</t>
  </si>
  <si>
    <t>Other Miscellaneous Rate Base</t>
  </si>
  <si>
    <t>Cost of Service Component</t>
  </si>
  <si>
    <t>Company's Requested Rate of Return</t>
  </si>
  <si>
    <t>Net Operating Income Conversion Factor</t>
  </si>
  <si>
    <t>Totals</t>
  </si>
  <si>
    <t>Schedule No. 2</t>
  </si>
  <si>
    <t>Counsel's Proposed O&amp;M Efficiency Adjustment</t>
  </si>
  <si>
    <t xml:space="preserve">Washington Jurisdictional O&amp;M Efficiency Adjustment </t>
  </si>
  <si>
    <t>as Proposed by PacifiCorp</t>
  </si>
  <si>
    <t>Description</t>
  </si>
  <si>
    <t>Source</t>
  </si>
  <si>
    <t>Amount</t>
  </si>
  <si>
    <t>Exh. No. __(SRM-3)</t>
  </si>
  <si>
    <t>Page 4.15</t>
  </si>
  <si>
    <t>Incremental Public Counsel O&amp;M Efficiency</t>
  </si>
  <si>
    <t>Adjustment</t>
  </si>
  <si>
    <t>S. Copolla</t>
  </si>
  <si>
    <t>Federal Corporate Income Tax Rate</t>
  </si>
  <si>
    <t>Increase in Federal Income Tax Expense</t>
  </si>
  <si>
    <t>Adjustment to Test Year Unadjusted Results of Operation</t>
  </si>
  <si>
    <t>Public Counsel Proposed Before-Tax O&amp;M Efficiency</t>
  </si>
  <si>
    <t>Public Counsel Proposed Adjustment to Net Operating</t>
  </si>
  <si>
    <t>Income to Reflect O&amp;M Efficiencies</t>
  </si>
  <si>
    <t>Line 2 + Line 4</t>
  </si>
  <si>
    <t>Line 6 X Line 7</t>
  </si>
  <si>
    <t>Line 6 + Line 8</t>
  </si>
  <si>
    <t>Counsel's Proposed Executive Compensation Adjustment</t>
  </si>
  <si>
    <t>Public Counsel Proposed Before-Tax Adjustment to</t>
  </si>
  <si>
    <t>O&amp;M Expense to Reflect Executive Compensation</t>
  </si>
  <si>
    <t>Income to Reflect Reduction in Executive Compensation</t>
  </si>
  <si>
    <t>Line 3 X Line 4</t>
  </si>
  <si>
    <t>Line 3 + Line 5</t>
  </si>
  <si>
    <t>Public Counsel</t>
  </si>
  <si>
    <t>PC 4.16</t>
  </si>
  <si>
    <t>Executive Compensation</t>
  </si>
  <si>
    <t>Washington Jurisdictional Impact Resulting from Public Counsel's</t>
  </si>
  <si>
    <t>Proposed Adjustment to Normalize Uncollectible Accounts Expense</t>
  </si>
  <si>
    <t>Four Year Average of Uncollectible Accounts</t>
  </si>
  <si>
    <t>Expense</t>
  </si>
  <si>
    <t>Test Year Per Books Uncollectible Accounts Expense</t>
  </si>
  <si>
    <t>Page 4.12.1</t>
  </si>
  <si>
    <t>Line 2 - Line 4</t>
  </si>
  <si>
    <t>Counsel's Net Power Cost Adjustments</t>
  </si>
  <si>
    <t>Incremental Net Power Cost Adjustments Sponsored</t>
  </si>
  <si>
    <t>Washington retail jurisdictional and their source is</t>
  </si>
  <si>
    <t>Reduction</t>
  </si>
  <si>
    <t>After-tax or Net</t>
  </si>
  <si>
    <t>Income Impact</t>
  </si>
  <si>
    <t>Removal of Cost of Qualifying Facilities Outside</t>
  </si>
  <si>
    <t>of Washington</t>
  </si>
  <si>
    <t>Remove Hedging Losses</t>
  </si>
  <si>
    <t>Reverse Proposed BPA Transmission Rate Increase</t>
  </si>
  <si>
    <t>Updated Prices and Adjustments</t>
  </si>
  <si>
    <t>(a)</t>
  </si>
  <si>
    <t>(b)</t>
  </si>
  <si>
    <t>(c)</t>
  </si>
  <si>
    <t>(Col b x 65%</t>
  </si>
  <si>
    <t xml:space="preserve">Subtotal Public Counsel Incremental Net Power </t>
  </si>
  <si>
    <t>Cost Adjustments</t>
  </si>
  <si>
    <t>Proforma Net Power Cost Adjustment Proposed by</t>
  </si>
  <si>
    <t>Public Counsel's Revised Net Power Cost Adjustment</t>
  </si>
  <si>
    <t>Counsel's Proposed Major Plant Additions Adjustment</t>
  </si>
  <si>
    <t>Reference</t>
  </si>
  <si>
    <t>"Major Plant Additions"</t>
  </si>
  <si>
    <t xml:space="preserve">Adjustment Proposed by </t>
  </si>
  <si>
    <t xml:space="preserve">PacifiCorp (All values are </t>
  </si>
  <si>
    <t>Washington Retail Jurisdictional)</t>
  </si>
  <si>
    <t>of Exhibit No.__</t>
  </si>
  <si>
    <t>(SRM-3)</t>
  </si>
  <si>
    <t>Projected to be Added After</t>
  </si>
  <si>
    <t>February 2013 - Sponsored by</t>
  </si>
  <si>
    <t>Public Counsel Revised Adjustment</t>
  </si>
  <si>
    <t xml:space="preserve">for Major Plant Additions - </t>
  </si>
  <si>
    <t>Counsel's Adjustment to Eliminate Jim Bridger Impairment Costs</t>
  </si>
  <si>
    <t xml:space="preserve">Incremental Miscellaneous Rate Base Adjustment </t>
  </si>
  <si>
    <t>are all Washington retail jurisdictional)</t>
  </si>
  <si>
    <t>Line 18</t>
  </si>
  <si>
    <t>Adjustment to Remove Impairment Cost Write-off</t>
  </si>
  <si>
    <t>that PacifiCorp Had Capitalized</t>
  </si>
  <si>
    <t>PC 8.14</t>
  </si>
  <si>
    <t>Eliminate Jim Bridger Impairment Cost Capitalized</t>
  </si>
  <si>
    <t>Counsel's Calculation of Investor Supplied Working Capital</t>
  </si>
  <si>
    <t>Public Counsel's Proposed Washington Jurisdictional</t>
  </si>
  <si>
    <t>Allowance for Investor Supplied Working Capital</t>
  </si>
  <si>
    <t>PacifiCorp's Proposed Washington Jurisdictional</t>
  </si>
  <si>
    <t>Page 8.4</t>
  </si>
  <si>
    <t xml:space="preserve">Page 8.13 </t>
  </si>
  <si>
    <t>Reduction in Investor Supplied Working Capital</t>
  </si>
  <si>
    <t>Line 19</t>
  </si>
  <si>
    <t>Line 20 - Line 5</t>
  </si>
  <si>
    <t>Proposed Adjustment to Proforma Insurance Expense</t>
  </si>
  <si>
    <t>Before-Tax Proforma Operating Expense Adjustment</t>
  </si>
  <si>
    <t>Proposed by PacifiCorp</t>
  </si>
  <si>
    <t>Page 4.0.1</t>
  </si>
  <si>
    <t>Exhibit No.__(SRM-3)</t>
  </si>
  <si>
    <t>to Reflect Reduced Insurance Premium Cost</t>
  </si>
  <si>
    <t>Subtotal:  Public Counsel Proposed Before-Tax</t>
  </si>
  <si>
    <t>Adjustments to Test Year Operating Expense</t>
  </si>
  <si>
    <t>Proforma Income Tax Expense Adjustment Calculated</t>
  </si>
  <si>
    <t>by PacifiCorp Related to Proforma Adjustment 4.8</t>
  </si>
  <si>
    <t>Adjustment 4.8</t>
  </si>
  <si>
    <t>Income Included in Development of Company</t>
  </si>
  <si>
    <t>Eliminate Temporary Schedule M "Addition" to Book</t>
  </si>
  <si>
    <t>Eliminate Temporary Schedule M "Subtraction" to Book</t>
  </si>
  <si>
    <t>Income Proposed by Public Counsel - to Tax Effect</t>
  </si>
  <si>
    <t>Public Counsel's Above-the-Line Operating Expense</t>
  </si>
  <si>
    <r>
      <t xml:space="preserve">Adjustment </t>
    </r>
    <r>
      <rPr>
        <b/>
        <i/>
        <sz val="12"/>
        <color theme="1"/>
        <rFont val="Times New Roman"/>
        <family val="1"/>
      </rPr>
      <t>and</t>
    </r>
    <r>
      <rPr>
        <sz val="12"/>
        <color theme="1"/>
        <rFont val="Times New Roman"/>
        <family val="1"/>
      </rPr>
      <t xml:space="preserve"> to Eliminate Erroneous Schedule M</t>
    </r>
  </si>
  <si>
    <t>"Additions" and Subtractions" to Book Income that</t>
  </si>
  <si>
    <t>Had Been Afforded "Flow-through" Treatment by</t>
  </si>
  <si>
    <t>Net Decrease in Washington Jurisdictional Taxable</t>
  </si>
  <si>
    <t>Public Counsel Incremental Income Tax Expense</t>
  </si>
  <si>
    <t>Adjustment Related to Proforma Insurance Expense</t>
  </si>
  <si>
    <t>Adjustment No. 4.8</t>
  </si>
  <si>
    <t>Subtotal:  Public Counsel Proposed Income-Tax</t>
  </si>
  <si>
    <t>Related to Proforma Insurance Expense Adjustment 4.8</t>
  </si>
  <si>
    <t xml:space="preserve">Public Counsel Proposed Proforma Adjustment to </t>
  </si>
  <si>
    <t>Insurance Expense - Revision of Company</t>
  </si>
  <si>
    <t>Line 4 above</t>
  </si>
  <si>
    <t xml:space="preserve">Line 9 + Line 12 + </t>
  </si>
  <si>
    <t>Line 14</t>
  </si>
  <si>
    <t>Line 21 X FIT</t>
  </si>
  <si>
    <t>Rate of 35%</t>
  </si>
  <si>
    <t>Line 24 + Line 26</t>
  </si>
  <si>
    <t>Line 6 + Line 29</t>
  </si>
  <si>
    <t>Counsel's Proposed Flow-Through Income Tax Expense Adjustment</t>
  </si>
  <si>
    <t xml:space="preserve">WA Low Energy Program" book/tax timing </t>
  </si>
  <si>
    <t>WA Jurisdictional Schedule M for "Reg Liability-</t>
  </si>
  <si>
    <t>Federal Corporate Income Tax Rate:</t>
  </si>
  <si>
    <t>Reduction to Current Income Tax Expense:</t>
  </si>
  <si>
    <t>Book/tax timing deduction afforded flowthrough</t>
  </si>
  <si>
    <t>treatment that PacifiCorp failed to allocate</t>
  </si>
  <si>
    <t xml:space="preserve"> to WA jurisdictional operations:</t>
  </si>
  <si>
    <t>Total Company Tax Timing Deduction entitled</t>
  </si>
  <si>
    <t>"Bridger Coal company Gain/Loss on Assets"</t>
  </si>
  <si>
    <t>WA Jurisdictional Allocator (JBE)</t>
  </si>
  <si>
    <t>WA Jurisdictional Flowthrough Deduction for</t>
  </si>
  <si>
    <t>Utilizing Flow-Through Treatment</t>
  </si>
  <si>
    <t>Eliminate "Reg Liability - WA Low Energy Program"</t>
  </si>
  <si>
    <t>Book/Tax Timing Difference that PacifiCorp Reflected</t>
  </si>
  <si>
    <t>PacifiCorp's Flow-Through Income Tax Expense</t>
  </si>
  <si>
    <t>Reduction to Deferred Income Tax Expense:</t>
  </si>
  <si>
    <t>Public Counsel's Proposed Flow-Through Income</t>
  </si>
  <si>
    <t>Tax Expense Adjustment - Revision to Company</t>
  </si>
  <si>
    <t xml:space="preserve">Adjustment 8.4  (Reduction in income tax expense - </t>
  </si>
  <si>
    <t>increase to Net Operating Income</t>
  </si>
  <si>
    <t>Model.xlsx"; "Current</t>
  </si>
  <si>
    <t>Tax Expense" tab;</t>
  </si>
  <si>
    <t>Cell Q 137</t>
  </si>
  <si>
    <t>"2013 WA GRC Tax</t>
  </si>
  <si>
    <t xml:space="preserve">difference  </t>
  </si>
  <si>
    <t>Line 7 X Line 8</t>
  </si>
  <si>
    <t>Cell F 304</t>
  </si>
  <si>
    <t>Line 16 X Line 17</t>
  </si>
  <si>
    <t xml:space="preserve">Deduction </t>
  </si>
  <si>
    <t>Line 19 X Line 20</t>
  </si>
  <si>
    <t>Line 9 + Line 21</t>
  </si>
  <si>
    <t>+ Line 24</t>
  </si>
  <si>
    <t>Response to PC-103 e.</t>
  </si>
  <si>
    <t>MONTHLY Present Base Revenues</t>
  </si>
  <si>
    <t xml:space="preserve"> </t>
  </si>
  <si>
    <t>2013 Budget</t>
  </si>
  <si>
    <t>Over/(Under</t>
  </si>
  <si>
    <t>Class</t>
  </si>
  <si>
    <t>Schedule</t>
  </si>
  <si>
    <t>Total</t>
  </si>
  <si>
    <t>TY Normalized</t>
  </si>
  <si>
    <t>RESIDENTIAL</t>
  </si>
  <si>
    <t>(Staff Dr 148)</t>
  </si>
  <si>
    <t>COMMERCIAL &amp; INDUSTRIAL</t>
  </si>
  <si>
    <t>PUBLIC STREET LIGHTING</t>
  </si>
  <si>
    <t>Response to PC-103 a.</t>
  </si>
  <si>
    <t>Cust.</t>
  </si>
  <si>
    <t>AVERAGE NO. OF CUSTOMER EACH MONTH</t>
  </si>
  <si>
    <t>INCREASE/(DECREASE) IN  TY END</t>
  </si>
  <si>
    <t>NO. OF CUSTOMERS OVER/(UNDER)</t>
  </si>
  <si>
    <t>CUSTOMERS  SERVED</t>
  </si>
  <si>
    <t>Small General Service</t>
  </si>
  <si>
    <t>Large GS - Less than 1,000 kW</t>
  </si>
  <si>
    <t>Large General Service - TOU</t>
  </si>
  <si>
    <t>NORMALIZED BASE REVENUES</t>
  </si>
  <si>
    <t>PER AVERAGE CUSTOMER AT</t>
  </si>
  <si>
    <t>EXISTING RATES</t>
  </si>
  <si>
    <t>ADJUSTMENT TO REFLECT USAGE</t>
  </si>
  <si>
    <t>FOR YEAR END NO. OF CUSTOMERS</t>
  </si>
  <si>
    <t>Total Adjustment</t>
  </si>
  <si>
    <t>Uncollectible Accounts Factor</t>
  </si>
  <si>
    <t>Bad Debt Expense Adjustment</t>
  </si>
  <si>
    <t>WA Public Utility Tax Rate (SRM-3, page 7.8)</t>
  </si>
  <si>
    <t>Adjustment to WA Public Utility Taxes</t>
  </si>
  <si>
    <t>TEST YEAR AVERAGE NO. OF</t>
  </si>
  <si>
    <t>PC Modified</t>
  </si>
  <si>
    <t>Counsel's Proposed Adjustment to Eliminate Allocated MEHC Officers Expense</t>
  </si>
  <si>
    <t>O&amp;M Expense to Reflect Elimination of MEHC</t>
  </si>
  <si>
    <t>Officers' Compensation Expense</t>
  </si>
  <si>
    <t>PC 4.17</t>
  </si>
  <si>
    <t>Eliminate MEHC Officers' Compensation Expense</t>
  </si>
  <si>
    <t>PC Incremental</t>
  </si>
  <si>
    <t>Counsel's Proposed Test-Year-End Plant in Service Adjustment</t>
  </si>
  <si>
    <t>Sponsored by Jim Dittmer</t>
  </si>
  <si>
    <t>WA Jurisdictional Gross Plant in Service at</t>
  </si>
  <si>
    <t>WA Jurisdictional Test Year AMA Gross Plant</t>
  </si>
  <si>
    <t>in Service (Tab  2.2)</t>
  </si>
  <si>
    <t>Factor to Apply to Adjusted Depreciation Expense</t>
  </si>
  <si>
    <t>Annualized Depreciation Based Upon TYE</t>
  </si>
  <si>
    <t>WA Jurisdictional Gross Plant in Service:</t>
  </si>
  <si>
    <t>Response to Public</t>
  </si>
  <si>
    <t>Counsel DR 48</t>
  </si>
  <si>
    <t xml:space="preserve">June 30, 2012 </t>
  </si>
  <si>
    <t>Tab 2.2 of</t>
  </si>
  <si>
    <t>Unadjusted Test Year Actual Washington Jurisdictional</t>
  </si>
  <si>
    <t>Depreciation Expense (effectively calculated upon an</t>
  </si>
  <si>
    <t>AMA basis)</t>
  </si>
  <si>
    <t>Public Counsel Before-Tax Adjustment to Annualize</t>
  </si>
  <si>
    <t>Depreciation Expense Associated with Test Year</t>
  </si>
  <si>
    <t xml:space="preserve">End Plant in Service - Utilizing Existing Authorized </t>
  </si>
  <si>
    <t>Depreciation Rates</t>
  </si>
  <si>
    <t>Related Decrease in Federal Income Tax Expense</t>
  </si>
  <si>
    <t>Public Counsel Adjustment to Net Operating Income to</t>
  </si>
  <si>
    <t xml:space="preserve">Reflect Annualized Depreciation Expense Associated </t>
  </si>
  <si>
    <t xml:space="preserve">with Test Year End Plant in Service at Existing </t>
  </si>
  <si>
    <t>Line 2 / Line 4 Minus 1</t>
  </si>
  <si>
    <t>Line 8 X Line 11</t>
  </si>
  <si>
    <t>Line 15 X Line 16</t>
  </si>
  <si>
    <t>Line 15 + Line 17</t>
  </si>
  <si>
    <t>Depreciation Rates (Adjustment Posts to Schedule 1)</t>
  </si>
  <si>
    <t>Washington Jurisdictional Depreciation Expense</t>
  </si>
  <si>
    <t>Calculated by PacifiCorp Based upon Proposed</t>
  </si>
  <si>
    <t>Depreciation Rates and AMA Basis</t>
  </si>
  <si>
    <t>Test Year Actual Depr.</t>
  </si>
  <si>
    <t>Expense Plus Co.</t>
  </si>
  <si>
    <t>Adjustment 6.3 of</t>
  </si>
  <si>
    <t>$801,076</t>
  </si>
  <si>
    <t>Alternative Before-Tax Adjustment to Annualize</t>
  </si>
  <si>
    <r>
      <t xml:space="preserve">End Plant in Service - Utilizing </t>
    </r>
    <r>
      <rPr>
        <b/>
        <i/>
        <sz val="12"/>
        <rFont val="Times New Roman"/>
        <family val="1"/>
      </rPr>
      <t>PacifiCorp Proposed</t>
    </r>
  </si>
  <si>
    <t>Line 8 X Line 25</t>
  </si>
  <si>
    <t>Alternative Adjustment to Net Operating Income to</t>
  </si>
  <si>
    <r>
      <t xml:space="preserve">with Test Year End Plant in Service at </t>
    </r>
    <r>
      <rPr>
        <b/>
        <i/>
        <sz val="12"/>
        <rFont val="Times New Roman"/>
        <family val="1"/>
      </rPr>
      <t>Proposed</t>
    </r>
  </si>
  <si>
    <t>Depreciation Rates (This adjustment is not currently</t>
  </si>
  <si>
    <t xml:space="preserve">posting to lead summary Schedule 1.  However, if the </t>
  </si>
  <si>
    <t>WUTC adopts PacifiCorp's Proposed Depreciation</t>
  </si>
  <si>
    <t>Line 29 X Line 30</t>
  </si>
  <si>
    <t>Line 29 + Line 31</t>
  </si>
  <si>
    <t>PC 8.12</t>
  </si>
  <si>
    <t>Proposed Adjustment to Annualize Retail Revenues Associated</t>
  </si>
  <si>
    <t>With Test Year End Numbers of Customers</t>
  </si>
  <si>
    <t>Adjustment to Reduce Test Year Revenues</t>
  </si>
  <si>
    <t>Resulting From Annualizing Retail Revenues</t>
  </si>
  <si>
    <t>Associated with Test Year End Numbers of</t>
  </si>
  <si>
    <t>Customers Being Served</t>
  </si>
  <si>
    <t>Public Counsel Net Before-Tax Adjustment to</t>
  </si>
  <si>
    <t>Annualize Revenues for TY End No. of Employees</t>
  </si>
  <si>
    <t>Exhibit __(SC-12)</t>
  </si>
  <si>
    <t>Page 7.8</t>
  </si>
  <si>
    <t>Related Increase in Income Tax Expense</t>
  </si>
  <si>
    <t>Adjustment to Net Operating Income to Reflect</t>
  </si>
  <si>
    <t>Public Counsel's Proposed Annualization of Revenues</t>
  </si>
  <si>
    <t>Associated with Test Year End Numbers of Customers</t>
  </si>
  <si>
    <t>Line 4 X Line 5</t>
  </si>
  <si>
    <t>Line 4 X Line 8</t>
  </si>
  <si>
    <t>Line 4 + Line 6 + Line 9</t>
  </si>
  <si>
    <t>Line 11 X Line 12</t>
  </si>
  <si>
    <t>Line 11 + Line 13</t>
  </si>
  <si>
    <t>PC 3.9</t>
  </si>
  <si>
    <t>PC 2.1</t>
  </si>
  <si>
    <t>Test Year End Revenue Annualization</t>
  </si>
  <si>
    <t>PC Neutral in Direct</t>
  </si>
  <si>
    <t>PC Revised Jurisdictional Allocation</t>
  </si>
  <si>
    <t>Depreciation and Amortization Reserve to June 2012 YE Balance</t>
  </si>
  <si>
    <t>PC 4.8</t>
  </si>
  <si>
    <t>PC 4.12</t>
  </si>
  <si>
    <t>PC 4.15</t>
  </si>
  <si>
    <t>Schedule No. 3</t>
  </si>
  <si>
    <t>Schedule No. 4</t>
  </si>
  <si>
    <t>Schedule No. 5</t>
  </si>
  <si>
    <t>Schedule No. 6</t>
  </si>
  <si>
    <t>Schedule No. 7</t>
  </si>
  <si>
    <t>Schedule No. 8</t>
  </si>
  <si>
    <t>Schedule No. 9</t>
  </si>
  <si>
    <t>PC 5.1.1</t>
  </si>
  <si>
    <t>PC 7.6</t>
  </si>
  <si>
    <t>PC 8.4</t>
  </si>
  <si>
    <t>PC 8.13</t>
  </si>
  <si>
    <t>Schedule No. 10</t>
  </si>
  <si>
    <t>Schedule No. 11</t>
  </si>
  <si>
    <t>Schedule No. 12</t>
  </si>
  <si>
    <t>Schedule No. 13</t>
  </si>
  <si>
    <t>Schedule No. 14</t>
  </si>
  <si>
    <t>PC Oppose</t>
  </si>
  <si>
    <t>Counsel's Proposed Allocation Modifications</t>
  </si>
  <si>
    <t>Attachment</t>
  </si>
  <si>
    <t>PC 165 1rst</t>
  </si>
  <si>
    <t>Supplemental</t>
  </si>
  <si>
    <t>PacifiCorp Within Its Insurance Adjustment No. 4.8</t>
  </si>
  <si>
    <t>Public Counsel Proposed Adjustment to</t>
  </si>
  <si>
    <t>Normalize Uncollectible Accounts Expense</t>
  </si>
  <si>
    <t>Note:</t>
  </si>
  <si>
    <t>Consistent with PacifiCorp's calculation of its Bad Debts Adjustment 4.12, this adjustment has not</t>
  </si>
  <si>
    <t>the-line expense normalization adjustment, similarly Public Counsel has not tax-effected</t>
  </si>
  <si>
    <t>its normalization adjustment for Bad Debts expense</t>
  </si>
  <si>
    <t>been "tax-effected."  Just as PacifiCorp assumed that this cost of service component is to be</t>
  </si>
  <si>
    <t>afforded "flow-through" tax treatment, and accordingly, did not "tax-effect" its above-</t>
  </si>
  <si>
    <t>Income to Eliminate MEHC Officers' Expense</t>
  </si>
  <si>
    <t>PacifiCorp  (Page 5.1.1 of Exhibit No. SRM-3)</t>
  </si>
  <si>
    <t>"Bridger Coal Company Gain/Loss on Assets"</t>
  </si>
  <si>
    <t>Adjustment to Remove Plant</t>
  </si>
  <si>
    <t>Adjustment No. 8.4</t>
  </si>
  <si>
    <t>Line 4 + Line 8</t>
  </si>
  <si>
    <t>at PacifiCorp Existing Rates to Calculate</t>
  </si>
  <si>
    <t xml:space="preserve">Rates this Amount Should be Substitued for the </t>
  </si>
  <si>
    <t>Adjustment Amount Reflected on Line 21)</t>
  </si>
  <si>
    <t>Sponsored by Mr. Sebastian Coppola</t>
  </si>
  <si>
    <t>Source:  Exhibit No. SC-4 sponsored by Mr. Seb Coppola</t>
  </si>
  <si>
    <t>To TY Unadjusted Results of Operations</t>
  </si>
  <si>
    <t>Jointly Sponsored by Sebastian Coppola and Jim Dittmer</t>
  </si>
  <si>
    <t>Exhibit No. SC-13</t>
  </si>
  <si>
    <t>Incremental Adjustment Sponsored by Mr. S. Coppola</t>
  </si>
  <si>
    <t>S. Coppola</t>
  </si>
  <si>
    <t>Exh.  No. SC-13</t>
  </si>
  <si>
    <t>Exh. No. SC-14</t>
  </si>
  <si>
    <t>Exh. No. SC-15C</t>
  </si>
  <si>
    <t>by Mr. Sebastian Coppola  [Amounts are all</t>
  </si>
  <si>
    <t>Exhibit  No. SC-4]</t>
  </si>
  <si>
    <t>Exhibit No. SC-9</t>
  </si>
  <si>
    <t>Exhibit  No. SC-4</t>
  </si>
  <si>
    <t xml:space="preserve">Sponsored byby Mr. Sebastian Coppola  (Amounts </t>
  </si>
  <si>
    <t>Recommendation Sponsored by Seb Coppola</t>
  </si>
  <si>
    <t>Mr. Sebastian Coppola</t>
  </si>
  <si>
    <t>Sponored by Mr. Sebastian Coppola</t>
  </si>
  <si>
    <t>PC Support</t>
  </si>
  <si>
    <t>Page 17 of 17</t>
  </si>
  <si>
    <t>Page 16 of 17</t>
  </si>
  <si>
    <t>Page 15 of 17</t>
  </si>
  <si>
    <t>Page 14 of 17</t>
  </si>
  <si>
    <t>Page 13 of 17</t>
  </si>
  <si>
    <t>Page 12 of 17</t>
  </si>
  <si>
    <t>Page 11 of 17</t>
  </si>
  <si>
    <t>Page 10 of 17</t>
  </si>
  <si>
    <t>Page 9 of 17</t>
  </si>
  <si>
    <t>Page 8 of 17</t>
  </si>
  <si>
    <t>Page 7 of 17</t>
  </si>
  <si>
    <t xml:space="preserve">Schedule 3, Page 4 of 17     </t>
  </si>
  <si>
    <t>Schedule 3, Page 5 of 17</t>
  </si>
  <si>
    <t xml:space="preserve">Schedule 3, Page 6 of 17  </t>
  </si>
  <si>
    <t>Page 3 of  17</t>
  </si>
  <si>
    <t>Page 2 of  17</t>
  </si>
  <si>
    <t>Page 1 of  17</t>
  </si>
  <si>
    <t>MONTHLY Actual Customer Count</t>
  </si>
  <si>
    <r>
      <t xml:space="preserve">(Averague of Current Month Actual Customer Count </t>
    </r>
    <r>
      <rPr>
        <i/>
        <sz val="12"/>
        <rFont val="Times New Roman"/>
        <family val="1"/>
      </rPr>
      <t>Plus</t>
    </r>
    <r>
      <rPr>
        <sz val="12"/>
        <rFont val="Times New Roman"/>
        <family val="1"/>
      </rPr>
      <t xml:space="preserve"> Subsequent Month's Customer Count - to Smooth Customer Count Variation)</t>
    </r>
  </si>
  <si>
    <t>Class 36 Customer was added to the June 2012 Class 36 customer count.</t>
  </si>
  <si>
    <t xml:space="preserve">Per response to Public Counsel Data Request 170 (c) the Company eliminated one Class 36 customer when normalizing revenues.  To avoid a duplication of this removal in this calculation, one </t>
  </si>
  <si>
    <t>Exhibit No. JRD-3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</si>
</sst>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  <numFmt numFmtId="167" formatCode="_(&quot;$&quot;* #,##0_);_(&quot;$&quot;* \(#,##0\);_(&quot;$&quot;* &quot;-&quot;??_);_(@_)"/>
    <numFmt numFmtId="168" formatCode="0.0000%"/>
  </numFmts>
  <fonts count="24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5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indexed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2"/>
      <color indexed="17"/>
      <name val="Times New Roman"/>
      <family val="1"/>
    </font>
    <font>
      <sz val="12"/>
      <color indexed="55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0" fontId="13" fillId="0" borderId="0"/>
    <xf numFmtId="0" fontId="13" fillId="0" borderId="0"/>
  </cellStyleXfs>
  <cellXfs count="178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Continuous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164" fontId="6" fillId="0" borderId="0" xfId="1" applyNumberFormat="1" applyFont="1" applyFill="1"/>
    <xf numFmtId="164" fontId="3" fillId="0" borderId="0" xfId="1" applyNumberFormat="1" applyFont="1" applyFill="1"/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/>
    </xf>
    <xf numFmtId="43" fontId="3" fillId="0" borderId="0" xfId="0" applyNumberFormat="1" applyFont="1" applyFill="1"/>
    <xf numFmtId="164" fontId="3" fillId="0" borderId="0" xfId="1" applyNumberFormat="1" applyFont="1" applyFill="1" applyBorder="1"/>
    <xf numFmtId="0" fontId="3" fillId="0" borderId="0" xfId="0" quotePrefix="1" applyNumberFormat="1" applyFont="1" applyFill="1" applyAlignment="1">
      <alignment horizontal="center"/>
    </xf>
    <xf numFmtId="164" fontId="3" fillId="0" borderId="2" xfId="1" applyNumberFormat="1" applyFont="1" applyFill="1" applyBorder="1"/>
    <xf numFmtId="164" fontId="3" fillId="0" borderId="0" xfId="0" applyNumberFormat="1" applyFont="1" applyFill="1"/>
    <xf numFmtId="2" fontId="3" fillId="0" borderId="0" xfId="0" applyNumberFormat="1" applyFont="1" applyFill="1" applyAlignment="1">
      <alignment horizontal="center"/>
    </xf>
    <xf numFmtId="164" fontId="6" fillId="0" borderId="0" xfId="1" applyNumberFormat="1" applyFont="1" applyFill="1" applyBorder="1"/>
    <xf numFmtId="0" fontId="6" fillId="0" borderId="0" xfId="0" applyFont="1" applyFill="1" applyBorder="1"/>
    <xf numFmtId="0" fontId="3" fillId="0" borderId="0" xfId="0" applyFont="1"/>
    <xf numFmtId="164" fontId="6" fillId="0" borderId="1" xfId="0" applyNumberFormat="1" applyFont="1" applyBorder="1"/>
    <xf numFmtId="0" fontId="5" fillId="0" borderId="0" xfId="0" applyFont="1" applyFill="1" applyAlignment="1"/>
    <xf numFmtId="0" fontId="6" fillId="0" borderId="0" xfId="0" applyFont="1" applyFill="1" applyAlignment="1">
      <alignment horizontal="left"/>
    </xf>
    <xf numFmtId="164" fontId="6" fillId="0" borderId="0" xfId="5" applyNumberFormat="1" applyFont="1" applyFill="1" applyBorder="1"/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/>
    </xf>
    <xf numFmtId="164" fontId="0" fillId="0" borderId="0" xfId="1" applyNumberFormat="1" applyFont="1"/>
    <xf numFmtId="165" fontId="0" fillId="0" borderId="0" xfId="3" applyNumberFormat="1" applyFont="1"/>
    <xf numFmtId="164" fontId="0" fillId="0" borderId="2" xfId="1" applyNumberFormat="1" applyFont="1" applyBorder="1"/>
    <xf numFmtId="164" fontId="0" fillId="0" borderId="0" xfId="0" applyNumberFormat="1"/>
    <xf numFmtId="164" fontId="0" fillId="0" borderId="3" xfId="0" applyNumberFormat="1" applyBorder="1"/>
    <xf numFmtId="167" fontId="0" fillId="0" borderId="0" xfId="2" applyNumberFormat="1" applyFont="1"/>
    <xf numFmtId="167" fontId="0" fillId="0" borderId="3" xfId="2" applyNumberFormat="1" applyFont="1" applyBorder="1"/>
    <xf numFmtId="0" fontId="0" fillId="0" borderId="0" xfId="0" applyAlignment="1">
      <alignment horizontal="center"/>
    </xf>
    <xf numFmtId="166" fontId="0" fillId="0" borderId="2" xfId="3" applyNumberFormat="1" applyFont="1" applyBorder="1"/>
    <xf numFmtId="0" fontId="0" fillId="0" borderId="0" xfId="0" applyBorder="1"/>
    <xf numFmtId="167" fontId="0" fillId="0" borderId="0" xfId="2" applyNumberFormat="1" applyFont="1" applyBorder="1"/>
    <xf numFmtId="164" fontId="0" fillId="0" borderId="0" xfId="1" applyNumberFormat="1" applyFont="1" applyBorder="1"/>
    <xf numFmtId="164" fontId="0" fillId="0" borderId="0" xfId="0" applyNumberFormat="1" applyBorder="1"/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67" fontId="0" fillId="0" borderId="2" xfId="2" applyNumberFormat="1" applyFont="1" applyBorder="1"/>
    <xf numFmtId="0" fontId="0" fillId="0" borderId="2" xfId="0" applyBorder="1"/>
    <xf numFmtId="0" fontId="10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quotePrefix="1"/>
    <xf numFmtId="0" fontId="0" fillId="0" borderId="0" xfId="0" quotePrefix="1" applyBorder="1"/>
    <xf numFmtId="167" fontId="0" fillId="0" borderId="0" xfId="0" applyNumberFormat="1"/>
    <xf numFmtId="0" fontId="11" fillId="0" borderId="0" xfId="0" applyFont="1"/>
    <xf numFmtId="167" fontId="0" fillId="0" borderId="3" xfId="0" applyNumberFormat="1" applyBorder="1"/>
    <xf numFmtId="166" fontId="0" fillId="0" borderId="0" xfId="3" applyNumberFormat="1" applyFont="1" applyBorder="1"/>
    <xf numFmtId="43" fontId="0" fillId="0" borderId="0" xfId="1" applyFont="1" applyBorder="1"/>
    <xf numFmtId="164" fontId="0" fillId="0" borderId="2" xfId="0" applyNumberFormat="1" applyBorder="1"/>
    <xf numFmtId="0" fontId="13" fillId="0" borderId="0" xfId="11" applyAlignment="1">
      <alignment horizontal="right"/>
    </xf>
    <xf numFmtId="0" fontId="0" fillId="0" borderId="0" xfId="0" quotePrefix="1" applyAlignment="1">
      <alignment horizontal="center"/>
    </xf>
    <xf numFmtId="0" fontId="0" fillId="0" borderId="0" xfId="0"/>
    <xf numFmtId="164" fontId="0" fillId="0" borderId="0" xfId="1" applyNumberFormat="1" applyFont="1"/>
    <xf numFmtId="168" fontId="0" fillId="0" borderId="2" xfId="3" applyNumberFormat="1" applyFont="1" applyBorder="1"/>
    <xf numFmtId="166" fontId="0" fillId="0" borderId="2" xfId="3" applyNumberFormat="1" applyFont="1" applyBorder="1"/>
    <xf numFmtId="164" fontId="0" fillId="0" borderId="3" xfId="1" applyNumberFormat="1" applyFont="1" applyBorder="1"/>
    <xf numFmtId="0" fontId="13" fillId="0" borderId="0" xfId="11"/>
    <xf numFmtId="0" fontId="14" fillId="0" borderId="0" xfId="11" applyFont="1"/>
    <xf numFmtId="0" fontId="13" fillId="0" borderId="0" xfId="11" applyFill="1"/>
    <xf numFmtId="0" fontId="13" fillId="0" borderId="0" xfId="11" applyBorder="1" applyAlignment="1">
      <alignment horizontal="center"/>
    </xf>
    <xf numFmtId="0" fontId="13" fillId="0" borderId="0" xfId="11" applyBorder="1"/>
    <xf numFmtId="0" fontId="13" fillId="0" borderId="2" xfId="11" applyFont="1" applyBorder="1" applyAlignment="1">
      <alignment horizontal="center"/>
    </xf>
    <xf numFmtId="0" fontId="13" fillId="0" borderId="2" xfId="11" quotePrefix="1" applyBorder="1" applyAlignment="1">
      <alignment horizontal="center"/>
    </xf>
    <xf numFmtId="0" fontId="13" fillId="0" borderId="2" xfId="11" applyBorder="1" applyAlignment="1">
      <alignment horizontal="center"/>
    </xf>
    <xf numFmtId="0" fontId="13" fillId="0" borderId="0" xfId="11" applyFill="1" applyAlignment="1">
      <alignment horizontal="right"/>
    </xf>
    <xf numFmtId="0" fontId="13" fillId="0" borderId="0" xfId="11" applyFill="1" applyBorder="1"/>
    <xf numFmtId="0" fontId="13" fillId="0" borderId="0" xfId="11" applyAlignment="1">
      <alignment horizontal="center"/>
    </xf>
    <xf numFmtId="0" fontId="13" fillId="0" borderId="0" xfId="11" applyFont="1" applyFill="1" applyAlignment="1">
      <alignment horizontal="center"/>
    </xf>
    <xf numFmtId="5" fontId="15" fillId="0" borderId="0" xfId="5" applyNumberFormat="1" applyFont="1" applyFill="1" applyBorder="1"/>
    <xf numFmtId="6" fontId="13" fillId="0" borderId="0" xfId="5" applyNumberFormat="1" applyFont="1" applyFill="1" applyBorder="1"/>
    <xf numFmtId="164" fontId="13" fillId="0" borderId="0" xfId="5" applyNumberFormat="1" applyFont="1" applyFill="1"/>
    <xf numFmtId="0" fontId="16" fillId="0" borderId="0" xfId="11" applyFont="1" applyFill="1" applyAlignment="1">
      <alignment horizontal="center"/>
    </xf>
    <xf numFmtId="6" fontId="13" fillId="0" borderId="0" xfId="11" applyNumberFormat="1" applyFill="1"/>
    <xf numFmtId="0" fontId="13" fillId="0" borderId="0" xfId="11" applyFont="1" applyFill="1"/>
    <xf numFmtId="0" fontId="15" fillId="0" borderId="0" xfId="5" applyNumberFormat="1" applyFont="1" applyFill="1" applyBorder="1"/>
    <xf numFmtId="49" fontId="17" fillId="0" borderId="0" xfId="12" applyNumberFormat="1" applyFont="1" applyFill="1" applyAlignment="1">
      <alignment horizontal="center"/>
    </xf>
    <xf numFmtId="6" fontId="15" fillId="0" borderId="0" xfId="5" applyNumberFormat="1" applyFont="1" applyFill="1" applyBorder="1"/>
    <xf numFmtId="49" fontId="17" fillId="0" borderId="0" xfId="12" applyNumberFormat="1" applyFont="1" applyFill="1"/>
    <xf numFmtId="6" fontId="13" fillId="0" borderId="0" xfId="11" applyNumberFormat="1" applyFill="1" applyBorder="1"/>
    <xf numFmtId="49" fontId="17" fillId="0" borderId="0" xfId="12" applyNumberFormat="1" applyFont="1"/>
    <xf numFmtId="6" fontId="13" fillId="0" borderId="0" xfId="11" applyNumberFormat="1" applyBorder="1"/>
    <xf numFmtId="164" fontId="13" fillId="0" borderId="0" xfId="5" applyNumberFormat="1" applyFont="1"/>
    <xf numFmtId="0" fontId="13" fillId="0" borderId="1" xfId="11" applyBorder="1"/>
    <xf numFmtId="49" fontId="17" fillId="0" borderId="1" xfId="12" applyNumberFormat="1" applyFont="1" applyBorder="1"/>
    <xf numFmtId="6" fontId="13" fillId="0" borderId="1" xfId="11" applyNumberFormat="1" applyBorder="1"/>
    <xf numFmtId="0" fontId="0" fillId="0" borderId="0" xfId="0" applyAlignment="1">
      <alignment horizontal="right"/>
    </xf>
    <xf numFmtId="49" fontId="17" fillId="0" borderId="0" xfId="12" applyNumberFormat="1" applyFont="1" applyBorder="1"/>
    <xf numFmtId="49" fontId="18" fillId="0" borderId="0" xfId="12" applyNumberFormat="1" applyFont="1" applyBorder="1"/>
    <xf numFmtId="0" fontId="13" fillId="0" borderId="0" xfId="0" applyFont="1" applyFill="1"/>
    <xf numFmtId="0" fontId="19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Border="1"/>
    <xf numFmtId="0" fontId="0" fillId="0" borderId="0" xfId="0" applyFill="1" applyAlignment="1">
      <alignment horizontal="right"/>
    </xf>
    <xf numFmtId="0" fontId="0" fillId="0" borderId="0" xfId="0" applyFill="1"/>
    <xf numFmtId="0" fontId="13" fillId="0" borderId="0" xfId="0" applyFont="1" applyFill="1" applyAlignment="1">
      <alignment horizontal="center"/>
    </xf>
    <xf numFmtId="41" fontId="0" fillId="0" borderId="0" xfId="0" applyNumberFormat="1"/>
    <xf numFmtId="38" fontId="0" fillId="0" borderId="0" xfId="0" applyNumberFormat="1" applyFill="1" applyBorder="1"/>
    <xf numFmtId="3" fontId="0" fillId="0" borderId="0" xfId="0" applyNumberFormat="1" applyFill="1" applyBorder="1"/>
    <xf numFmtId="41" fontId="13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38" fontId="20" fillId="0" borderId="0" xfId="0" applyNumberFormat="1" applyFont="1" applyFill="1" applyBorder="1"/>
    <xf numFmtId="3" fontId="20" fillId="0" borderId="0" xfId="0" applyNumberFormat="1" applyFont="1" applyFill="1" applyBorder="1"/>
    <xf numFmtId="164" fontId="0" fillId="0" borderId="0" xfId="0" applyNumberFormat="1" applyFill="1" applyBorder="1"/>
    <xf numFmtId="1" fontId="17" fillId="0" borderId="0" xfId="12" applyNumberFormat="1" applyFont="1" applyFill="1" applyAlignment="1">
      <alignment horizontal="center"/>
    </xf>
    <xf numFmtId="3" fontId="16" fillId="0" borderId="0" xfId="0" applyNumberFormat="1" applyFont="1" applyFill="1" applyBorder="1"/>
    <xf numFmtId="49" fontId="17" fillId="0" borderId="2" xfId="12" applyNumberFormat="1" applyFont="1" applyBorder="1"/>
    <xf numFmtId="41" fontId="17" fillId="0" borderId="2" xfId="12" applyNumberFormat="1" applyFont="1" applyBorder="1"/>
    <xf numFmtId="38" fontId="0" fillId="0" borderId="2" xfId="0" applyNumberFormat="1" applyBorder="1"/>
    <xf numFmtId="38" fontId="0" fillId="0" borderId="0" xfId="0" applyNumberFormat="1" applyBorder="1"/>
    <xf numFmtId="0" fontId="13" fillId="0" borderId="0" xfId="0" applyFont="1" applyBorder="1" applyAlignment="1">
      <alignment horizontal="center"/>
    </xf>
    <xf numFmtId="41" fontId="13" fillId="0" borderId="0" xfId="11" applyNumberFormat="1"/>
    <xf numFmtId="41" fontId="13" fillId="0" borderId="2" xfId="11" applyNumberFormat="1" applyBorder="1"/>
    <xf numFmtId="41" fontId="13" fillId="0" borderId="3" xfId="11" applyNumberFormat="1" applyBorder="1"/>
    <xf numFmtId="164" fontId="13" fillId="0" borderId="0" xfId="11" applyNumberFormat="1"/>
    <xf numFmtId="164" fontId="13" fillId="0" borderId="2" xfId="11" applyNumberFormat="1" applyBorder="1"/>
    <xf numFmtId="164" fontId="13" fillId="0" borderId="4" xfId="11" applyNumberFormat="1" applyBorder="1"/>
    <xf numFmtId="44" fontId="13" fillId="0" borderId="0" xfId="2" applyFont="1"/>
    <xf numFmtId="44" fontId="13" fillId="0" borderId="2" xfId="2" applyFont="1" applyBorder="1"/>
    <xf numFmtId="44" fontId="13" fillId="0" borderId="0" xfId="11" applyNumberFormat="1"/>
    <xf numFmtId="44" fontId="13" fillId="0" borderId="2" xfId="11" applyNumberFormat="1" applyBorder="1"/>
    <xf numFmtId="6" fontId="13" fillId="0" borderId="0" xfId="11" applyNumberFormat="1"/>
    <xf numFmtId="6" fontId="13" fillId="0" borderId="2" xfId="11" applyNumberFormat="1" applyBorder="1"/>
    <xf numFmtId="10" fontId="13" fillId="0" borderId="0" xfId="9" applyNumberFormat="1" applyFont="1"/>
    <xf numFmtId="165" fontId="13" fillId="0" borderId="2" xfId="9" applyNumberFormat="1" applyFont="1" applyBorder="1"/>
    <xf numFmtId="164" fontId="13" fillId="0" borderId="3" xfId="5" applyNumberFormat="1" applyFont="1" applyBorder="1"/>
    <xf numFmtId="168" fontId="13" fillId="0" borderId="2" xfId="9" applyNumberFormat="1" applyFont="1" applyBorder="1"/>
    <xf numFmtId="41" fontId="17" fillId="0" borderId="0" xfId="12" applyNumberFormat="1" applyFont="1" applyBorder="1"/>
    <xf numFmtId="41" fontId="13" fillId="0" borderId="0" xfId="11" applyNumberFormat="1" applyBorder="1"/>
    <xf numFmtId="164" fontId="13" fillId="0" borderId="0" xfId="11" applyNumberFormat="1" applyBorder="1"/>
    <xf numFmtId="164" fontId="11" fillId="0" borderId="2" xfId="1" applyNumberFormat="1" applyFont="1" applyBorder="1"/>
    <xf numFmtId="164" fontId="11" fillId="0" borderId="0" xfId="0" applyNumberFormat="1" applyFont="1"/>
    <xf numFmtId="0" fontId="11" fillId="0" borderId="0" xfId="0" quotePrefix="1" applyFont="1" applyAlignment="1">
      <alignment horizontal="center"/>
    </xf>
    <xf numFmtId="0" fontId="13" fillId="0" borderId="0" xfId="10" applyFont="1"/>
    <xf numFmtId="0" fontId="13" fillId="0" borderId="0" xfId="10" applyFont="1" applyAlignment="1">
      <alignment horizontal="center"/>
    </xf>
    <xf numFmtId="0" fontId="13" fillId="0" borderId="0" xfId="10" quotePrefix="1" applyFont="1"/>
    <xf numFmtId="165" fontId="13" fillId="0" borderId="0" xfId="6" applyNumberFormat="1" applyFont="1" applyBorder="1"/>
    <xf numFmtId="0" fontId="13" fillId="0" borderId="0" xfId="10" applyFont="1" applyFill="1"/>
    <xf numFmtId="165" fontId="13" fillId="0" borderId="2" xfId="6" applyNumberFormat="1" applyFont="1" applyBorder="1"/>
    <xf numFmtId="164" fontId="13" fillId="0" borderId="0" xfId="1" applyNumberFormat="1" applyFont="1" applyBorder="1"/>
    <xf numFmtId="164" fontId="13" fillId="0" borderId="0" xfId="5" applyNumberFormat="1" applyFont="1" applyBorder="1"/>
    <xf numFmtId="0" fontId="16" fillId="0" borderId="0" xfId="10" applyFont="1"/>
    <xf numFmtId="165" fontId="16" fillId="0" borderId="0" xfId="6" applyNumberFormat="1" applyFont="1" applyBorder="1"/>
    <xf numFmtId="0" fontId="16" fillId="0" borderId="0" xfId="10" applyFont="1" applyFill="1"/>
    <xf numFmtId="164" fontId="10" fillId="0" borderId="3" xfId="0" applyNumberFormat="1" applyFont="1" applyBorder="1"/>
    <xf numFmtId="0" fontId="11" fillId="0" borderId="0" xfId="0" applyFont="1" applyAlignment="1">
      <alignment horizontal="center"/>
    </xf>
    <xf numFmtId="10" fontId="0" fillId="0" borderId="0" xfId="3" applyNumberFormat="1" applyFont="1" applyBorder="1"/>
    <xf numFmtId="10" fontId="0" fillId="0" borderId="2" xfId="3" applyNumberFormat="1" applyFont="1" applyBorder="1"/>
    <xf numFmtId="10" fontId="13" fillId="0" borderId="0" xfId="9" applyNumberFormat="1" applyFont="1" applyBorder="1"/>
    <xf numFmtId="165" fontId="13" fillId="0" borderId="0" xfId="9" applyNumberFormat="1" applyFont="1" applyBorder="1"/>
    <xf numFmtId="168" fontId="13" fillId="0" borderId="0" xfId="9" applyNumberFormat="1" applyFont="1" applyBorder="1"/>
    <xf numFmtId="0" fontId="0" fillId="0" borderId="0" xfId="0" applyAlignment="1">
      <alignment textRotation="180"/>
    </xf>
    <xf numFmtId="0" fontId="0" fillId="0" borderId="0" xfId="0" applyAlignment="1">
      <alignment horizontal="center" textRotation="180"/>
    </xf>
    <xf numFmtId="0" fontId="0" fillId="0" borderId="0" xfId="0" applyBorder="1" applyAlignment="1">
      <alignment horizontal="right"/>
    </xf>
    <xf numFmtId="167" fontId="10" fillId="0" borderId="3" xfId="2" applyNumberFormat="1" applyFont="1" applyBorder="1"/>
    <xf numFmtId="0" fontId="0" fillId="0" borderId="0" xfId="0" applyAlignment="1">
      <alignment horizontal="center" textRotation="180"/>
    </xf>
    <xf numFmtId="0" fontId="23" fillId="0" borderId="0" xfId="0" applyFont="1" applyAlignment="1">
      <alignment horizontal="center"/>
    </xf>
    <xf numFmtId="38" fontId="10" fillId="0" borderId="0" xfId="0" applyNumberFormat="1" applyFont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textRotation="180"/>
    </xf>
  </cellXfs>
  <cellStyles count="13">
    <cellStyle name="Comma" xfId="1" builtinId="3"/>
    <cellStyle name="Comma 2" xfId="8"/>
    <cellStyle name="Comma 3" xfId="5"/>
    <cellStyle name="Currency" xfId="2" builtinId="4"/>
    <cellStyle name="Normal" xfId="0" builtinId="0"/>
    <cellStyle name="Normal 2" xfId="7"/>
    <cellStyle name="Normal 3" xfId="10"/>
    <cellStyle name="Normal 4" xfId="4"/>
    <cellStyle name="Normal 7" xfId="11"/>
    <cellStyle name="Normal_OR 1999 SAS VS 305" xfId="12"/>
    <cellStyle name="Percent" xfId="3" builtinId="5"/>
    <cellStyle name="Percent 2" xfId="9"/>
    <cellStyle name="Percent 3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6"/>
  <sheetViews>
    <sheetView tabSelected="1" topLeftCell="H1" workbookViewId="0">
      <selection activeCell="O3" sqref="O3"/>
    </sheetView>
  </sheetViews>
  <sheetFormatPr defaultRowHeight="15.75"/>
  <cols>
    <col min="1" max="1" width="3.75" customWidth="1"/>
    <col min="2" max="2" width="1.625" customWidth="1"/>
    <col min="3" max="3" width="9" customWidth="1"/>
    <col min="4" max="4" width="1.625" customWidth="1"/>
    <col min="5" max="5" width="9" customWidth="1"/>
    <col min="6" max="6" width="2.125" customWidth="1"/>
    <col min="7" max="7" width="40.75" customWidth="1"/>
    <col min="8" max="8" width="8.625" customWidth="1"/>
    <col min="9" max="9" width="1.625" customWidth="1"/>
    <col min="10" max="10" width="9.375" customWidth="1"/>
    <col min="11" max="11" width="1.625" customWidth="1"/>
    <col min="12" max="12" width="9.125" customWidth="1"/>
    <col min="13" max="13" width="3.625" customWidth="1"/>
    <col min="14" max="14" width="8.625" customWidth="1"/>
    <col min="15" max="15" width="1.625" customWidth="1"/>
    <col min="16" max="16" width="8.625" customWidth="1"/>
    <col min="17" max="17" width="1.625" customWidth="1"/>
    <col min="18" max="18" width="9.125" customWidth="1"/>
    <col min="19" max="19" width="1.625" customWidth="1"/>
    <col min="20" max="20" width="19" customWidth="1"/>
    <col min="21" max="21" width="1.625" customWidth="1"/>
    <col min="22" max="22" width="9.875" customWidth="1"/>
    <col min="28" max="28" width="11.125" bestFit="1" customWidth="1"/>
  </cols>
  <sheetData>
    <row r="1" spans="1:23" ht="15.75" customHeight="1">
      <c r="A1" s="1"/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4"/>
      <c r="N1" s="4"/>
      <c r="O1" s="4"/>
      <c r="V1" s="33" t="s">
        <v>114</v>
      </c>
    </row>
    <row r="2" spans="1:23" ht="15.75" customHeight="1">
      <c r="A2" s="1"/>
      <c r="B2" s="1"/>
      <c r="C2" s="2"/>
      <c r="D2" s="2"/>
      <c r="E2" s="2"/>
      <c r="F2" s="2"/>
      <c r="G2" s="3"/>
      <c r="H2" s="3"/>
      <c r="I2" s="3"/>
      <c r="J2" s="3"/>
      <c r="K2" s="3"/>
      <c r="L2" s="3"/>
      <c r="M2" s="4"/>
      <c r="N2" s="4"/>
      <c r="O2" s="4"/>
      <c r="V2" s="33" t="s">
        <v>486</v>
      </c>
    </row>
    <row r="3" spans="1:23" ht="15.75" customHeight="1">
      <c r="A3" s="1"/>
      <c r="B3" s="1"/>
      <c r="C3" s="2"/>
      <c r="D3" s="2"/>
      <c r="E3" s="2"/>
      <c r="F3" s="2"/>
      <c r="G3" s="3"/>
      <c r="H3" s="3"/>
      <c r="I3" s="3"/>
      <c r="J3" s="3"/>
      <c r="K3" s="3"/>
      <c r="L3" s="3"/>
      <c r="M3" s="4"/>
      <c r="N3" s="4"/>
      <c r="O3" s="4"/>
      <c r="V3" s="33" t="s">
        <v>481</v>
      </c>
    </row>
    <row r="4" spans="1:23" ht="15.75" customHeight="1">
      <c r="A4" s="1"/>
      <c r="B4" s="1"/>
      <c r="C4" s="2"/>
      <c r="D4" s="2"/>
      <c r="E4" s="2"/>
      <c r="F4" s="2"/>
      <c r="G4" s="3"/>
      <c r="H4" s="3"/>
      <c r="I4" s="3"/>
      <c r="J4" s="3"/>
      <c r="K4" s="3"/>
      <c r="L4" s="3"/>
      <c r="M4" s="4"/>
      <c r="N4" s="4"/>
      <c r="O4" s="4"/>
      <c r="V4" s="33" t="s">
        <v>115</v>
      </c>
    </row>
    <row r="5" spans="1:23" ht="15.75" customHeight="1">
      <c r="A5" s="1"/>
      <c r="B5" s="1"/>
      <c r="C5" s="2"/>
      <c r="D5" s="2"/>
      <c r="E5" s="2"/>
      <c r="F5" s="2"/>
      <c r="G5" s="3"/>
      <c r="H5" s="3"/>
      <c r="I5" s="3"/>
      <c r="J5" s="3"/>
      <c r="K5" s="3"/>
      <c r="L5" s="3"/>
      <c r="M5" s="4"/>
      <c r="N5" s="4"/>
      <c r="O5" s="4"/>
    </row>
    <row r="6" spans="1:23" ht="15.75" customHeight="1">
      <c r="A6" s="1"/>
      <c r="B6" s="1"/>
      <c r="C6" s="174" t="s">
        <v>113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</row>
    <row r="7" spans="1:23">
      <c r="A7" s="5"/>
      <c r="B7" s="5"/>
      <c r="C7" s="2"/>
      <c r="D7" s="2"/>
      <c r="F7" s="2"/>
      <c r="G7" s="4"/>
      <c r="H7" s="4"/>
      <c r="I7" s="4"/>
      <c r="J7" s="4"/>
      <c r="K7" s="4"/>
      <c r="L7" s="4"/>
      <c r="M7" s="4"/>
      <c r="N7" s="4"/>
      <c r="O7" s="4"/>
      <c r="T7" s="31"/>
      <c r="U7" s="31"/>
      <c r="V7" s="31" t="s">
        <v>109</v>
      </c>
    </row>
    <row r="8" spans="1:23" ht="15.75" customHeight="1">
      <c r="A8" s="24"/>
      <c r="B8" s="24"/>
      <c r="C8" s="6" t="s">
        <v>98</v>
      </c>
      <c r="D8" s="6"/>
      <c r="E8" s="6" t="s">
        <v>168</v>
      </c>
      <c r="F8" s="2"/>
      <c r="G8" s="9"/>
      <c r="H8" s="10"/>
      <c r="I8" s="10"/>
      <c r="J8" s="10"/>
      <c r="K8" s="10"/>
      <c r="L8" s="10"/>
      <c r="M8" s="4"/>
      <c r="N8" s="175" t="s">
        <v>105</v>
      </c>
      <c r="O8" s="175"/>
      <c r="P8" s="175"/>
      <c r="Q8" s="175"/>
      <c r="R8" s="175"/>
      <c r="T8" s="31" t="s">
        <v>106</v>
      </c>
      <c r="U8" s="31"/>
      <c r="V8" s="31" t="s">
        <v>110</v>
      </c>
    </row>
    <row r="9" spans="1:23">
      <c r="A9" s="4" t="s">
        <v>102</v>
      </c>
      <c r="B9" s="4"/>
      <c r="C9" s="6" t="s">
        <v>99</v>
      </c>
      <c r="D9" s="28"/>
      <c r="E9" s="6" t="s">
        <v>99</v>
      </c>
      <c r="F9" s="51"/>
      <c r="G9" s="9"/>
      <c r="H9" s="172" t="s">
        <v>104</v>
      </c>
      <c r="I9" s="173"/>
      <c r="J9" s="172"/>
      <c r="K9" s="173"/>
      <c r="L9" s="172"/>
      <c r="M9" s="4"/>
      <c r="N9" s="172" t="s">
        <v>448</v>
      </c>
      <c r="O9" s="173"/>
      <c r="P9" s="172"/>
      <c r="Q9" s="173"/>
      <c r="R9" s="172"/>
      <c r="T9" s="31" t="s">
        <v>107</v>
      </c>
      <c r="U9" s="31"/>
      <c r="V9" s="31" t="s">
        <v>111</v>
      </c>
    </row>
    <row r="10" spans="1:23">
      <c r="A10" s="12" t="s">
        <v>103</v>
      </c>
      <c r="B10" s="50"/>
      <c r="C10" s="12" t="s">
        <v>100</v>
      </c>
      <c r="D10" s="50"/>
      <c r="E10" s="12" t="s">
        <v>100</v>
      </c>
      <c r="F10" s="50"/>
      <c r="G10" s="12" t="s">
        <v>101</v>
      </c>
      <c r="H10" s="7" t="s">
        <v>0</v>
      </c>
      <c r="I10" s="27"/>
      <c r="J10" s="8" t="s">
        <v>1</v>
      </c>
      <c r="K10" s="28"/>
      <c r="L10" s="7" t="s">
        <v>2</v>
      </c>
      <c r="M10" s="4"/>
      <c r="N10" s="7" t="s">
        <v>0</v>
      </c>
      <c r="O10" s="27"/>
      <c r="P10" s="8" t="s">
        <v>1</v>
      </c>
      <c r="Q10" s="28"/>
      <c r="R10" s="7" t="s">
        <v>2</v>
      </c>
      <c r="T10" s="32" t="s">
        <v>108</v>
      </c>
      <c r="U10" s="31"/>
      <c r="V10" s="32" t="s">
        <v>112</v>
      </c>
    </row>
    <row r="11" spans="1:23">
      <c r="A11" s="2">
        <v>1</v>
      </c>
      <c r="B11" s="51"/>
      <c r="C11" s="2"/>
      <c r="D11" s="51"/>
      <c r="E11" s="2"/>
      <c r="F11" s="51"/>
      <c r="G11" s="25" t="s">
        <v>3</v>
      </c>
      <c r="H11" s="10">
        <v>32980840</v>
      </c>
      <c r="I11" s="20"/>
      <c r="J11" s="10">
        <v>773492974</v>
      </c>
      <c r="K11" s="20"/>
      <c r="L11" s="10">
        <v>44200339.315783523</v>
      </c>
      <c r="M11" s="4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2">
        <f>+A11+1</f>
        <v>2</v>
      </c>
      <c r="B12" s="2"/>
      <c r="D12" s="45"/>
      <c r="M12" s="4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s="66" customFormat="1">
      <c r="A13" s="2">
        <f t="shared" ref="A13:A76" si="0">+A12+1</f>
        <v>3</v>
      </c>
      <c r="B13" s="2"/>
      <c r="D13" s="45"/>
      <c r="E13" s="13" t="s">
        <v>399</v>
      </c>
      <c r="G13" s="4" t="s">
        <v>402</v>
      </c>
      <c r="M13" s="4"/>
      <c r="N13" s="11">
        <f>+'Sch 2 Juris Allocations'!H31</f>
        <v>1089857.6000000001</v>
      </c>
      <c r="O13" s="11"/>
      <c r="P13" s="11">
        <f>+'Sch 2 Juris Allocations'!J31</f>
        <v>-975702</v>
      </c>
      <c r="Q13" s="11"/>
      <c r="R13" s="11">
        <f>(-N13/NOIConvert)+(P13*ROR/NOIConvert)</f>
        <v>-1884200.8952667217</v>
      </c>
      <c r="S13" s="11"/>
      <c r="T13" s="11" t="s">
        <v>326</v>
      </c>
      <c r="U13" s="11"/>
      <c r="V13" s="11">
        <f>+R13</f>
        <v>-1884200.8952667217</v>
      </c>
      <c r="W13" s="11"/>
    </row>
    <row r="14" spans="1:23" s="66" customFormat="1">
      <c r="A14" s="2">
        <f t="shared" si="0"/>
        <v>4</v>
      </c>
      <c r="B14" s="2"/>
      <c r="D14" s="45"/>
      <c r="M14" s="4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5.75" customHeight="1">
      <c r="A15" s="2">
        <f t="shared" si="0"/>
        <v>5</v>
      </c>
      <c r="B15" s="2"/>
      <c r="C15" s="13">
        <v>3.1</v>
      </c>
      <c r="D15" s="13"/>
      <c r="E15" s="13"/>
      <c r="F15" s="13"/>
      <c r="G15" s="4" t="s">
        <v>4</v>
      </c>
      <c r="H15" s="11">
        <v>-434296.86950000026</v>
      </c>
      <c r="I15" s="11"/>
      <c r="J15" s="11">
        <v>0</v>
      </c>
      <c r="K15" s="11"/>
      <c r="L15" s="11">
        <v>701825.87466265948</v>
      </c>
      <c r="M15" s="14"/>
      <c r="N15" s="11"/>
      <c r="O15" s="11"/>
      <c r="P15" s="11"/>
      <c r="Q15" s="11"/>
      <c r="R15" s="11"/>
      <c r="S15" s="11"/>
      <c r="T15" s="11" t="s">
        <v>401</v>
      </c>
      <c r="U15" s="11"/>
      <c r="V15" s="11"/>
      <c r="W15" s="11"/>
    </row>
    <row r="16" spans="1:23">
      <c r="A16" s="2">
        <f t="shared" si="0"/>
        <v>6</v>
      </c>
      <c r="B16" s="2"/>
      <c r="C16" s="13">
        <v>3.2</v>
      </c>
      <c r="D16" s="13"/>
      <c r="E16" s="13"/>
      <c r="F16" s="13"/>
      <c r="G16" s="4" t="s">
        <v>5</v>
      </c>
      <c r="H16" s="11">
        <v>6191104.7543024216</v>
      </c>
      <c r="I16" s="11"/>
      <c r="J16" s="11">
        <v>0</v>
      </c>
      <c r="K16" s="11"/>
      <c r="L16" s="11">
        <v>-10004855.697714034</v>
      </c>
      <c r="M16" s="4"/>
      <c r="N16" s="11"/>
      <c r="O16" s="11"/>
      <c r="P16" s="11"/>
      <c r="Q16" s="11"/>
      <c r="R16" s="11"/>
      <c r="S16" s="11"/>
      <c r="T16" s="11" t="s">
        <v>401</v>
      </c>
      <c r="U16" s="11"/>
      <c r="V16" s="11"/>
      <c r="W16" s="11"/>
    </row>
    <row r="17" spans="1:28">
      <c r="A17" s="2">
        <f t="shared" si="0"/>
        <v>7</v>
      </c>
      <c r="B17" s="2"/>
      <c r="C17" s="13">
        <v>3.3</v>
      </c>
      <c r="D17" s="13"/>
      <c r="E17" s="13"/>
      <c r="F17" s="13"/>
      <c r="G17" s="4" t="s">
        <v>6</v>
      </c>
      <c r="H17" s="11">
        <v>2814575.2651975779</v>
      </c>
      <c r="I17" s="11"/>
      <c r="J17" s="11">
        <v>0</v>
      </c>
      <c r="K17" s="11"/>
      <c r="L17" s="11">
        <v>-4548367.4555963511</v>
      </c>
      <c r="M17" s="4"/>
      <c r="N17" s="11"/>
      <c r="O17" s="11"/>
      <c r="P17" s="11"/>
      <c r="Q17" s="11"/>
      <c r="R17" s="11"/>
      <c r="S17" s="11"/>
      <c r="T17" s="11" t="s">
        <v>401</v>
      </c>
      <c r="U17" s="11"/>
      <c r="V17" s="11"/>
      <c r="W17" s="11"/>
    </row>
    <row r="18" spans="1:28">
      <c r="A18" s="2">
        <f t="shared" si="0"/>
        <v>8</v>
      </c>
      <c r="B18" s="2"/>
      <c r="C18" s="13">
        <v>3.4</v>
      </c>
      <c r="D18" s="13"/>
      <c r="E18" s="13"/>
      <c r="F18" s="13"/>
      <c r="G18" s="4" t="s">
        <v>7</v>
      </c>
      <c r="H18" s="11">
        <v>530211.25876245415</v>
      </c>
      <c r="I18" s="11"/>
      <c r="J18" s="11">
        <v>-1067999.0645907591</v>
      </c>
      <c r="K18" s="11"/>
      <c r="L18" s="11">
        <v>-991443.55424206692</v>
      </c>
      <c r="M18" s="4"/>
      <c r="N18" s="11"/>
      <c r="O18" s="11"/>
      <c r="P18" s="11"/>
      <c r="Q18" s="11"/>
      <c r="R18" s="11"/>
      <c r="S18" s="11"/>
      <c r="T18" s="11" t="s">
        <v>401</v>
      </c>
      <c r="U18" s="11"/>
      <c r="V18" s="11"/>
      <c r="W18" s="11"/>
    </row>
    <row r="19" spans="1:28">
      <c r="A19" s="2">
        <f t="shared" si="0"/>
        <v>9</v>
      </c>
      <c r="B19" s="2"/>
      <c r="C19" s="13">
        <v>3.5</v>
      </c>
      <c r="D19" s="13"/>
      <c r="E19" s="13"/>
      <c r="F19" s="13"/>
      <c r="G19" s="4" t="s">
        <v>8</v>
      </c>
      <c r="H19" s="11">
        <v>-1375737.4634264987</v>
      </c>
      <c r="I19" s="11"/>
      <c r="J19" s="11">
        <v>0</v>
      </c>
      <c r="K19" s="11"/>
      <c r="L19" s="11">
        <v>2223198.4994206601</v>
      </c>
      <c r="M19" s="4"/>
      <c r="N19" s="11"/>
      <c r="O19" s="11"/>
      <c r="P19" s="11"/>
      <c r="Q19" s="11"/>
      <c r="R19" s="11"/>
      <c r="S19" s="11"/>
      <c r="T19" s="11" t="s">
        <v>401</v>
      </c>
      <c r="U19" s="11"/>
      <c r="V19" s="11"/>
      <c r="W19" s="11"/>
    </row>
    <row r="20" spans="1:28">
      <c r="A20" s="2">
        <f t="shared" si="0"/>
        <v>10</v>
      </c>
      <c r="B20" s="2"/>
      <c r="C20" s="13">
        <v>3.6</v>
      </c>
      <c r="D20" s="13"/>
      <c r="E20" s="13"/>
      <c r="F20" s="13"/>
      <c r="G20" s="4" t="s">
        <v>9</v>
      </c>
      <c r="H20" s="11">
        <v>-31593.336341292394</v>
      </c>
      <c r="I20" s="11"/>
      <c r="J20" s="11">
        <v>0</v>
      </c>
      <c r="K20" s="11"/>
      <c r="L20" s="11">
        <v>51054.986734688187</v>
      </c>
      <c r="M20" s="4"/>
      <c r="N20" s="11"/>
      <c r="O20" s="11"/>
      <c r="P20" s="11"/>
      <c r="Q20" s="11"/>
      <c r="R20" s="11"/>
      <c r="S20" s="11"/>
      <c r="T20" s="11" t="s">
        <v>401</v>
      </c>
      <c r="U20" s="11"/>
      <c r="V20" s="11"/>
      <c r="W20" s="11"/>
    </row>
    <row r="21" spans="1:28">
      <c r="A21" s="2">
        <f t="shared" si="0"/>
        <v>11</v>
      </c>
      <c r="B21" s="2"/>
      <c r="C21" s="13">
        <v>3.7</v>
      </c>
      <c r="D21" s="13"/>
      <c r="E21" s="13"/>
      <c r="F21" s="13"/>
      <c r="G21" s="4" t="s">
        <v>10</v>
      </c>
      <c r="H21" s="15">
        <v>326903.58930358192</v>
      </c>
      <c r="I21" s="15"/>
      <c r="J21" s="15">
        <v>0</v>
      </c>
      <c r="K21" s="15"/>
      <c r="L21" s="15">
        <v>-528277.80627911945</v>
      </c>
      <c r="M21" s="4"/>
      <c r="N21" s="11"/>
      <c r="O21" s="11"/>
      <c r="P21" s="11"/>
      <c r="Q21" s="11"/>
      <c r="R21" s="11"/>
      <c r="S21" s="11"/>
      <c r="T21" s="11" t="s">
        <v>401</v>
      </c>
      <c r="U21" s="11"/>
      <c r="V21" s="11"/>
      <c r="W21" s="11"/>
    </row>
    <row r="22" spans="1:28">
      <c r="A22" s="2">
        <f t="shared" si="0"/>
        <v>12</v>
      </c>
      <c r="B22" s="2"/>
      <c r="C22" s="16" t="s">
        <v>11</v>
      </c>
      <c r="D22" s="16"/>
      <c r="E22" s="16"/>
      <c r="F22" s="16"/>
      <c r="G22" s="4" t="s">
        <v>12</v>
      </c>
      <c r="H22" s="15">
        <v>55152.5</v>
      </c>
      <c r="I22" s="15"/>
      <c r="J22" s="15">
        <v>0</v>
      </c>
      <c r="K22" s="15"/>
      <c r="L22" s="15">
        <v>-89126.710945201281</v>
      </c>
      <c r="M22" s="4"/>
      <c r="N22" s="11"/>
      <c r="O22" s="11"/>
      <c r="P22" s="11"/>
      <c r="Q22" s="11"/>
      <c r="R22" s="11"/>
      <c r="S22" s="11"/>
      <c r="T22" s="11" t="s">
        <v>423</v>
      </c>
      <c r="U22" s="11"/>
      <c r="V22" s="11">
        <f>+R22-L22</f>
        <v>89126.710945201281</v>
      </c>
      <c r="W22" s="11"/>
    </row>
    <row r="23" spans="1:28" s="66" customFormat="1">
      <c r="A23" s="2">
        <f t="shared" si="0"/>
        <v>13</v>
      </c>
      <c r="B23" s="2"/>
      <c r="C23" s="16"/>
      <c r="D23" s="16"/>
      <c r="E23" s="13" t="s">
        <v>398</v>
      </c>
      <c r="F23" s="16"/>
      <c r="G23" s="4" t="s">
        <v>400</v>
      </c>
      <c r="H23" s="15"/>
      <c r="I23" s="15"/>
      <c r="J23" s="15"/>
      <c r="K23" s="15"/>
      <c r="L23" s="15"/>
      <c r="M23" s="4"/>
      <c r="N23" s="11">
        <f>+'YE Revenues'!H39</f>
        <v>-1054031.0836998217</v>
      </c>
      <c r="O23" s="11"/>
      <c r="P23" s="11"/>
      <c r="Q23" s="11"/>
      <c r="R23" s="11">
        <f>(-N23/NOIConvert)+(P23*ROR/NOIConvert)</f>
        <v>1703319.4093499165</v>
      </c>
      <c r="S23" s="11"/>
      <c r="T23" s="11" t="s">
        <v>332</v>
      </c>
      <c r="U23" s="11"/>
      <c r="V23" s="11">
        <f>+R23</f>
        <v>1703319.4093499165</v>
      </c>
      <c r="W23" s="11"/>
    </row>
    <row r="24" spans="1:28">
      <c r="A24" s="2">
        <f t="shared" si="0"/>
        <v>14</v>
      </c>
      <c r="B24" s="2"/>
      <c r="C24" s="13"/>
      <c r="D24" s="13"/>
      <c r="E24" s="13"/>
      <c r="F24" s="13"/>
      <c r="G24" s="9" t="s">
        <v>13</v>
      </c>
      <c r="H24" s="10">
        <f>SUM(H15:H22)</f>
        <v>8076319.6982982438</v>
      </c>
      <c r="I24" s="10"/>
      <c r="J24" s="10">
        <f t="shared" ref="J24:L24" si="1">SUM(J15:J22)</f>
        <v>-1067999.0645907591</v>
      </c>
      <c r="K24" s="10"/>
      <c r="L24" s="10">
        <f t="shared" si="1"/>
        <v>-13185991.863958765</v>
      </c>
      <c r="M24" s="18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8">
      <c r="A25" s="2">
        <f t="shared" si="0"/>
        <v>15</v>
      </c>
      <c r="B25" s="2"/>
      <c r="C25" s="13">
        <v>4.0999999999999996</v>
      </c>
      <c r="D25" s="13"/>
      <c r="E25" s="13"/>
      <c r="F25" s="13"/>
      <c r="G25" s="4" t="s">
        <v>14</v>
      </c>
      <c r="H25" s="11">
        <v>11483.558695397651</v>
      </c>
      <c r="I25" s="11"/>
      <c r="J25" s="11">
        <v>0</v>
      </c>
      <c r="K25" s="11"/>
      <c r="L25" s="11">
        <v>-18557.487266523895</v>
      </c>
      <c r="M25" s="4"/>
      <c r="N25" s="11"/>
      <c r="O25" s="11"/>
      <c r="P25" s="11"/>
      <c r="Q25" s="11"/>
      <c r="R25" s="11"/>
      <c r="S25" s="11"/>
      <c r="T25" s="11" t="s">
        <v>401</v>
      </c>
      <c r="U25" s="11"/>
      <c r="V25" s="11"/>
      <c r="W25" s="11"/>
    </row>
    <row r="26" spans="1:28">
      <c r="A26" s="2">
        <f t="shared" si="0"/>
        <v>16</v>
      </c>
      <c r="B26" s="2"/>
      <c r="C26" s="13">
        <v>4.2</v>
      </c>
      <c r="D26" s="13"/>
      <c r="E26" s="13"/>
      <c r="F26" s="13"/>
      <c r="G26" s="4" t="s">
        <v>15</v>
      </c>
      <c r="H26" s="11">
        <v>-54726.968835648557</v>
      </c>
      <c r="I26" s="11"/>
      <c r="J26" s="11">
        <v>0</v>
      </c>
      <c r="K26" s="11"/>
      <c r="L26" s="11">
        <v>88439.050493121569</v>
      </c>
      <c r="M26" s="4"/>
      <c r="N26" s="11"/>
      <c r="O26" s="11"/>
      <c r="P26" s="11"/>
      <c r="Q26" s="11"/>
      <c r="R26" s="11"/>
      <c r="S26" s="11"/>
      <c r="T26" s="11" t="s">
        <v>401</v>
      </c>
      <c r="U26" s="11"/>
      <c r="V26" s="11"/>
      <c r="W26" s="11"/>
    </row>
    <row r="27" spans="1:28">
      <c r="A27" s="2">
        <f t="shared" si="0"/>
        <v>17</v>
      </c>
      <c r="B27" s="2"/>
      <c r="C27" s="13">
        <v>4.3</v>
      </c>
      <c r="D27" s="13"/>
      <c r="E27" s="13"/>
      <c r="F27" s="13"/>
      <c r="G27" s="4" t="s">
        <v>16</v>
      </c>
      <c r="H27" s="11">
        <v>-161389.68252097274</v>
      </c>
      <c r="I27" s="11"/>
      <c r="J27" s="11">
        <v>0</v>
      </c>
      <c r="K27" s="11"/>
      <c r="L27" s="11">
        <v>260806.51980571216</v>
      </c>
      <c r="M27" s="4"/>
      <c r="N27" s="11"/>
      <c r="O27" s="11"/>
      <c r="P27" s="11"/>
      <c r="Q27" s="11"/>
      <c r="R27" s="11"/>
      <c r="S27" s="11"/>
      <c r="T27" s="11" t="s">
        <v>401</v>
      </c>
      <c r="U27" s="11"/>
      <c r="V27" s="11"/>
      <c r="W27" s="11"/>
    </row>
    <row r="28" spans="1:28">
      <c r="A28" s="2">
        <f t="shared" si="0"/>
        <v>18</v>
      </c>
      <c r="B28" s="2"/>
      <c r="C28" s="13">
        <v>4.4000000000000004</v>
      </c>
      <c r="D28" s="13"/>
      <c r="E28" s="13"/>
      <c r="F28" s="13"/>
      <c r="G28" s="4" t="s">
        <v>17</v>
      </c>
      <c r="H28" s="11">
        <v>155201.20809896116</v>
      </c>
      <c r="I28" s="11"/>
      <c r="J28" s="11">
        <v>0</v>
      </c>
      <c r="K28" s="11"/>
      <c r="L28" s="11">
        <v>-250805.91473790206</v>
      </c>
      <c r="M28" s="4"/>
      <c r="N28" s="11"/>
      <c r="O28" s="11"/>
      <c r="P28" s="11"/>
      <c r="Q28" s="11"/>
      <c r="R28" s="11"/>
      <c r="S28" s="11"/>
      <c r="T28" s="11" t="s">
        <v>401</v>
      </c>
      <c r="U28" s="11"/>
      <c r="V28" s="11"/>
      <c r="W28" s="11"/>
    </row>
    <row r="29" spans="1:28">
      <c r="A29" s="2">
        <f t="shared" si="0"/>
        <v>19</v>
      </c>
      <c r="B29" s="2"/>
      <c r="C29" s="13">
        <v>4.5</v>
      </c>
      <c r="D29" s="13"/>
      <c r="E29" s="13"/>
      <c r="F29" s="13"/>
      <c r="G29" s="4" t="s">
        <v>18</v>
      </c>
      <c r="H29" s="11">
        <v>-874645.26766506559</v>
      </c>
      <c r="I29" s="11"/>
      <c r="J29" s="11">
        <v>0</v>
      </c>
      <c r="K29" s="11"/>
      <c r="L29" s="11">
        <v>1413431.0493771362</v>
      </c>
      <c r="M29" s="4"/>
      <c r="N29" s="11"/>
      <c r="O29" s="11"/>
      <c r="P29" s="11"/>
      <c r="Q29" s="11"/>
      <c r="R29" s="11"/>
      <c r="S29" s="11"/>
      <c r="T29" s="11" t="s">
        <v>401</v>
      </c>
      <c r="U29" s="11"/>
      <c r="V29" s="11"/>
      <c r="W29" s="11"/>
    </row>
    <row r="30" spans="1:28">
      <c r="A30" s="2">
        <f t="shared" si="0"/>
        <v>20</v>
      </c>
      <c r="B30" s="2"/>
      <c r="C30" s="13">
        <v>4.5999999999999996</v>
      </c>
      <c r="D30" s="13"/>
      <c r="E30" s="13"/>
      <c r="F30" s="13"/>
      <c r="G30" s="4" t="s">
        <v>19</v>
      </c>
      <c r="H30" s="11">
        <v>-661675.93050000002</v>
      </c>
      <c r="I30" s="11"/>
      <c r="J30" s="11">
        <v>-563393.75</v>
      </c>
      <c r="K30" s="11"/>
      <c r="L30" s="11">
        <v>998256.68298831629</v>
      </c>
      <c r="M30" s="4"/>
      <c r="N30" s="11"/>
      <c r="O30" s="11"/>
      <c r="P30" s="11"/>
      <c r="Q30" s="11"/>
      <c r="R30" s="11"/>
      <c r="S30" s="11"/>
      <c r="T30" s="11" t="s">
        <v>401</v>
      </c>
      <c r="U30" s="11"/>
      <c r="V30" s="11"/>
      <c r="W30" s="11"/>
    </row>
    <row r="31" spans="1:28">
      <c r="A31" s="2">
        <f t="shared" si="0"/>
        <v>21</v>
      </c>
      <c r="B31" s="2"/>
      <c r="C31" s="13">
        <v>4.7</v>
      </c>
      <c r="D31" s="13"/>
      <c r="E31" s="13"/>
      <c r="F31" s="13"/>
      <c r="G31" s="4" t="s">
        <v>20</v>
      </c>
      <c r="H31" s="11">
        <v>3101878.8907364933</v>
      </c>
      <c r="I31" s="11"/>
      <c r="J31" s="11">
        <v>0</v>
      </c>
      <c r="K31" s="11"/>
      <c r="L31" s="11">
        <v>-5012651.5258908123</v>
      </c>
      <c r="M31" s="4"/>
      <c r="N31" s="11"/>
      <c r="O31" s="11"/>
      <c r="P31" s="11"/>
      <c r="Q31" s="11"/>
      <c r="R31" s="11"/>
      <c r="S31" s="11"/>
      <c r="T31" s="11" t="s">
        <v>401</v>
      </c>
      <c r="U31" s="11"/>
      <c r="V31" s="11"/>
      <c r="W31" s="11"/>
    </row>
    <row r="32" spans="1:28">
      <c r="A32" s="2">
        <f t="shared" si="0"/>
        <v>22</v>
      </c>
      <c r="B32" s="2"/>
      <c r="C32" s="13">
        <v>4.8</v>
      </c>
      <c r="D32" s="13"/>
      <c r="E32" s="13" t="s">
        <v>404</v>
      </c>
      <c r="F32" s="13"/>
      <c r="G32" s="4" t="s">
        <v>21</v>
      </c>
      <c r="H32" s="11">
        <v>-264192.31498024921</v>
      </c>
      <c r="I32" s="11"/>
      <c r="J32" s="11">
        <v>0</v>
      </c>
      <c r="K32" s="11"/>
      <c r="L32" s="11">
        <v>426936.07889376261</v>
      </c>
      <c r="M32" s="4"/>
      <c r="N32" s="11">
        <f>+'Insur Exp'!H57</f>
        <v>-98627.950000000012</v>
      </c>
      <c r="O32" s="11"/>
      <c r="P32" s="11"/>
      <c r="Q32" s="11"/>
      <c r="R32" s="11">
        <f>(-N32/NOIConvert)+(P32*ROR/NOIConvert)</f>
        <v>159383.25172508528</v>
      </c>
      <c r="S32" s="11"/>
      <c r="T32" s="11" t="s">
        <v>326</v>
      </c>
      <c r="U32" s="11"/>
      <c r="V32" s="11">
        <f>+R32-L32</f>
        <v>-267552.82716867735</v>
      </c>
      <c r="W32" s="11"/>
      <c r="AB32" s="67"/>
    </row>
    <row r="33" spans="1:28">
      <c r="A33" s="2">
        <f t="shared" si="0"/>
        <v>23</v>
      </c>
      <c r="B33" s="2"/>
      <c r="C33" s="13">
        <v>4.9000000000000004</v>
      </c>
      <c r="D33" s="13"/>
      <c r="E33" s="13"/>
      <c r="F33" s="13"/>
      <c r="G33" s="4" t="s">
        <v>22</v>
      </c>
      <c r="H33" s="11">
        <v>-6076.3455283545763</v>
      </c>
      <c r="I33" s="11"/>
      <c r="J33" s="11">
        <v>0</v>
      </c>
      <c r="K33" s="11"/>
      <c r="L33" s="11">
        <v>9819.4042248098394</v>
      </c>
      <c r="M33" s="4"/>
      <c r="N33" s="11"/>
      <c r="O33" s="11"/>
      <c r="P33" s="11"/>
      <c r="Q33" s="11"/>
      <c r="R33" s="11"/>
      <c r="S33" s="11"/>
      <c r="T33" s="11" t="s">
        <v>401</v>
      </c>
      <c r="U33" s="11"/>
      <c r="V33" s="11"/>
      <c r="W33" s="11"/>
      <c r="AB33" s="67"/>
    </row>
    <row r="34" spans="1:28">
      <c r="A34" s="2">
        <f t="shared" si="0"/>
        <v>24</v>
      </c>
      <c r="B34" s="2"/>
      <c r="C34" s="19">
        <v>4.0999999999999996</v>
      </c>
      <c r="D34" s="19"/>
      <c r="E34" s="19"/>
      <c r="F34" s="19"/>
      <c r="G34" s="4" t="s">
        <v>23</v>
      </c>
      <c r="H34" s="11">
        <v>-1075.004409347132</v>
      </c>
      <c r="I34" s="11"/>
      <c r="J34" s="11">
        <v>0</v>
      </c>
      <c r="K34" s="11"/>
      <c r="L34" s="11">
        <v>1737.2124066306815</v>
      </c>
      <c r="M34" s="4"/>
      <c r="N34" s="11"/>
      <c r="O34" s="11"/>
      <c r="P34" s="11"/>
      <c r="Q34" s="11"/>
      <c r="R34" s="11"/>
      <c r="S34" s="11"/>
      <c r="T34" s="11" t="s">
        <v>401</v>
      </c>
      <c r="U34" s="11"/>
      <c r="V34" s="11"/>
      <c r="W34" s="11"/>
      <c r="AB34" s="67"/>
    </row>
    <row r="35" spans="1:28">
      <c r="A35" s="2">
        <f t="shared" si="0"/>
        <v>25</v>
      </c>
      <c r="B35" s="2"/>
      <c r="C35" s="13">
        <v>4.1100000000000003</v>
      </c>
      <c r="D35" s="13"/>
      <c r="E35" s="13"/>
      <c r="F35" s="13"/>
      <c r="G35" s="4" t="s">
        <v>24</v>
      </c>
      <c r="H35" s="11">
        <v>633.02579887632328</v>
      </c>
      <c r="I35" s="11"/>
      <c r="J35" s="11">
        <v>0</v>
      </c>
      <c r="K35" s="11"/>
      <c r="L35" s="11">
        <v>-1022.972800821453</v>
      </c>
      <c r="M35" s="4"/>
      <c r="N35" s="11"/>
      <c r="O35" s="11"/>
      <c r="P35" s="11"/>
      <c r="Q35" s="11"/>
      <c r="R35" s="11"/>
      <c r="S35" s="11"/>
      <c r="T35" s="11" t="s">
        <v>401</v>
      </c>
      <c r="U35" s="11"/>
      <c r="V35" s="11"/>
      <c r="W35" s="11"/>
      <c r="AB35" s="67"/>
    </row>
    <row r="36" spans="1:28">
      <c r="A36" s="2">
        <f t="shared" si="0"/>
        <v>26</v>
      </c>
      <c r="B36" s="2"/>
      <c r="C36" s="13">
        <v>4.12</v>
      </c>
      <c r="D36" s="13"/>
      <c r="E36" s="13" t="s">
        <v>405</v>
      </c>
      <c r="F36" s="13"/>
      <c r="G36" s="4" t="s">
        <v>25</v>
      </c>
      <c r="H36" s="11">
        <v>-88425.592403702758</v>
      </c>
      <c r="I36" s="11"/>
      <c r="J36" s="11">
        <v>0</v>
      </c>
      <c r="K36" s="11"/>
      <c r="L36" s="11">
        <v>142896.19172880653</v>
      </c>
      <c r="M36" s="4"/>
      <c r="N36" s="11">
        <f>-'Bad Debts'!H23</f>
        <v>109344</v>
      </c>
      <c r="O36" s="11"/>
      <c r="P36" s="11"/>
      <c r="Q36" s="11"/>
      <c r="R36" s="11">
        <f>(-N36/NOIConvert)+(P36*ROR/NOIConvert)</f>
        <v>-176700.44116934115</v>
      </c>
      <c r="S36" s="11"/>
      <c r="T36" s="11" t="s">
        <v>326</v>
      </c>
      <c r="U36" s="11"/>
      <c r="V36" s="11">
        <f>+R36-L36</f>
        <v>-319596.63289814768</v>
      </c>
      <c r="W36" s="11"/>
      <c r="AB36" s="67"/>
    </row>
    <row r="37" spans="1:28">
      <c r="A37" s="2">
        <f t="shared" si="0"/>
        <v>27</v>
      </c>
      <c r="B37" s="2"/>
      <c r="C37" s="16" t="s">
        <v>26</v>
      </c>
      <c r="D37" s="16"/>
      <c r="E37" s="16"/>
      <c r="F37" s="16"/>
      <c r="G37" s="4" t="s">
        <v>27</v>
      </c>
      <c r="H37" s="11">
        <v>-48551.451589838391</v>
      </c>
      <c r="I37" s="11"/>
      <c r="J37" s="11">
        <v>0</v>
      </c>
      <c r="K37" s="11"/>
      <c r="L37" s="11">
        <v>78459.38428570707</v>
      </c>
      <c r="M37" s="4"/>
      <c r="N37" s="11"/>
      <c r="O37" s="11"/>
      <c r="P37" s="11"/>
      <c r="Q37" s="11"/>
      <c r="R37" s="11"/>
      <c r="S37" s="11"/>
      <c r="T37" s="11" t="s">
        <v>401</v>
      </c>
      <c r="U37" s="11"/>
      <c r="V37" s="11"/>
      <c r="W37" s="11"/>
      <c r="AB37" s="67"/>
    </row>
    <row r="38" spans="1:28">
      <c r="A38" s="2">
        <f t="shared" si="0"/>
        <v>28</v>
      </c>
      <c r="B38" s="2"/>
      <c r="C38" s="16" t="s">
        <v>28</v>
      </c>
      <c r="D38" s="16"/>
      <c r="E38" s="16"/>
      <c r="F38" s="16"/>
      <c r="G38" s="4" t="s">
        <v>29</v>
      </c>
      <c r="H38" s="15">
        <v>138837.13332399289</v>
      </c>
      <c r="I38" s="15"/>
      <c r="J38" s="15">
        <v>0</v>
      </c>
      <c r="K38" s="15"/>
      <c r="L38" s="15">
        <v>-224361.48951050063</v>
      </c>
      <c r="M38" s="4"/>
      <c r="N38" s="11"/>
      <c r="O38" s="11"/>
      <c r="P38" s="11"/>
      <c r="Q38" s="11"/>
      <c r="R38" s="11"/>
      <c r="S38" s="11"/>
      <c r="T38" s="11" t="s">
        <v>401</v>
      </c>
      <c r="U38" s="11"/>
      <c r="V38" s="11"/>
      <c r="W38" s="11"/>
      <c r="AB38" s="67"/>
    </row>
    <row r="39" spans="1:28">
      <c r="A39" s="2">
        <f t="shared" si="0"/>
        <v>29</v>
      </c>
      <c r="B39" s="2"/>
      <c r="C39" s="16" t="s">
        <v>30</v>
      </c>
      <c r="D39" s="16"/>
      <c r="E39" s="13" t="s">
        <v>406</v>
      </c>
      <c r="F39" s="16"/>
      <c r="G39" s="4" t="s">
        <v>31</v>
      </c>
      <c r="H39" s="15">
        <v>513038.87954820151</v>
      </c>
      <c r="I39" s="15"/>
      <c r="J39" s="15">
        <v>0</v>
      </c>
      <c r="K39" s="15"/>
      <c r="L39" s="15">
        <v>-829073.34973287687</v>
      </c>
      <c r="M39" s="4"/>
      <c r="N39" s="11">
        <f>+'O&amp;M Efficiency'!H30</f>
        <v>679776.5</v>
      </c>
      <c r="O39" s="11"/>
      <c r="P39" s="11"/>
      <c r="Q39" s="11"/>
      <c r="R39" s="11">
        <f>(-N39/NOIConvert)+(P39*ROR/NOIConvert)</f>
        <v>-1098522.163507377</v>
      </c>
      <c r="S39" s="11"/>
      <c r="T39" s="11" t="s">
        <v>326</v>
      </c>
      <c r="U39" s="11"/>
      <c r="V39" s="11">
        <f t="shared" ref="V39:V40" si="2">+R39-L39</f>
        <v>-269448.81377450016</v>
      </c>
      <c r="W39" s="11"/>
      <c r="AB39" s="67"/>
    </row>
    <row r="40" spans="1:28">
      <c r="A40" s="2">
        <f t="shared" si="0"/>
        <v>30</v>
      </c>
      <c r="B40" s="2"/>
      <c r="C40" s="16"/>
      <c r="D40" s="16"/>
      <c r="E40" s="13" t="s">
        <v>169</v>
      </c>
      <c r="F40" s="16"/>
      <c r="G40" s="4" t="s">
        <v>170</v>
      </c>
      <c r="H40" s="15"/>
      <c r="I40" s="15"/>
      <c r="J40" s="15"/>
      <c r="K40" s="15"/>
      <c r="L40" s="15"/>
      <c r="M40" s="4"/>
      <c r="N40" s="11">
        <f>+'Exec Comp'!H25</f>
        <v>42301.350000000006</v>
      </c>
      <c r="O40" s="11"/>
      <c r="P40" s="11"/>
      <c r="Q40" s="11"/>
      <c r="R40" s="11">
        <f>(-N40/NOIConvert)+(P40*ROR/NOIConvert)</f>
        <v>-68359.189411935818</v>
      </c>
      <c r="S40" s="11"/>
      <c r="T40" s="11" t="s">
        <v>332</v>
      </c>
      <c r="U40" s="11"/>
      <c r="V40" s="11">
        <f t="shared" si="2"/>
        <v>-68359.189411935818</v>
      </c>
      <c r="W40" s="11"/>
      <c r="AB40" s="67"/>
    </row>
    <row r="41" spans="1:28">
      <c r="A41" s="2">
        <f t="shared" si="0"/>
        <v>31</v>
      </c>
      <c r="B41" s="2"/>
      <c r="C41" s="16"/>
      <c r="D41" s="16"/>
      <c r="E41" s="13" t="s">
        <v>330</v>
      </c>
      <c r="F41" s="16"/>
      <c r="G41" s="4" t="s">
        <v>331</v>
      </c>
      <c r="H41" s="15"/>
      <c r="I41" s="15"/>
      <c r="J41" s="15"/>
      <c r="K41" s="15"/>
      <c r="L41" s="15"/>
      <c r="M41" s="4"/>
      <c r="N41" s="11">
        <f>+'MEHC Officers'!H26</f>
        <v>85470.450000000012</v>
      </c>
      <c r="O41" s="11"/>
      <c r="P41" s="11"/>
      <c r="Q41" s="11"/>
      <c r="R41" s="11">
        <f>(-N41/NOIConvert)+(P41*ROR/NOIConvert)</f>
        <v>-138120.66708682798</v>
      </c>
      <c r="S41" s="11"/>
      <c r="T41" s="11" t="s">
        <v>332</v>
      </c>
      <c r="U41" s="11"/>
      <c r="V41" s="11">
        <f t="shared" ref="V41" si="3">+R41-L41</f>
        <v>-138120.66708682798</v>
      </c>
      <c r="W41" s="11"/>
      <c r="AB41" s="67"/>
    </row>
    <row r="42" spans="1:28">
      <c r="A42" s="2">
        <f t="shared" si="0"/>
        <v>32</v>
      </c>
      <c r="B42" s="2"/>
      <c r="C42" s="13"/>
      <c r="D42" s="13"/>
      <c r="E42" s="13"/>
      <c r="F42" s="13"/>
      <c r="G42" s="9" t="s">
        <v>32</v>
      </c>
      <c r="H42" s="20">
        <f>SUM(H25:H39)</f>
        <v>1760314.137768744</v>
      </c>
      <c r="I42" s="20"/>
      <c r="J42" s="20">
        <f t="shared" ref="J42:L42" si="4">SUM(J25:J39)</f>
        <v>-563393.75</v>
      </c>
      <c r="K42" s="20"/>
      <c r="L42" s="20">
        <f t="shared" si="4"/>
        <v>-2915691.1657354347</v>
      </c>
      <c r="M42" s="18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8">
      <c r="A43" s="2">
        <f t="shared" si="0"/>
        <v>33</v>
      </c>
      <c r="B43" s="2"/>
      <c r="C43" s="13">
        <v>5.0999999999999996</v>
      </c>
      <c r="D43" s="13"/>
      <c r="E43" s="13"/>
      <c r="F43" s="13"/>
      <c r="G43" s="4" t="s">
        <v>33</v>
      </c>
      <c r="H43" s="11">
        <v>3206604.9770048521</v>
      </c>
      <c r="I43" s="11"/>
      <c r="J43" s="11">
        <v>0</v>
      </c>
      <c r="K43" s="11"/>
      <c r="L43" s="11">
        <v>-5181889.3957836041</v>
      </c>
      <c r="M43" s="4"/>
      <c r="N43" s="11"/>
      <c r="O43" s="11"/>
      <c r="P43" s="11"/>
      <c r="Q43" s="11"/>
      <c r="R43" s="11"/>
      <c r="S43" s="11"/>
      <c r="T43" s="11" t="s">
        <v>401</v>
      </c>
      <c r="U43" s="11"/>
      <c r="V43" s="11"/>
      <c r="W43" s="11"/>
    </row>
    <row r="44" spans="1:28">
      <c r="A44" s="2">
        <f t="shared" si="0"/>
        <v>34</v>
      </c>
      <c r="B44" s="2"/>
      <c r="C44" s="2" t="s">
        <v>34</v>
      </c>
      <c r="D44" s="2"/>
      <c r="E44" s="2" t="s">
        <v>414</v>
      </c>
      <c r="F44" s="2"/>
      <c r="G44" s="4" t="s">
        <v>35</v>
      </c>
      <c r="H44" s="11">
        <v>1842319.3132267445</v>
      </c>
      <c r="I44" s="11"/>
      <c r="J44" s="11">
        <v>0</v>
      </c>
      <c r="K44" s="11"/>
      <c r="L44" s="11">
        <v>-2977197.0608534841</v>
      </c>
      <c r="M44" s="4"/>
      <c r="N44" s="11">
        <f>+NPC!H39</f>
        <v>13249555.15</v>
      </c>
      <c r="O44" s="11"/>
      <c r="P44" s="11"/>
      <c r="Q44" s="11"/>
      <c r="R44" s="11">
        <f>(-N44/NOIConvert)+(P44*ROR/NOIConvert)</f>
        <v>-21411346.212892488</v>
      </c>
      <c r="S44" s="11"/>
      <c r="T44" s="11" t="s">
        <v>326</v>
      </c>
      <c r="U44" s="11"/>
      <c r="V44" s="11">
        <f>+R44-L44</f>
        <v>-18434149.152039003</v>
      </c>
      <c r="W44" s="11"/>
    </row>
    <row r="45" spans="1:28">
      <c r="A45" s="2">
        <f t="shared" si="0"/>
        <v>35</v>
      </c>
      <c r="B45" s="2"/>
      <c r="C45" s="13">
        <v>5.2</v>
      </c>
      <c r="D45" s="13"/>
      <c r="E45" s="13"/>
      <c r="F45" s="13"/>
      <c r="G45" s="4" t="s">
        <v>36</v>
      </c>
      <c r="H45" s="11">
        <v>632822.99215741898</v>
      </c>
      <c r="I45" s="11"/>
      <c r="J45" s="11">
        <v>0</v>
      </c>
      <c r="K45" s="11"/>
      <c r="L45" s="11">
        <v>-1022645.0641673842</v>
      </c>
      <c r="M45" s="4"/>
      <c r="N45" s="11"/>
      <c r="O45" s="11"/>
      <c r="P45" s="11"/>
      <c r="Q45" s="11"/>
      <c r="R45" s="11"/>
      <c r="S45" s="11"/>
      <c r="T45" s="11" t="s">
        <v>401</v>
      </c>
      <c r="U45" s="11"/>
      <c r="V45" s="11"/>
      <c r="W45" s="11"/>
    </row>
    <row r="46" spans="1:28">
      <c r="A46" s="2">
        <f t="shared" si="0"/>
        <v>36</v>
      </c>
      <c r="B46" s="2"/>
      <c r="C46" s="13">
        <v>5.3</v>
      </c>
      <c r="D46" s="13"/>
      <c r="E46" s="13"/>
      <c r="F46" s="13"/>
      <c r="G46" s="4" t="s">
        <v>37</v>
      </c>
      <c r="H46" s="11">
        <v>-4796915.1035000011</v>
      </c>
      <c r="I46" s="11"/>
      <c r="J46" s="11">
        <v>0</v>
      </c>
      <c r="K46" s="11"/>
      <c r="L46" s="11">
        <v>7751838.372844656</v>
      </c>
      <c r="M46" s="4"/>
      <c r="N46" s="11"/>
      <c r="O46" s="11"/>
      <c r="P46" s="11"/>
      <c r="Q46" s="11"/>
      <c r="R46" s="11"/>
      <c r="S46" s="11"/>
      <c r="T46" s="11" t="s">
        <v>401</v>
      </c>
      <c r="U46" s="11"/>
      <c r="V46" s="11"/>
      <c r="W46" s="11"/>
    </row>
    <row r="47" spans="1:28">
      <c r="A47" s="2">
        <f t="shared" si="0"/>
        <v>37</v>
      </c>
      <c r="B47" s="2"/>
      <c r="C47" s="13">
        <v>5.4</v>
      </c>
      <c r="D47" s="13"/>
      <c r="E47" s="13"/>
      <c r="F47" s="13"/>
      <c r="G47" s="4" t="s">
        <v>38</v>
      </c>
      <c r="H47" s="17">
        <v>473941.80599397677</v>
      </c>
      <c r="I47" s="17"/>
      <c r="J47" s="17">
        <v>-8328881.9653628021</v>
      </c>
      <c r="K47" s="17"/>
      <c r="L47" s="17">
        <v>-1815734.3922888699</v>
      </c>
      <c r="M47" s="4"/>
      <c r="N47" s="11"/>
      <c r="O47" s="11"/>
      <c r="P47" s="11"/>
      <c r="Q47" s="11"/>
      <c r="R47" s="11"/>
      <c r="S47" s="11"/>
      <c r="T47" s="11" t="s">
        <v>401</v>
      </c>
      <c r="U47" s="11"/>
      <c r="V47" s="11"/>
      <c r="W47" s="11"/>
    </row>
    <row r="48" spans="1:28">
      <c r="A48" s="2">
        <f t="shared" si="0"/>
        <v>38</v>
      </c>
      <c r="B48" s="2"/>
      <c r="C48" s="13"/>
      <c r="D48" s="13"/>
      <c r="E48" s="13"/>
      <c r="F48" s="13"/>
      <c r="G48" s="9" t="s">
        <v>39</v>
      </c>
      <c r="H48" s="10">
        <f>SUM(H43:H47)</f>
        <v>1358773.9848829915</v>
      </c>
      <c r="I48" s="10"/>
      <c r="J48" s="10">
        <v>-8328881.9653628021</v>
      </c>
      <c r="K48" s="10"/>
      <c r="L48" s="10">
        <v>-8328881.9653628021</v>
      </c>
      <c r="M48" s="18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23">
      <c r="A49" s="2">
        <f t="shared" si="0"/>
        <v>39</v>
      </c>
      <c r="B49" s="2"/>
      <c r="C49" s="16" t="s">
        <v>40</v>
      </c>
      <c r="D49" s="16"/>
      <c r="E49" s="16"/>
      <c r="F49" s="16"/>
      <c r="G49" s="4" t="s">
        <v>41</v>
      </c>
      <c r="H49" s="15">
        <v>-50951.710399896256</v>
      </c>
      <c r="I49" s="15"/>
      <c r="J49" s="15">
        <v>95198.053584107896</v>
      </c>
      <c r="K49" s="15"/>
      <c r="L49" s="15">
        <v>94337.775051238146</v>
      </c>
      <c r="M49" s="4"/>
      <c r="N49" s="11"/>
      <c r="O49" s="11"/>
      <c r="P49" s="11"/>
      <c r="Q49" s="11"/>
      <c r="R49" s="11"/>
      <c r="S49" s="11"/>
      <c r="T49" s="11" t="s">
        <v>401</v>
      </c>
      <c r="U49" s="11"/>
      <c r="V49" s="11"/>
      <c r="W49" s="11"/>
    </row>
    <row r="50" spans="1:23">
      <c r="A50" s="2">
        <f t="shared" si="0"/>
        <v>40</v>
      </c>
      <c r="B50" s="2"/>
      <c r="C50" s="16" t="s">
        <v>42</v>
      </c>
      <c r="D50" s="16"/>
      <c r="E50" s="16"/>
      <c r="F50" s="16"/>
      <c r="G50" s="4" t="s">
        <v>403</v>
      </c>
      <c r="H50" s="15">
        <v>0</v>
      </c>
      <c r="I50" s="15"/>
      <c r="J50" s="15">
        <v>-12988907.103775986</v>
      </c>
      <c r="K50" s="15"/>
      <c r="L50" s="15">
        <v>-1637230.7397982045</v>
      </c>
      <c r="M50" s="4"/>
      <c r="N50" s="11"/>
      <c r="O50" s="11"/>
      <c r="P50" s="11"/>
      <c r="Q50" s="11"/>
      <c r="R50" s="11"/>
      <c r="S50" s="11"/>
      <c r="T50" s="11" t="s">
        <v>464</v>
      </c>
      <c r="U50" s="11"/>
      <c r="V50" s="11"/>
      <c r="W50" s="11"/>
    </row>
    <row r="51" spans="1:23">
      <c r="A51" s="2">
        <f t="shared" si="0"/>
        <v>41</v>
      </c>
      <c r="B51" s="2"/>
      <c r="C51" s="16">
        <v>6.3</v>
      </c>
      <c r="D51" s="16"/>
      <c r="E51" s="16"/>
      <c r="F51" s="16"/>
      <c r="G51" s="4" t="s">
        <v>43</v>
      </c>
      <c r="H51" s="15">
        <v>-225013.46916113747</v>
      </c>
      <c r="I51" s="15"/>
      <c r="J51" s="15">
        <v>1901316.3101523968</v>
      </c>
      <c r="K51" s="15"/>
      <c r="L51" s="15">
        <v>603280.71839987137</v>
      </c>
      <c r="M51" s="4"/>
      <c r="N51" s="11"/>
      <c r="O51" s="11"/>
      <c r="P51" s="11"/>
      <c r="Q51" s="11"/>
      <c r="R51" s="11"/>
      <c r="S51" s="11"/>
      <c r="T51" s="11" t="s">
        <v>401</v>
      </c>
      <c r="U51" s="11"/>
      <c r="V51" s="11"/>
      <c r="W51" s="11"/>
    </row>
    <row r="52" spans="1:23">
      <c r="A52" s="2">
        <f t="shared" si="0"/>
        <v>42</v>
      </c>
      <c r="B52" s="2"/>
      <c r="C52" s="16" t="s">
        <v>44</v>
      </c>
      <c r="D52" s="16"/>
      <c r="E52" s="16"/>
      <c r="F52" s="16"/>
      <c r="G52" s="4" t="s">
        <v>45</v>
      </c>
      <c r="H52" s="17">
        <v>0</v>
      </c>
      <c r="I52" s="17"/>
      <c r="J52" s="17">
        <v>-400537.83989990689</v>
      </c>
      <c r="K52" s="17"/>
      <c r="L52" s="17">
        <v>-50487.147124630719</v>
      </c>
      <c r="M52" s="4"/>
      <c r="N52" s="11"/>
      <c r="O52" s="11"/>
      <c r="P52" s="11"/>
      <c r="Q52" s="11"/>
      <c r="R52" s="11"/>
      <c r="S52" s="11"/>
      <c r="T52" s="11" t="s">
        <v>401</v>
      </c>
      <c r="U52" s="11"/>
      <c r="V52" s="11"/>
      <c r="W52" s="11"/>
    </row>
    <row r="53" spans="1:23">
      <c r="A53" s="2">
        <f t="shared" si="0"/>
        <v>43</v>
      </c>
      <c r="B53" s="2"/>
      <c r="C53" s="13"/>
      <c r="D53" s="13"/>
      <c r="E53" s="13"/>
      <c r="F53" s="13"/>
      <c r="G53" s="9" t="s">
        <v>46</v>
      </c>
      <c r="H53" s="10">
        <f>SUM(H49:H52)</f>
        <v>-275965.17956103373</v>
      </c>
      <c r="I53" s="10"/>
      <c r="J53" s="10">
        <f t="shared" ref="J53:L53" si="5">SUM(J49:J52)</f>
        <v>-11392930.579939388</v>
      </c>
      <c r="K53" s="10"/>
      <c r="L53" s="10">
        <f t="shared" si="5"/>
        <v>-990099.39347172563</v>
      </c>
      <c r="M53" s="18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>
      <c r="A54" s="2">
        <f t="shared" si="0"/>
        <v>44</v>
      </c>
      <c r="B54" s="2"/>
      <c r="C54" s="13" t="s">
        <v>47</v>
      </c>
      <c r="D54" s="13"/>
      <c r="E54" s="13"/>
      <c r="F54" s="13"/>
      <c r="G54" s="4" t="s">
        <v>48</v>
      </c>
      <c r="H54" s="11">
        <v>-355765.06371505314</v>
      </c>
      <c r="I54" s="11"/>
      <c r="J54" s="11">
        <v>0</v>
      </c>
      <c r="K54" s="11"/>
      <c r="L54" s="11">
        <v>574918.09071452171</v>
      </c>
      <c r="M54" s="4"/>
      <c r="N54" s="11"/>
      <c r="O54" s="11"/>
      <c r="P54" s="11"/>
      <c r="Q54" s="11"/>
      <c r="R54" s="11"/>
      <c r="S54" s="11"/>
      <c r="T54" s="11" t="s">
        <v>401</v>
      </c>
      <c r="U54" s="11"/>
      <c r="V54" s="11"/>
      <c r="W54" s="11"/>
    </row>
    <row r="55" spans="1:23">
      <c r="A55" s="2">
        <f t="shared" si="0"/>
        <v>45</v>
      </c>
      <c r="B55" s="2"/>
      <c r="C55" s="13" t="s">
        <v>49</v>
      </c>
      <c r="D55" s="13"/>
      <c r="E55" s="13"/>
      <c r="F55" s="13"/>
      <c r="G55" s="4" t="s">
        <v>50</v>
      </c>
      <c r="H55" s="11">
        <v>-214813.3</v>
      </c>
      <c r="I55" s="11"/>
      <c r="J55" s="11">
        <v>0</v>
      </c>
      <c r="K55" s="11"/>
      <c r="L55" s="11">
        <v>347139.34810361825</v>
      </c>
      <c r="M55" s="4"/>
      <c r="N55" s="11"/>
      <c r="O55" s="11"/>
      <c r="P55" s="11"/>
      <c r="Q55" s="11"/>
      <c r="R55" s="11"/>
      <c r="S55" s="11"/>
      <c r="T55" s="11" t="s">
        <v>401</v>
      </c>
      <c r="U55" s="11"/>
      <c r="V55" s="11"/>
      <c r="W55" s="11"/>
    </row>
    <row r="56" spans="1:23">
      <c r="A56" s="2">
        <f t="shared" si="0"/>
        <v>46</v>
      </c>
      <c r="B56" s="2"/>
      <c r="C56" s="13" t="s">
        <v>51</v>
      </c>
      <c r="D56" s="13"/>
      <c r="E56" s="13"/>
      <c r="F56" s="13"/>
      <c r="G56" s="4" t="s">
        <v>52</v>
      </c>
      <c r="H56" s="11">
        <v>-602683.53272390738</v>
      </c>
      <c r="I56" s="11"/>
      <c r="J56" s="11">
        <v>0</v>
      </c>
      <c r="K56" s="11"/>
      <c r="L56" s="11">
        <v>973939.54965806531</v>
      </c>
      <c r="M56" s="4"/>
      <c r="N56" s="11"/>
      <c r="O56" s="11"/>
      <c r="P56" s="11"/>
      <c r="Q56" s="11"/>
      <c r="R56" s="11"/>
      <c r="S56" s="11"/>
      <c r="T56" s="11" t="s">
        <v>401</v>
      </c>
      <c r="U56" s="11"/>
      <c r="V56" s="11"/>
      <c r="W56" s="11"/>
    </row>
    <row r="57" spans="1:23">
      <c r="A57" s="2">
        <f t="shared" si="0"/>
        <v>47</v>
      </c>
      <c r="B57" s="2"/>
      <c r="C57" s="13" t="s">
        <v>53</v>
      </c>
      <c r="D57" s="13"/>
      <c r="E57" s="13"/>
      <c r="F57" s="13"/>
      <c r="G57" s="4" t="s">
        <v>54</v>
      </c>
      <c r="H57" s="11">
        <v>0</v>
      </c>
      <c r="I57" s="11"/>
      <c r="J57" s="11">
        <v>-7524077.2726434628</v>
      </c>
      <c r="K57" s="11"/>
      <c r="L57" s="11">
        <v>-948397.77519139973</v>
      </c>
      <c r="M57" s="4"/>
      <c r="N57" s="11"/>
      <c r="O57" s="11"/>
      <c r="P57" s="11"/>
      <c r="Q57" s="11"/>
      <c r="R57" s="11"/>
      <c r="S57" s="11"/>
      <c r="T57" s="11" t="s">
        <v>464</v>
      </c>
      <c r="U57" s="11"/>
      <c r="V57" s="11"/>
      <c r="W57" s="11"/>
    </row>
    <row r="58" spans="1:23">
      <c r="A58" s="2">
        <f t="shared" si="0"/>
        <v>48</v>
      </c>
      <c r="B58" s="2"/>
      <c r="C58" s="13" t="s">
        <v>55</v>
      </c>
      <c r="D58" s="13"/>
      <c r="E58" s="13"/>
      <c r="F58" s="13"/>
      <c r="G58" s="4" t="s">
        <v>56</v>
      </c>
      <c r="H58" s="11">
        <v>8542.8654999999962</v>
      </c>
      <c r="I58" s="11"/>
      <c r="J58" s="11">
        <v>0</v>
      </c>
      <c r="K58" s="11"/>
      <c r="L58" s="11">
        <v>-13805.312616150348</v>
      </c>
      <c r="M58" s="4"/>
      <c r="N58" s="11"/>
      <c r="O58" s="11"/>
      <c r="P58" s="11"/>
      <c r="Q58" s="11"/>
      <c r="R58" s="11"/>
      <c r="S58" s="11"/>
      <c r="T58" s="11" t="s">
        <v>401</v>
      </c>
      <c r="U58" s="11"/>
      <c r="V58" s="11"/>
      <c r="W58" s="11"/>
    </row>
    <row r="59" spans="1:23">
      <c r="A59" s="2">
        <f t="shared" si="0"/>
        <v>49</v>
      </c>
      <c r="B59" s="2"/>
      <c r="C59" s="2" t="s">
        <v>57</v>
      </c>
      <c r="D59" s="2"/>
      <c r="E59" s="2" t="s">
        <v>415</v>
      </c>
      <c r="F59" s="2"/>
      <c r="G59" s="4" t="s">
        <v>58</v>
      </c>
      <c r="H59" s="11">
        <v>-1173806.3986257478</v>
      </c>
      <c r="I59" s="11"/>
      <c r="J59" s="11">
        <v>-9135824.9213735685</v>
      </c>
      <c r="K59" s="11"/>
      <c r="L59" s="11">
        <v>745320.94626558945</v>
      </c>
      <c r="M59" s="4"/>
      <c r="N59" s="11">
        <f>+'FloThru Tax'!H55</f>
        <v>-1046120.9423462478</v>
      </c>
      <c r="O59" s="11"/>
      <c r="P59" s="11">
        <f>+J59</f>
        <v>-9135824.9213735685</v>
      </c>
      <c r="Q59" s="11"/>
      <c r="R59" s="11">
        <f>(-N59/NOIConvert)+(P59*ROR/NOIConvert)</f>
        <v>538980.6216433309</v>
      </c>
      <c r="S59" s="11"/>
      <c r="T59" s="11" t="s">
        <v>326</v>
      </c>
      <c r="U59" s="11"/>
      <c r="V59" s="11">
        <f>+R59-L59</f>
        <v>-206340.32462225854</v>
      </c>
      <c r="W59" s="11"/>
    </row>
    <row r="60" spans="1:23">
      <c r="A60" s="2">
        <f t="shared" si="0"/>
        <v>50</v>
      </c>
      <c r="B60" s="2"/>
      <c r="C60" s="2" t="s">
        <v>59</v>
      </c>
      <c r="D60" s="2"/>
      <c r="E60" s="2"/>
      <c r="F60" s="2"/>
      <c r="G60" s="4" t="s">
        <v>60</v>
      </c>
      <c r="H60" s="11">
        <v>1383991</v>
      </c>
      <c r="I60" s="11"/>
      <c r="J60" s="11">
        <v>691996</v>
      </c>
      <c r="K60" s="11"/>
      <c r="L60" s="11">
        <v>-2149311.2780982852</v>
      </c>
      <c r="M60" s="4"/>
      <c r="N60" s="11"/>
      <c r="O60" s="11"/>
      <c r="P60" s="11"/>
      <c r="Q60" s="11"/>
      <c r="R60" s="11"/>
      <c r="S60" s="11"/>
      <c r="T60" s="11" t="s">
        <v>401</v>
      </c>
      <c r="U60" s="11"/>
      <c r="V60" s="11"/>
      <c r="W60" s="11"/>
    </row>
    <row r="61" spans="1:23">
      <c r="A61" s="2">
        <f t="shared" si="0"/>
        <v>51</v>
      </c>
      <c r="B61" s="2"/>
      <c r="C61" s="13" t="s">
        <v>61</v>
      </c>
      <c r="D61" s="13"/>
      <c r="E61" s="13"/>
      <c r="F61" s="13"/>
      <c r="G61" s="4" t="s">
        <v>62</v>
      </c>
      <c r="H61" s="11">
        <v>-544749.05550000048</v>
      </c>
      <c r="I61" s="11"/>
      <c r="J61" s="11">
        <v>0</v>
      </c>
      <c r="K61" s="11"/>
      <c r="L61" s="11">
        <v>880317.14985213638</v>
      </c>
      <c r="M61" s="4"/>
      <c r="N61" s="11"/>
      <c r="O61" s="11"/>
      <c r="P61" s="11"/>
      <c r="Q61" s="11"/>
      <c r="R61" s="11"/>
      <c r="S61" s="11"/>
      <c r="T61" s="11" t="s">
        <v>401</v>
      </c>
      <c r="U61" s="11"/>
      <c r="V61" s="11"/>
      <c r="W61" s="11"/>
    </row>
    <row r="62" spans="1:23">
      <c r="A62" s="2">
        <f t="shared" si="0"/>
        <v>52</v>
      </c>
      <c r="B62" s="2"/>
      <c r="C62" s="13" t="s">
        <v>63</v>
      </c>
      <c r="D62" s="13"/>
      <c r="E62" s="13"/>
      <c r="F62" s="13"/>
      <c r="G62" s="4" t="s">
        <v>64</v>
      </c>
      <c r="H62" s="17">
        <v>66727.417814565051</v>
      </c>
      <c r="I62" s="17"/>
      <c r="J62" s="17">
        <v>0</v>
      </c>
      <c r="K62" s="17"/>
      <c r="L62" s="17">
        <v>-107831.83499711553</v>
      </c>
      <c r="M62" s="4"/>
      <c r="N62" s="11"/>
      <c r="O62" s="11"/>
      <c r="P62" s="11"/>
      <c r="Q62" s="11"/>
      <c r="R62" s="11"/>
      <c r="S62" s="11"/>
      <c r="T62" s="11" t="s">
        <v>401</v>
      </c>
      <c r="U62" s="11"/>
      <c r="V62" s="11"/>
      <c r="W62" s="11"/>
    </row>
    <row r="63" spans="1:23">
      <c r="A63" s="2">
        <f t="shared" si="0"/>
        <v>53</v>
      </c>
      <c r="B63" s="2"/>
      <c r="C63" s="13"/>
      <c r="D63" s="13"/>
      <c r="E63" s="13"/>
      <c r="F63" s="13"/>
      <c r="G63" s="9" t="s">
        <v>65</v>
      </c>
      <c r="H63" s="10">
        <f>SUM(H54:H62)</f>
        <v>-1432556.0672501433</v>
      </c>
      <c r="I63" s="10"/>
      <c r="J63" s="10">
        <f t="shared" ref="J63:L63" si="6">SUM(J54:J62)</f>
        <v>-15967906.19401703</v>
      </c>
      <c r="K63" s="10"/>
      <c r="L63" s="10">
        <f t="shared" si="6"/>
        <v>302288.88369098015</v>
      </c>
      <c r="M63" s="18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>
      <c r="A64" s="2">
        <f t="shared" si="0"/>
        <v>54</v>
      </c>
      <c r="B64" s="2"/>
      <c r="C64" s="13" t="s">
        <v>66</v>
      </c>
      <c r="D64" s="13"/>
      <c r="E64" s="13"/>
      <c r="F64" s="13"/>
      <c r="G64" s="4" t="s">
        <v>67</v>
      </c>
      <c r="H64" s="11">
        <v>0</v>
      </c>
      <c r="I64" s="11"/>
      <c r="J64" s="11">
        <v>27864469.24646356</v>
      </c>
      <c r="K64" s="11"/>
      <c r="L64" s="11">
        <v>3512271.296882981</v>
      </c>
      <c r="M64" s="4"/>
      <c r="N64" s="11"/>
      <c r="O64" s="11"/>
      <c r="P64" s="11"/>
      <c r="Q64" s="11"/>
      <c r="R64" s="11"/>
      <c r="S64" s="11"/>
      <c r="T64" s="11" t="s">
        <v>401</v>
      </c>
      <c r="U64" s="11"/>
      <c r="V64" s="11"/>
      <c r="W64" s="11"/>
    </row>
    <row r="65" spans="1:23">
      <c r="A65" s="2">
        <f t="shared" si="0"/>
        <v>55</v>
      </c>
      <c r="B65" s="2"/>
      <c r="C65" s="13" t="s">
        <v>68</v>
      </c>
      <c r="D65" s="13"/>
      <c r="E65" s="13"/>
      <c r="F65" s="13"/>
      <c r="G65" s="4" t="s">
        <v>69</v>
      </c>
      <c r="H65" s="11">
        <v>-176089.1838879195</v>
      </c>
      <c r="I65" s="11"/>
      <c r="J65" s="11">
        <v>-147788.16018652092</v>
      </c>
      <c r="K65" s="11"/>
      <c r="L65" s="11">
        <v>265932.5275825712</v>
      </c>
      <c r="M65" s="4"/>
      <c r="N65" s="11"/>
      <c r="O65" s="11"/>
      <c r="P65" s="11"/>
      <c r="Q65" s="11"/>
      <c r="R65" s="11"/>
      <c r="S65" s="11"/>
      <c r="T65" s="11" t="s">
        <v>401</v>
      </c>
      <c r="U65" s="11"/>
      <c r="V65" s="11"/>
      <c r="W65" s="11"/>
    </row>
    <row r="66" spans="1:23">
      <c r="A66" s="2">
        <f t="shared" si="0"/>
        <v>56</v>
      </c>
      <c r="B66" s="2"/>
      <c r="C66" s="13" t="s">
        <v>70</v>
      </c>
      <c r="D66" s="13"/>
      <c r="E66" s="13"/>
      <c r="F66" s="13"/>
      <c r="G66" s="4" t="s">
        <v>71</v>
      </c>
      <c r="H66" s="11">
        <v>0</v>
      </c>
      <c r="I66" s="11"/>
      <c r="J66" s="11">
        <v>-159520.90100264389</v>
      </c>
      <c r="K66" s="11"/>
      <c r="L66" s="11">
        <v>-20107.351655930292</v>
      </c>
      <c r="M66" s="4"/>
      <c r="N66" s="11"/>
      <c r="O66" s="11"/>
      <c r="P66" s="11"/>
      <c r="Q66" s="11"/>
      <c r="R66" s="11"/>
      <c r="S66" s="11"/>
      <c r="T66" s="11" t="s">
        <v>401</v>
      </c>
      <c r="U66" s="11"/>
      <c r="V66" s="11"/>
      <c r="W66" s="11"/>
    </row>
    <row r="67" spans="1:23">
      <c r="A67" s="2">
        <f t="shared" si="0"/>
        <v>57</v>
      </c>
      <c r="B67" s="2"/>
      <c r="C67" s="13" t="s">
        <v>72</v>
      </c>
      <c r="D67" s="13"/>
      <c r="E67" s="13" t="s">
        <v>416</v>
      </c>
      <c r="F67" s="13"/>
      <c r="G67" s="4" t="s">
        <v>73</v>
      </c>
      <c r="H67" s="11">
        <v>-949179.55767208571</v>
      </c>
      <c r="I67" s="11"/>
      <c r="J67" s="11">
        <v>38505985.912364163</v>
      </c>
      <c r="K67" s="11"/>
      <c r="L67" s="11">
        <v>6387496.095467899</v>
      </c>
      <c r="M67" s="4"/>
      <c r="N67" s="11">
        <f>+'Maj Plt Additions'!J30</f>
        <v>-877880.85</v>
      </c>
      <c r="O67" s="11"/>
      <c r="P67" s="11">
        <f>+'Maj Plt Additions'!L30</f>
        <v>34802555</v>
      </c>
      <c r="Q67" s="11"/>
      <c r="R67" s="11">
        <f>(-N67/NOIConvert)+(P67*ROR/NOIConvert)</f>
        <v>5805465.5548552871</v>
      </c>
      <c r="S67" s="11"/>
      <c r="T67" s="11" t="s">
        <v>326</v>
      </c>
      <c r="U67" s="11"/>
      <c r="V67" s="11">
        <f>+R67-L67</f>
        <v>-582030.54061261192</v>
      </c>
      <c r="W67" s="11"/>
    </row>
    <row r="68" spans="1:23">
      <c r="A68" s="2">
        <f t="shared" si="0"/>
        <v>58</v>
      </c>
      <c r="B68" s="2"/>
      <c r="C68" s="13" t="s">
        <v>74</v>
      </c>
      <c r="D68" s="13"/>
      <c r="E68" s="13"/>
      <c r="F68" s="13"/>
      <c r="G68" s="4" t="s">
        <v>75</v>
      </c>
      <c r="H68" s="11">
        <v>127564.387339523</v>
      </c>
      <c r="I68" s="11"/>
      <c r="J68" s="11">
        <v>-21971597.989235427</v>
      </c>
      <c r="K68" s="11"/>
      <c r="L68" s="11">
        <v>-2975629.0792002175</v>
      </c>
      <c r="M68" s="4"/>
      <c r="N68" s="11"/>
      <c r="O68" s="11"/>
      <c r="P68" s="11"/>
      <c r="Q68" s="11"/>
      <c r="R68" s="11"/>
      <c r="S68" s="11"/>
      <c r="T68" s="11" t="s">
        <v>401</v>
      </c>
      <c r="U68" s="11"/>
      <c r="V68" s="11"/>
      <c r="W68" s="11"/>
    </row>
    <row r="69" spans="1:23">
      <c r="A69" s="2">
        <f t="shared" si="0"/>
        <v>59</v>
      </c>
      <c r="B69" s="2"/>
      <c r="C69" s="2" t="s">
        <v>76</v>
      </c>
      <c r="D69" s="2"/>
      <c r="E69" s="2"/>
      <c r="F69" s="2"/>
      <c r="G69" s="4" t="s">
        <v>77</v>
      </c>
      <c r="H69" s="11">
        <v>-203522.083437964</v>
      </c>
      <c r="I69" s="11"/>
      <c r="J69" s="11">
        <v>56565.467925204488</v>
      </c>
      <c r="K69" s="11"/>
      <c r="L69" s="11">
        <v>336022.67244571028</v>
      </c>
      <c r="M69" s="4"/>
      <c r="N69" s="11"/>
      <c r="O69" s="11"/>
      <c r="P69" s="11"/>
      <c r="Q69" s="11"/>
      <c r="R69" s="11"/>
      <c r="S69" s="11"/>
      <c r="T69" s="11" t="s">
        <v>401</v>
      </c>
      <c r="U69" s="11"/>
      <c r="V69" s="11"/>
      <c r="W69" s="11"/>
    </row>
    <row r="70" spans="1:23">
      <c r="A70" s="2">
        <f t="shared" si="0"/>
        <v>60</v>
      </c>
      <c r="B70" s="2"/>
      <c r="C70" s="2" t="s">
        <v>78</v>
      </c>
      <c r="D70" s="2"/>
      <c r="E70" s="2"/>
      <c r="F70" s="2"/>
      <c r="G70" s="4" t="s">
        <v>79</v>
      </c>
      <c r="H70" s="11">
        <v>17990.552800000001</v>
      </c>
      <c r="I70" s="11"/>
      <c r="J70" s="11">
        <v>-387034.4681999993</v>
      </c>
      <c r="K70" s="11"/>
      <c r="L70" s="11">
        <v>-77857.890660461126</v>
      </c>
      <c r="M70" s="4"/>
      <c r="N70" s="11"/>
      <c r="O70" s="11"/>
      <c r="P70" s="11"/>
      <c r="Q70" s="11"/>
      <c r="R70" s="11"/>
      <c r="S70" s="11"/>
      <c r="T70" s="11" t="s">
        <v>401</v>
      </c>
      <c r="U70" s="11"/>
      <c r="V70" s="11"/>
      <c r="W70" s="11"/>
    </row>
    <row r="71" spans="1:23">
      <c r="A71" s="2">
        <f t="shared" si="0"/>
        <v>61</v>
      </c>
      <c r="B71" s="2"/>
      <c r="C71" s="2" t="s">
        <v>80</v>
      </c>
      <c r="D71" s="2"/>
      <c r="E71" s="2"/>
      <c r="F71" s="2"/>
      <c r="G71" s="4" t="s">
        <v>81</v>
      </c>
      <c r="H71" s="11">
        <v>-6988.6400595048044</v>
      </c>
      <c r="I71" s="11"/>
      <c r="J71" s="11">
        <v>1143691.174893454</v>
      </c>
      <c r="K71" s="11"/>
      <c r="L71" s="11">
        <v>155454.10012959424</v>
      </c>
      <c r="M71" s="4"/>
      <c r="N71" s="11"/>
      <c r="O71" s="11"/>
      <c r="P71" s="11"/>
      <c r="Q71" s="11"/>
      <c r="R71" s="11"/>
      <c r="S71" s="11"/>
      <c r="T71" s="11" t="s">
        <v>401</v>
      </c>
      <c r="U71" s="11"/>
      <c r="V71" s="11"/>
      <c r="W71" s="11"/>
    </row>
    <row r="72" spans="1:23">
      <c r="A72" s="2">
        <f t="shared" si="0"/>
        <v>62</v>
      </c>
      <c r="B72" s="2"/>
      <c r="C72" s="13" t="s">
        <v>82</v>
      </c>
      <c r="D72" s="13"/>
      <c r="E72" s="13"/>
      <c r="F72" s="13"/>
      <c r="G72" s="4" t="s">
        <v>83</v>
      </c>
      <c r="H72" s="11">
        <v>-4403.9367272727277</v>
      </c>
      <c r="I72" s="11"/>
      <c r="J72" s="11">
        <v>-3236612.0862499997</v>
      </c>
      <c r="K72" s="11"/>
      <c r="L72" s="11">
        <v>-400852.937089296</v>
      </c>
      <c r="M72" s="4"/>
      <c r="N72" s="11"/>
      <c r="O72" s="11"/>
      <c r="P72" s="11"/>
      <c r="Q72" s="11"/>
      <c r="R72" s="11"/>
      <c r="S72" s="11"/>
      <c r="T72" s="11" t="s">
        <v>401</v>
      </c>
      <c r="U72" s="11"/>
      <c r="V72" s="11"/>
      <c r="W72" s="11"/>
    </row>
    <row r="73" spans="1:23">
      <c r="A73" s="2">
        <f t="shared" si="0"/>
        <v>63</v>
      </c>
      <c r="B73" s="2"/>
      <c r="C73" s="13" t="s">
        <v>84</v>
      </c>
      <c r="D73" s="13"/>
      <c r="E73" s="13"/>
      <c r="F73" s="13"/>
      <c r="G73" s="4" t="s">
        <v>85</v>
      </c>
      <c r="H73" s="11">
        <v>-1948685.9613834601</v>
      </c>
      <c r="I73" s="11"/>
      <c r="J73" s="11">
        <v>1664438.1666666667</v>
      </c>
      <c r="K73" s="11"/>
      <c r="L73" s="11">
        <v>3358885.8266405845</v>
      </c>
      <c r="M73" s="4"/>
      <c r="N73" s="11"/>
      <c r="O73" s="11"/>
      <c r="P73" s="11"/>
      <c r="Q73" s="11"/>
      <c r="R73" s="11"/>
      <c r="S73" s="11"/>
      <c r="T73" s="11" t="s">
        <v>401</v>
      </c>
      <c r="U73" s="11"/>
      <c r="V73" s="11"/>
      <c r="W73" s="11"/>
    </row>
    <row r="74" spans="1:23">
      <c r="A74" s="2">
        <f t="shared" si="0"/>
        <v>64</v>
      </c>
      <c r="B74" s="2"/>
      <c r="C74" s="13" t="s">
        <v>86</v>
      </c>
      <c r="D74" s="13"/>
      <c r="E74" s="13"/>
      <c r="F74" s="13"/>
      <c r="G74" s="4" t="s">
        <v>87</v>
      </c>
      <c r="H74" s="11">
        <v>342697.82819275605</v>
      </c>
      <c r="I74" s="11"/>
      <c r="J74" s="11">
        <v>-165819.11136992346</v>
      </c>
      <c r="K74" s="11"/>
      <c r="L74" s="11">
        <v>-574702.60480536846</v>
      </c>
      <c r="M74" s="4"/>
      <c r="N74" s="11"/>
      <c r="O74" s="11"/>
      <c r="P74" s="11"/>
      <c r="Q74" s="11"/>
      <c r="R74" s="11"/>
      <c r="S74" s="11"/>
      <c r="T74" s="11" t="s">
        <v>401</v>
      </c>
      <c r="U74" s="11"/>
      <c r="V74" s="11"/>
      <c r="W74" s="11"/>
    </row>
    <row r="75" spans="1:23">
      <c r="A75" s="2">
        <f t="shared" si="0"/>
        <v>65</v>
      </c>
      <c r="B75" s="2"/>
      <c r="C75" s="13" t="s">
        <v>88</v>
      </c>
      <c r="D75" s="13"/>
      <c r="E75" s="13" t="s">
        <v>378</v>
      </c>
      <c r="F75" s="13"/>
      <c r="G75" s="4" t="s">
        <v>89</v>
      </c>
      <c r="H75" s="15">
        <v>0</v>
      </c>
      <c r="I75" s="15"/>
      <c r="J75" s="15">
        <v>19911959.034706865</v>
      </c>
      <c r="K75" s="15"/>
      <c r="L75" s="15">
        <v>2509870.2424122682</v>
      </c>
      <c r="M75" s="4"/>
      <c r="N75" s="11">
        <f>+'TY End PIS'!H43</f>
        <v>-337537.36311403941</v>
      </c>
      <c r="O75" s="11"/>
      <c r="P75" s="11">
        <f>+J75</f>
        <v>19911959.034706865</v>
      </c>
      <c r="Q75" s="11"/>
      <c r="R75" s="11">
        <f>(-N75/NOIConvert)+(P75*ROR/NOIConvert)</f>
        <v>3055332.2794091483</v>
      </c>
      <c r="S75" s="11"/>
      <c r="T75" s="11" t="s">
        <v>326</v>
      </c>
      <c r="U75" s="11"/>
      <c r="V75" s="11">
        <f>+R75-L75</f>
        <v>545462.03699688008</v>
      </c>
      <c r="W75" s="11"/>
    </row>
    <row r="76" spans="1:23">
      <c r="A76" s="2">
        <f t="shared" si="0"/>
        <v>66</v>
      </c>
      <c r="B76" s="2"/>
      <c r="C76" s="13">
        <v>8.1300000000000008</v>
      </c>
      <c r="D76" s="13"/>
      <c r="E76" s="13" t="s">
        <v>417</v>
      </c>
      <c r="F76" s="13"/>
      <c r="G76" s="4" t="s">
        <v>90</v>
      </c>
      <c r="H76" s="15">
        <v>0</v>
      </c>
      <c r="I76" s="15"/>
      <c r="J76" s="15">
        <v>28493963.911447942</v>
      </c>
      <c r="K76" s="15"/>
      <c r="L76" s="15">
        <v>3591618.0816291585</v>
      </c>
      <c r="M76" s="4"/>
      <c r="N76" s="11"/>
      <c r="O76" s="11"/>
      <c r="P76" s="11">
        <f>+'Work Cap'!H27</f>
        <v>6967515</v>
      </c>
      <c r="Q76" s="11"/>
      <c r="R76" s="11">
        <f>(-N76/NOIConvert)+(P76*ROR/NOIConvert)</f>
        <v>878244.00058176182</v>
      </c>
      <c r="S76" s="11"/>
      <c r="T76" s="11" t="s">
        <v>326</v>
      </c>
      <c r="U76" s="11"/>
      <c r="V76" s="11">
        <f>+R76-L76</f>
        <v>-2713374.0810473966</v>
      </c>
      <c r="W76" s="11"/>
    </row>
    <row r="77" spans="1:23">
      <c r="A77" s="2">
        <f t="shared" ref="A77:A86" si="7">+A76+1</f>
        <v>67</v>
      </c>
      <c r="B77" s="2"/>
      <c r="C77" s="13"/>
      <c r="D77" s="13"/>
      <c r="E77" s="13" t="s">
        <v>215</v>
      </c>
      <c r="F77" s="13"/>
      <c r="G77" s="4" t="s">
        <v>216</v>
      </c>
      <c r="H77" s="15"/>
      <c r="I77" s="15"/>
      <c r="J77" s="15"/>
      <c r="K77" s="15"/>
      <c r="L77" s="15"/>
      <c r="M77" s="4"/>
      <c r="N77" s="11"/>
      <c r="O77" s="11"/>
      <c r="P77" s="11">
        <f>+'Bridger Impairment'!H23</f>
        <v>-3493008</v>
      </c>
      <c r="Q77" s="11"/>
      <c r="R77" s="11">
        <f>(-N77/NOIConvert)+(P77*ROR/NOIConvert)</f>
        <v>-440288.01085955306</v>
      </c>
      <c r="S77" s="11"/>
      <c r="T77" s="11" t="s">
        <v>332</v>
      </c>
      <c r="U77" s="11"/>
      <c r="V77" s="11">
        <f>+R77-L77</f>
        <v>-440288.01085955306</v>
      </c>
      <c r="W77" s="11"/>
    </row>
    <row r="78" spans="1:23">
      <c r="A78" s="2">
        <f t="shared" si="7"/>
        <v>68</v>
      </c>
      <c r="B78" s="2"/>
      <c r="C78" s="13"/>
      <c r="D78" s="13"/>
      <c r="E78" s="13"/>
      <c r="F78" s="13"/>
      <c r="G78" s="9" t="s">
        <v>91</v>
      </c>
      <c r="H78" s="10">
        <f>SUM(H64:H76)</f>
        <v>-2800616.5948359282</v>
      </c>
      <c r="I78" s="10"/>
      <c r="J78" s="10">
        <f t="shared" ref="J78:L78" si="8">SUM(J64:J76)</f>
        <v>91572700.198223338</v>
      </c>
      <c r="K78" s="10"/>
      <c r="L78" s="10">
        <f t="shared" si="8"/>
        <v>16068400.979779495</v>
      </c>
      <c r="M78" s="18"/>
      <c r="N78" s="11"/>
      <c r="O78" s="11"/>
      <c r="P78" s="11"/>
      <c r="Q78" s="11"/>
      <c r="R78" s="11"/>
      <c r="S78" s="11"/>
      <c r="T78" s="11"/>
      <c r="U78" s="11"/>
      <c r="V78" s="11"/>
      <c r="W78" s="11"/>
    </row>
    <row r="79" spans="1:23">
      <c r="A79" s="2">
        <f t="shared" si="7"/>
        <v>69</v>
      </c>
      <c r="B79" s="2"/>
      <c r="C79" s="13">
        <v>9.1</v>
      </c>
      <c r="D79" s="13"/>
      <c r="E79" s="13"/>
      <c r="F79" s="13"/>
      <c r="G79" s="4" t="s">
        <v>92</v>
      </c>
      <c r="H79" s="17">
        <v>-1535146.9811540092</v>
      </c>
      <c r="I79" s="17"/>
      <c r="J79" s="17">
        <v>684251.36966271431</v>
      </c>
      <c r="K79" s="17"/>
      <c r="L79" s="17">
        <v>2567053.8420318048</v>
      </c>
      <c r="M79" s="18"/>
      <c r="N79" s="11"/>
      <c r="O79" s="11"/>
      <c r="P79" s="11"/>
      <c r="Q79" s="11"/>
      <c r="R79" s="11"/>
      <c r="S79" s="11"/>
      <c r="T79" s="11" t="s">
        <v>401</v>
      </c>
      <c r="U79" s="11"/>
      <c r="V79" s="11"/>
      <c r="W79" s="11"/>
    </row>
    <row r="80" spans="1:23">
      <c r="A80" s="2">
        <f t="shared" si="7"/>
        <v>70</v>
      </c>
      <c r="B80" s="2"/>
      <c r="C80" s="13"/>
      <c r="D80" s="13"/>
      <c r="E80" s="13"/>
      <c r="F80" s="13"/>
      <c r="G80" s="9" t="s">
        <v>93</v>
      </c>
      <c r="H80" s="10">
        <f>SUM(H79)</f>
        <v>-1535146.9811540092</v>
      </c>
      <c r="I80" s="10"/>
      <c r="J80" s="10">
        <f t="shared" ref="J80:L80" si="9">SUM(J79)</f>
        <v>684251.36966271431</v>
      </c>
      <c r="K80" s="10"/>
      <c r="L80" s="10">
        <f t="shared" si="9"/>
        <v>2567053.8420318048</v>
      </c>
      <c r="M80" s="18"/>
      <c r="N80" s="11"/>
      <c r="O80" s="11"/>
      <c r="P80" s="11"/>
      <c r="Q80" s="11"/>
      <c r="R80" s="11"/>
      <c r="S80" s="11"/>
      <c r="T80" s="11"/>
      <c r="U80" s="11"/>
      <c r="V80" s="11"/>
      <c r="W80" s="11"/>
    </row>
    <row r="81" spans="1:23">
      <c r="A81" s="2">
        <f t="shared" si="7"/>
        <v>71</v>
      </c>
      <c r="B81" s="2"/>
      <c r="C81" s="2"/>
      <c r="D81" s="2"/>
      <c r="E81" s="2"/>
      <c r="F81" s="2"/>
      <c r="G81" s="4"/>
      <c r="H81" s="15"/>
      <c r="I81" s="15"/>
      <c r="J81" s="15"/>
      <c r="K81" s="15"/>
      <c r="L81" s="15"/>
      <c r="M81" s="4"/>
      <c r="N81" s="11"/>
      <c r="O81" s="11"/>
      <c r="P81" s="11"/>
      <c r="Q81" s="11"/>
      <c r="R81" s="11"/>
      <c r="S81" s="11"/>
      <c r="T81" s="11"/>
      <c r="U81" s="11"/>
      <c r="V81" s="11"/>
      <c r="W81" s="11"/>
    </row>
    <row r="82" spans="1:23">
      <c r="A82" s="2">
        <f t="shared" si="7"/>
        <v>72</v>
      </c>
      <c r="B82" s="2"/>
      <c r="C82" s="2"/>
      <c r="D82" s="2"/>
      <c r="E82" s="2"/>
      <c r="F82" s="2"/>
      <c r="G82" s="21" t="s">
        <v>94</v>
      </c>
      <c r="H82" s="26">
        <f>+H24+H42+H48+H53+H63+H78+H80</f>
        <v>5151122.9981488641</v>
      </c>
      <c r="I82" s="26"/>
      <c r="J82" s="26">
        <v>54935840.013976075</v>
      </c>
      <c r="K82" s="26"/>
      <c r="L82" s="26">
        <v>-1399666.2579123303</v>
      </c>
      <c r="M82" s="18"/>
      <c r="N82" s="11"/>
      <c r="O82" s="11"/>
      <c r="P82" s="11"/>
      <c r="Q82" s="11"/>
      <c r="R82" s="11"/>
      <c r="S82" s="11"/>
      <c r="T82" s="11"/>
      <c r="U82" s="11"/>
      <c r="V82" s="11"/>
      <c r="W82" s="11"/>
    </row>
    <row r="83" spans="1:23">
      <c r="A83" s="2">
        <f t="shared" si="7"/>
        <v>73</v>
      </c>
      <c r="B83" s="2"/>
      <c r="C83" s="2"/>
      <c r="D83" s="2"/>
      <c r="E83" s="2"/>
      <c r="F83" s="2"/>
      <c r="G83" s="21"/>
      <c r="H83" s="20"/>
      <c r="I83" s="20"/>
      <c r="J83" s="20"/>
      <c r="K83" s="20"/>
      <c r="L83" s="20"/>
      <c r="M83" s="4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>
      <c r="A84" s="2">
        <f t="shared" si="7"/>
        <v>74</v>
      </c>
      <c r="B84" s="2"/>
      <c r="C84" s="22"/>
      <c r="D84" s="22"/>
      <c r="E84" s="22"/>
      <c r="F84" s="22"/>
      <c r="G84" s="23" t="s">
        <v>95</v>
      </c>
      <c r="H84" s="23">
        <f>+H11+H82</f>
        <v>38131962.998148866</v>
      </c>
      <c r="I84" s="23"/>
      <c r="J84" s="23">
        <f>+J11+J82</f>
        <v>828428814.0139761</v>
      </c>
      <c r="K84" s="23"/>
      <c r="L84" s="23">
        <f>+L11+L82</f>
        <v>42800673.057871193</v>
      </c>
      <c r="M84" s="22"/>
      <c r="N84" s="11"/>
      <c r="O84" s="11"/>
      <c r="P84" s="11"/>
      <c r="Q84" s="11"/>
      <c r="R84" s="11"/>
      <c r="S84" s="11"/>
      <c r="T84" s="11"/>
      <c r="U84" s="11"/>
      <c r="V84" s="11"/>
      <c r="W84" s="11"/>
    </row>
    <row r="85" spans="1:23">
      <c r="A85" s="2">
        <f t="shared" si="7"/>
        <v>75</v>
      </c>
      <c r="B85" s="2"/>
      <c r="C85" s="5" t="s">
        <v>96</v>
      </c>
      <c r="D85" s="5"/>
      <c r="E85" s="5"/>
      <c r="F85" s="5"/>
      <c r="G85" s="4"/>
      <c r="H85" s="4"/>
      <c r="I85" s="4"/>
      <c r="J85" s="4"/>
      <c r="K85" s="4"/>
      <c r="L85" s="4"/>
      <c r="M85" s="4"/>
      <c r="N85" s="11"/>
      <c r="O85" s="11"/>
      <c r="P85" s="11"/>
      <c r="Q85" s="11"/>
      <c r="R85" s="11"/>
      <c r="S85" s="11"/>
      <c r="T85" s="11"/>
      <c r="U85" s="11"/>
      <c r="V85" s="11"/>
      <c r="W85" s="11"/>
    </row>
    <row r="86" spans="1:23">
      <c r="A86" s="2">
        <f t="shared" si="7"/>
        <v>76</v>
      </c>
      <c r="B86" s="2"/>
      <c r="C86" s="5" t="s">
        <v>97</v>
      </c>
      <c r="D86" s="5"/>
      <c r="E86" s="5"/>
      <c r="F86" s="5"/>
      <c r="G86" s="4"/>
      <c r="H86" s="4"/>
      <c r="I86" s="4"/>
      <c r="J86" s="4"/>
      <c r="K86" s="4"/>
      <c r="L86" s="4"/>
      <c r="M86" s="4"/>
      <c r="N86" s="11"/>
      <c r="O86" s="11"/>
      <c r="P86" s="11"/>
      <c r="Q86" s="11"/>
      <c r="R86" s="11"/>
      <c r="S86" s="11"/>
      <c r="T86" s="11"/>
      <c r="U86" s="11"/>
      <c r="V86" s="11"/>
      <c r="W86" s="11"/>
    </row>
    <row r="87" spans="1:23">
      <c r="A87" s="2"/>
      <c r="B87" s="2"/>
      <c r="C87" s="5"/>
      <c r="D87" s="5"/>
      <c r="E87" s="5"/>
      <c r="F87" s="5"/>
      <c r="G87" s="4"/>
      <c r="H87" s="4"/>
      <c r="I87" s="4"/>
      <c r="J87" s="4"/>
      <c r="K87" s="4"/>
      <c r="L87" s="4"/>
      <c r="M87" s="4"/>
      <c r="N87" s="11"/>
      <c r="O87" s="11"/>
      <c r="P87" s="11"/>
      <c r="Q87" s="11"/>
      <c r="R87" s="11"/>
      <c r="S87" s="11"/>
      <c r="T87" s="11"/>
      <c r="U87" s="11"/>
      <c r="V87" s="11"/>
      <c r="W87" s="11"/>
    </row>
    <row r="88" spans="1:23">
      <c r="A88" s="2"/>
      <c r="B88" s="2"/>
      <c r="C88" s="2"/>
      <c r="D88" s="2"/>
      <c r="E88" s="2"/>
      <c r="F88" s="2"/>
      <c r="G88" s="4"/>
      <c r="H88" s="4"/>
      <c r="I88" s="4"/>
      <c r="J88" s="4"/>
      <c r="K88" s="4"/>
      <c r="L88" s="4"/>
      <c r="M88" s="4"/>
      <c r="N88" s="11"/>
      <c r="O88" s="11"/>
      <c r="P88" s="11"/>
      <c r="Q88" s="11"/>
      <c r="R88" s="11"/>
      <c r="S88" s="11"/>
      <c r="T88" s="11"/>
      <c r="U88" s="11"/>
      <c r="V88" s="11"/>
      <c r="W88" s="11"/>
    </row>
    <row r="89" spans="1:23">
      <c r="A89" s="2"/>
      <c r="B89" s="2"/>
      <c r="C89" s="2"/>
      <c r="D89" s="2"/>
      <c r="E89" s="2"/>
      <c r="F89" s="2"/>
      <c r="G89" s="4"/>
      <c r="H89" s="4"/>
      <c r="I89" s="4"/>
      <c r="J89" s="4"/>
      <c r="K89" s="4"/>
      <c r="L89" s="4"/>
      <c r="M89" s="4"/>
      <c r="N89" s="11"/>
      <c r="O89" s="11"/>
      <c r="P89" s="11"/>
      <c r="Q89" s="11"/>
      <c r="R89" s="11"/>
      <c r="S89" s="11"/>
      <c r="T89" s="11"/>
      <c r="U89" s="11"/>
      <c r="V89" s="11"/>
      <c r="W89" s="11"/>
    </row>
    <row r="90" spans="1:23">
      <c r="A90" s="2"/>
      <c r="B90" s="2"/>
      <c r="C90" s="2"/>
      <c r="D90" s="2"/>
      <c r="E90" s="2"/>
      <c r="F90" s="2"/>
      <c r="G90" s="4"/>
      <c r="H90" s="4"/>
      <c r="I90" s="4"/>
      <c r="J90" s="4"/>
      <c r="K90" s="4"/>
      <c r="L90" s="4"/>
      <c r="M90" s="4"/>
      <c r="N90" s="11"/>
      <c r="O90" s="11"/>
      <c r="P90" s="11"/>
      <c r="Q90" s="11"/>
      <c r="R90" s="11"/>
      <c r="S90" s="11"/>
      <c r="T90" s="11"/>
      <c r="U90" s="11"/>
      <c r="V90" s="11"/>
      <c r="W90" s="11"/>
    </row>
    <row r="91" spans="1:23">
      <c r="A91" s="2"/>
      <c r="B91" s="2"/>
      <c r="C91" s="2"/>
      <c r="D91" s="2"/>
      <c r="E91" s="2"/>
      <c r="F91" s="2"/>
      <c r="G91" s="4"/>
      <c r="H91" s="4"/>
      <c r="I91" s="4"/>
      <c r="J91" s="4"/>
      <c r="K91" s="4"/>
      <c r="L91" s="4"/>
      <c r="M91" s="4"/>
      <c r="N91" s="11"/>
      <c r="O91" s="11"/>
      <c r="P91" s="11"/>
      <c r="Q91" s="11"/>
      <c r="R91" s="11"/>
      <c r="S91" s="11"/>
      <c r="T91" s="11"/>
      <c r="U91" s="11"/>
      <c r="V91" s="11"/>
      <c r="W91" s="11"/>
    </row>
    <row r="92" spans="1:23">
      <c r="A92" s="2"/>
      <c r="B92" s="2"/>
      <c r="C92" s="2"/>
      <c r="D92" s="2"/>
      <c r="E92" s="2"/>
      <c r="F92" s="2"/>
      <c r="G92" s="4"/>
      <c r="H92" s="4"/>
      <c r="I92" s="4"/>
      <c r="J92" s="4"/>
      <c r="K92" s="4"/>
      <c r="L92" s="4"/>
      <c r="M92" s="4"/>
      <c r="N92" s="11"/>
      <c r="O92" s="11"/>
      <c r="P92" s="11"/>
      <c r="Q92" s="11"/>
      <c r="R92" s="11"/>
      <c r="S92" s="11"/>
      <c r="T92" s="11"/>
      <c r="U92" s="11"/>
      <c r="V92" s="11"/>
      <c r="W92" s="11"/>
    </row>
    <row r="93" spans="1:23">
      <c r="A93" s="43"/>
      <c r="B93" s="43"/>
      <c r="N93" s="11"/>
      <c r="O93" s="11"/>
      <c r="P93" s="11"/>
      <c r="Q93" s="11"/>
      <c r="R93" s="11"/>
      <c r="S93" s="11"/>
      <c r="T93" s="11"/>
      <c r="U93" s="11"/>
      <c r="V93" s="11"/>
      <c r="W93" s="11"/>
    </row>
    <row r="94" spans="1:23">
      <c r="A94" s="43"/>
      <c r="B94" s="43"/>
      <c r="G94" t="s">
        <v>138</v>
      </c>
      <c r="H94" s="37">
        <v>7.8E-2</v>
      </c>
    </row>
    <row r="95" spans="1:23">
      <c r="H95" s="37"/>
    </row>
    <row r="96" spans="1:23">
      <c r="G96" t="s">
        <v>139</v>
      </c>
      <c r="H96" s="37">
        <v>0.61880999999999997</v>
      </c>
    </row>
  </sheetData>
  <mergeCells count="4">
    <mergeCell ref="H9:L9"/>
    <mergeCell ref="N9:R9"/>
    <mergeCell ref="C6:V6"/>
    <mergeCell ref="N8:R8"/>
  </mergeCells>
  <pageMargins left="0.7" right="0.45" top="0.5" bottom="0.5" header="0.3" footer="0.3"/>
  <pageSetup scale="5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40"/>
  <sheetViews>
    <sheetView workbookViewId="0">
      <selection activeCell="F3" sqref="F3"/>
    </sheetView>
  </sheetViews>
  <sheetFormatPr defaultRowHeight="15.75"/>
  <cols>
    <col min="2" max="2" width="5.625" customWidth="1"/>
    <col min="3" max="3" width="2.625" customWidth="1"/>
    <col min="4" max="4" width="43.5" customWidth="1"/>
    <col min="5" max="5" width="2.625" customWidth="1"/>
    <col min="6" max="6" width="17.75" bestFit="1" customWidth="1"/>
    <col min="7" max="7" width="2.625" customWidth="1"/>
    <col min="8" max="8" width="15.375" bestFit="1" customWidth="1"/>
  </cols>
  <sheetData>
    <row r="1" spans="2:8">
      <c r="H1" s="33" t="s">
        <v>114</v>
      </c>
    </row>
    <row r="2" spans="2:8">
      <c r="H2" s="33" t="s">
        <v>486</v>
      </c>
    </row>
    <row r="3" spans="2:8">
      <c r="H3" s="33" t="s">
        <v>470</v>
      </c>
    </row>
    <row r="4" spans="2:8">
      <c r="H4" s="33" t="s">
        <v>413</v>
      </c>
    </row>
    <row r="5" spans="2:8">
      <c r="H5" s="33" t="s">
        <v>414</v>
      </c>
    </row>
    <row r="9" spans="2:8">
      <c r="D9" s="176" t="s">
        <v>124</v>
      </c>
      <c r="E9" s="176"/>
      <c r="F9" s="176"/>
      <c r="G9" s="176"/>
      <c r="H9" s="176"/>
    </row>
    <row r="10" spans="2:8">
      <c r="D10" s="176" t="s">
        <v>178</v>
      </c>
      <c r="E10" s="176"/>
      <c r="F10" s="176"/>
      <c r="G10" s="176"/>
      <c r="H10" s="176"/>
    </row>
    <row r="11" spans="2:8">
      <c r="D11" s="176" t="s">
        <v>446</v>
      </c>
      <c r="E11" s="176"/>
      <c r="F11" s="176"/>
      <c r="G11" s="176"/>
      <c r="H11" s="176"/>
    </row>
    <row r="12" spans="2:8">
      <c r="D12" s="43"/>
      <c r="E12" s="43"/>
      <c r="F12" s="43"/>
      <c r="G12" s="43"/>
      <c r="H12" s="35" t="s">
        <v>182</v>
      </c>
    </row>
    <row r="13" spans="2:8">
      <c r="H13" s="35" t="s">
        <v>121</v>
      </c>
    </row>
    <row r="14" spans="2:8">
      <c r="F14" s="43" t="s">
        <v>174</v>
      </c>
      <c r="G14" s="43"/>
      <c r="H14" s="45" t="s">
        <v>183</v>
      </c>
    </row>
    <row r="15" spans="2:8">
      <c r="B15" s="30" t="s">
        <v>103</v>
      </c>
      <c r="D15" s="30" t="s">
        <v>145</v>
      </c>
      <c r="F15" s="30" t="s">
        <v>181</v>
      </c>
      <c r="G15" s="43"/>
      <c r="H15" s="30" t="s">
        <v>192</v>
      </c>
    </row>
    <row r="16" spans="2:8">
      <c r="D16" s="43" t="s">
        <v>189</v>
      </c>
      <c r="E16" s="43"/>
      <c r="F16" s="43" t="s">
        <v>190</v>
      </c>
      <c r="H16" s="55" t="s">
        <v>191</v>
      </c>
    </row>
    <row r="17" spans="2:18">
      <c r="H17" s="45"/>
    </row>
    <row r="18" spans="2:18">
      <c r="B18">
        <v>1</v>
      </c>
      <c r="D18" s="54" t="s">
        <v>179</v>
      </c>
    </row>
    <row r="19" spans="2:18">
      <c r="B19">
        <v>2</v>
      </c>
      <c r="D19" s="54" t="s">
        <v>456</v>
      </c>
    </row>
    <row r="20" spans="2:18">
      <c r="B20">
        <v>3</v>
      </c>
      <c r="D20" s="54" t="s">
        <v>180</v>
      </c>
    </row>
    <row r="21" spans="2:18">
      <c r="B21">
        <v>4</v>
      </c>
      <c r="D21" s="54" t="s">
        <v>457</v>
      </c>
    </row>
    <row r="23" spans="2:18">
      <c r="B23">
        <v>5</v>
      </c>
      <c r="D23" t="s">
        <v>184</v>
      </c>
      <c r="F23" s="41"/>
    </row>
    <row r="24" spans="2:18">
      <c r="B24">
        <v>6</v>
      </c>
      <c r="D24" t="s">
        <v>185</v>
      </c>
      <c r="F24" s="41">
        <f>-10704482</f>
        <v>-10704482</v>
      </c>
      <c r="H24" s="41">
        <f>+F24*-0.65</f>
        <v>6957913.2999999998</v>
      </c>
    </row>
    <row r="26" spans="2:18">
      <c r="B26">
        <v>7</v>
      </c>
      <c r="D26" t="s">
        <v>186</v>
      </c>
      <c r="F26" s="36">
        <f>-2980906</f>
        <v>-2980906</v>
      </c>
      <c r="H26" s="36">
        <f>+F26*-0.65</f>
        <v>1937588.9000000001</v>
      </c>
    </row>
    <row r="27" spans="2:18">
      <c r="F27" s="36"/>
      <c r="H27" s="36"/>
    </row>
    <row r="28" spans="2:18">
      <c r="B28">
        <v>8</v>
      </c>
      <c r="D28" t="s">
        <v>187</v>
      </c>
      <c r="F28" s="36">
        <f>-3033611</f>
        <v>-3033611</v>
      </c>
      <c r="H28" s="67">
        <f>+F28*-0.65</f>
        <v>1971847.1500000001</v>
      </c>
    </row>
    <row r="29" spans="2:18">
      <c r="F29" s="36"/>
      <c r="H29" s="36"/>
    </row>
    <row r="30" spans="2:18">
      <c r="B30">
        <v>9</v>
      </c>
      <c r="D30" t="s">
        <v>188</v>
      </c>
      <c r="F30" s="38">
        <f>-830595</f>
        <v>-830595</v>
      </c>
      <c r="H30" s="38">
        <f>+F30*-0.65</f>
        <v>539886.75</v>
      </c>
    </row>
    <row r="31" spans="2:18">
      <c r="F31" s="36"/>
    </row>
    <row r="32" spans="2:18">
      <c r="B32">
        <v>10</v>
      </c>
      <c r="D32" t="s">
        <v>193</v>
      </c>
      <c r="F32" s="36"/>
      <c r="N32" s="108"/>
      <c r="O32" s="108"/>
      <c r="P32" s="108"/>
      <c r="Q32" s="108"/>
      <c r="R32" s="108"/>
    </row>
    <row r="33" spans="2:8">
      <c r="B33">
        <v>11</v>
      </c>
      <c r="D33" t="s">
        <v>194</v>
      </c>
      <c r="F33" s="36">
        <f>SUM(F23:F31)</f>
        <v>-17549594</v>
      </c>
      <c r="H33" s="36">
        <f>SUM(H23:H31)</f>
        <v>11407236.1</v>
      </c>
    </row>
    <row r="34" spans="2:8">
      <c r="F34" s="36"/>
    </row>
    <row r="35" spans="2:8">
      <c r="B35">
        <v>12</v>
      </c>
      <c r="D35" t="s">
        <v>195</v>
      </c>
      <c r="F35" s="36"/>
    </row>
    <row r="36" spans="2:8">
      <c r="B36">
        <v>13</v>
      </c>
      <c r="D36" s="66" t="s">
        <v>438</v>
      </c>
      <c r="F36" s="38">
        <f>32828080-35662417</f>
        <v>-2834337</v>
      </c>
      <c r="H36" s="38">
        <f>+F36*-0.65</f>
        <v>1842319.05</v>
      </c>
    </row>
    <row r="38" spans="2:8">
      <c r="B38">
        <v>14</v>
      </c>
      <c r="D38" t="s">
        <v>196</v>
      </c>
    </row>
    <row r="39" spans="2:8" ht="16.5" thickBot="1">
      <c r="B39">
        <v>15</v>
      </c>
      <c r="D39" s="56" t="s">
        <v>34</v>
      </c>
      <c r="F39" s="42">
        <f>+F33+F36</f>
        <v>-20383931</v>
      </c>
      <c r="G39" s="41"/>
      <c r="H39" s="42">
        <f>+H33+H36</f>
        <v>13249555.15</v>
      </c>
    </row>
    <row r="40" spans="2:8" ht="16.5" thickTop="1"/>
  </sheetData>
  <mergeCells count="3">
    <mergeCell ref="D9:H9"/>
    <mergeCell ref="D10:H10"/>
    <mergeCell ref="D11:H11"/>
  </mergeCells>
  <pageMargins left="0.7" right="0.7" top="0.75" bottom="0.75" header="0.3" footer="0.3"/>
  <pageSetup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56"/>
  <sheetViews>
    <sheetView workbookViewId="0">
      <selection activeCell="F33" sqref="F33"/>
    </sheetView>
  </sheetViews>
  <sheetFormatPr defaultRowHeight="15.75"/>
  <cols>
    <col min="2" max="2" width="5.625" customWidth="1"/>
    <col min="3" max="3" width="2.625" customWidth="1"/>
    <col min="4" max="4" width="43.5" customWidth="1"/>
    <col min="5" max="5" width="2.625" customWidth="1"/>
    <col min="6" max="6" width="17.625" bestFit="1" customWidth="1"/>
    <col min="7" max="7" width="2.625" customWidth="1"/>
    <col min="8" max="8" width="14.375" bestFit="1" customWidth="1"/>
  </cols>
  <sheetData>
    <row r="1" spans="2:8">
      <c r="H1" s="33" t="s">
        <v>114</v>
      </c>
    </row>
    <row r="2" spans="2:8">
      <c r="H2" s="33" t="s">
        <v>486</v>
      </c>
    </row>
    <row r="3" spans="2:8">
      <c r="H3" s="33" t="s">
        <v>469</v>
      </c>
    </row>
    <row r="4" spans="2:8">
      <c r="H4" s="33" t="s">
        <v>418</v>
      </c>
    </row>
    <row r="5" spans="2:8">
      <c r="H5" s="33" t="s">
        <v>415</v>
      </c>
    </row>
    <row r="9" spans="2:8">
      <c r="D9" s="176" t="s">
        <v>124</v>
      </c>
      <c r="E9" s="176"/>
      <c r="F9" s="176"/>
      <c r="G9" s="176"/>
      <c r="H9" s="176"/>
    </row>
    <row r="10" spans="2:8">
      <c r="D10" s="176" t="s">
        <v>260</v>
      </c>
      <c r="E10" s="176"/>
      <c r="F10" s="176"/>
      <c r="G10" s="176"/>
      <c r="H10" s="176"/>
    </row>
    <row r="11" spans="2:8">
      <c r="D11" s="176" t="s">
        <v>334</v>
      </c>
      <c r="E11" s="176"/>
      <c r="F11" s="176"/>
      <c r="G11" s="176"/>
      <c r="H11" s="176"/>
    </row>
    <row r="13" spans="2:8">
      <c r="F13" s="43"/>
      <c r="G13" s="43"/>
      <c r="H13" s="43"/>
    </row>
    <row r="14" spans="2:8">
      <c r="B14" s="30" t="s">
        <v>103</v>
      </c>
      <c r="D14" s="30" t="s">
        <v>145</v>
      </c>
      <c r="F14" s="30" t="s">
        <v>146</v>
      </c>
      <c r="G14" s="43"/>
      <c r="H14" s="30" t="s">
        <v>147</v>
      </c>
    </row>
    <row r="16" spans="2:8">
      <c r="B16">
        <v>1</v>
      </c>
      <c r="D16" s="54" t="s">
        <v>273</v>
      </c>
    </row>
    <row r="17" spans="2:18">
      <c r="B17">
        <v>2</v>
      </c>
      <c r="D17" s="54" t="s">
        <v>274</v>
      </c>
    </row>
    <row r="18" spans="2:18">
      <c r="B18">
        <v>3</v>
      </c>
      <c r="D18" s="54" t="s">
        <v>272</v>
      </c>
    </row>
    <row r="20" spans="2:18">
      <c r="B20">
        <v>4</v>
      </c>
      <c r="F20" s="43" t="s">
        <v>284</v>
      </c>
    </row>
    <row r="21" spans="2:18">
      <c r="B21">
        <v>5</v>
      </c>
      <c r="D21" s="66" t="s">
        <v>262</v>
      </c>
      <c r="F21" s="43" t="s">
        <v>281</v>
      </c>
    </row>
    <row r="22" spans="2:18">
      <c r="B22">
        <v>6</v>
      </c>
      <c r="D22" s="66" t="s">
        <v>261</v>
      </c>
      <c r="F22" s="43" t="s">
        <v>282</v>
      </c>
    </row>
    <row r="23" spans="2:18">
      <c r="B23">
        <v>7</v>
      </c>
      <c r="D23" s="66" t="s">
        <v>285</v>
      </c>
      <c r="E23" s="66"/>
      <c r="F23" s="43" t="s">
        <v>283</v>
      </c>
      <c r="G23" s="66"/>
      <c r="H23" s="41">
        <v>260603</v>
      </c>
      <c r="I23" s="66"/>
    </row>
    <row r="25" spans="2:18">
      <c r="B25">
        <v>8</v>
      </c>
      <c r="D25" s="66" t="s">
        <v>263</v>
      </c>
      <c r="E25" s="66"/>
      <c r="F25" s="66"/>
      <c r="G25" s="66"/>
      <c r="H25" s="69">
        <v>0.35</v>
      </c>
      <c r="I25" s="66"/>
    </row>
    <row r="27" spans="2:18" ht="16.5" thickBot="1">
      <c r="B27">
        <v>9</v>
      </c>
      <c r="D27" s="66" t="s">
        <v>276</v>
      </c>
      <c r="E27" s="66"/>
      <c r="F27" s="43" t="s">
        <v>286</v>
      </c>
      <c r="G27" s="66"/>
      <c r="H27" s="70">
        <v>-91211.049999999988</v>
      </c>
      <c r="I27" s="66"/>
    </row>
    <row r="28" spans="2:18" ht="16.5" thickTop="1">
      <c r="D28" s="66"/>
      <c r="E28" s="66"/>
      <c r="F28" s="66"/>
      <c r="G28" s="66"/>
      <c r="H28" s="66"/>
      <c r="I28" s="66"/>
    </row>
    <row r="30" spans="2:18">
      <c r="B30">
        <v>10</v>
      </c>
      <c r="D30" s="54" t="s">
        <v>265</v>
      </c>
      <c r="E30" s="66"/>
      <c r="F30" s="66"/>
      <c r="G30" s="66"/>
      <c r="H30" s="66"/>
      <c r="I30" s="66"/>
      <c r="J30" s="66"/>
    </row>
    <row r="31" spans="2:18">
      <c r="B31">
        <v>11</v>
      </c>
      <c r="D31" s="54" t="s">
        <v>266</v>
      </c>
      <c r="E31" s="66"/>
      <c r="F31" s="66"/>
      <c r="G31" s="66"/>
      <c r="H31" s="66"/>
      <c r="I31" s="66"/>
      <c r="J31" s="66"/>
    </row>
    <row r="32" spans="2:18">
      <c r="B32">
        <v>12</v>
      </c>
      <c r="D32" s="54" t="s">
        <v>267</v>
      </c>
      <c r="E32" s="66"/>
      <c r="F32" s="66"/>
      <c r="G32" s="66"/>
      <c r="H32" s="66"/>
      <c r="I32" s="66"/>
      <c r="J32" s="66"/>
      <c r="N32" s="108"/>
      <c r="O32" s="108"/>
      <c r="P32" s="108"/>
      <c r="Q32" s="108"/>
      <c r="R32" s="108"/>
    </row>
    <row r="34" spans="2:10">
      <c r="B34">
        <v>13</v>
      </c>
      <c r="E34" s="66"/>
      <c r="F34" s="43" t="s">
        <v>284</v>
      </c>
      <c r="G34" s="66"/>
      <c r="H34" s="66"/>
      <c r="I34" s="66"/>
      <c r="J34" s="66"/>
    </row>
    <row r="35" spans="2:10">
      <c r="B35">
        <v>14</v>
      </c>
      <c r="D35" s="66" t="s">
        <v>268</v>
      </c>
      <c r="E35" s="66"/>
      <c r="F35" s="43" t="s">
        <v>281</v>
      </c>
      <c r="G35" s="66"/>
      <c r="H35" s="66"/>
      <c r="I35" s="66"/>
      <c r="J35" s="66"/>
    </row>
    <row r="36" spans="2:10">
      <c r="B36">
        <v>15</v>
      </c>
      <c r="D36" s="66" t="s">
        <v>439</v>
      </c>
      <c r="E36" s="66"/>
      <c r="F36" s="43" t="s">
        <v>282</v>
      </c>
      <c r="G36" s="66"/>
      <c r="H36" s="66"/>
      <c r="I36" s="66"/>
      <c r="J36" s="66"/>
    </row>
    <row r="37" spans="2:10">
      <c r="B37">
        <v>116</v>
      </c>
      <c r="D37" s="66" t="s">
        <v>289</v>
      </c>
      <c r="E37" s="66"/>
      <c r="F37" s="43" t="s">
        <v>287</v>
      </c>
      <c r="G37" s="66"/>
      <c r="H37" s="67">
        <v>462766</v>
      </c>
      <c r="I37" s="66"/>
    </row>
    <row r="39" spans="2:10">
      <c r="B39">
        <v>17</v>
      </c>
      <c r="D39" s="66" t="s">
        <v>270</v>
      </c>
      <c r="E39" s="66"/>
      <c r="F39" s="66"/>
      <c r="G39" s="66"/>
      <c r="H39" s="68">
        <v>0.22519500000000001</v>
      </c>
      <c r="I39" s="66"/>
    </row>
    <row r="41" spans="2:10">
      <c r="B41">
        <v>18</v>
      </c>
      <c r="D41" s="66" t="s">
        <v>271</v>
      </c>
      <c r="E41" s="66"/>
      <c r="F41" s="66"/>
      <c r="G41" s="66"/>
      <c r="H41" s="66"/>
      <c r="I41" s="66"/>
    </row>
    <row r="42" spans="2:10">
      <c r="B42">
        <v>19</v>
      </c>
      <c r="D42" s="66" t="s">
        <v>269</v>
      </c>
      <c r="E42" s="66"/>
      <c r="F42" s="43" t="s">
        <v>288</v>
      </c>
      <c r="G42" s="66"/>
      <c r="H42" s="67">
        <v>104212.58937</v>
      </c>
      <c r="I42" s="66"/>
    </row>
    <row r="44" spans="2:10">
      <c r="B44">
        <v>20</v>
      </c>
      <c r="D44" s="66" t="s">
        <v>263</v>
      </c>
      <c r="E44" s="66"/>
      <c r="F44" s="66"/>
      <c r="G44" s="66"/>
      <c r="H44" s="69">
        <v>0.35</v>
      </c>
      <c r="I44" s="66"/>
    </row>
    <row r="46" spans="2:10" ht="16.5" thickBot="1">
      <c r="B46">
        <v>21</v>
      </c>
      <c r="D46" s="66" t="s">
        <v>264</v>
      </c>
      <c r="E46" s="66"/>
      <c r="F46" s="66" t="s">
        <v>290</v>
      </c>
      <c r="G46" s="66"/>
      <c r="H46" s="70">
        <v>-36474.406279499999</v>
      </c>
      <c r="I46" s="66"/>
    </row>
    <row r="47" spans="2:10" s="66" customFormat="1" ht="16.5" thickTop="1">
      <c r="H47" s="47"/>
    </row>
    <row r="48" spans="2:10">
      <c r="B48">
        <v>22</v>
      </c>
      <c r="D48" s="66"/>
      <c r="E48" s="66"/>
      <c r="F48" s="43" t="s">
        <v>221</v>
      </c>
      <c r="G48" s="66"/>
      <c r="H48" s="66"/>
      <c r="I48" s="66"/>
    </row>
    <row r="49" spans="2:8">
      <c r="B49">
        <v>23</v>
      </c>
      <c r="D49" s="66" t="s">
        <v>275</v>
      </c>
      <c r="F49" s="43" t="s">
        <v>203</v>
      </c>
    </row>
    <row r="50" spans="2:8">
      <c r="B50">
        <v>24</v>
      </c>
      <c r="D50" s="66" t="s">
        <v>151</v>
      </c>
      <c r="F50" s="43" t="s">
        <v>204</v>
      </c>
      <c r="H50" s="67">
        <v>-1173806.3986257478</v>
      </c>
    </row>
    <row r="52" spans="2:8">
      <c r="B52">
        <v>25</v>
      </c>
      <c r="D52" s="66" t="s">
        <v>277</v>
      </c>
    </row>
    <row r="53" spans="2:8">
      <c r="B53">
        <v>26</v>
      </c>
      <c r="D53" s="66" t="s">
        <v>278</v>
      </c>
    </row>
    <row r="54" spans="2:8">
      <c r="B54">
        <v>27</v>
      </c>
      <c r="D54" s="66" t="s">
        <v>279</v>
      </c>
      <c r="F54" s="43" t="s">
        <v>291</v>
      </c>
    </row>
    <row r="55" spans="2:8" ht="16.5" thickBot="1">
      <c r="B55">
        <v>28</v>
      </c>
      <c r="D55" s="66" t="s">
        <v>280</v>
      </c>
      <c r="F55" s="65" t="s">
        <v>292</v>
      </c>
      <c r="H55" s="42">
        <f>-H27-H46+H50</f>
        <v>-1046120.9423462478</v>
      </c>
    </row>
    <row r="56" spans="2:8" ht="16.5" thickTop="1"/>
  </sheetData>
  <mergeCells count="3">
    <mergeCell ref="D9:H9"/>
    <mergeCell ref="D10:H10"/>
    <mergeCell ref="D11:H11"/>
  </mergeCells>
  <pageMargins left="0.7" right="0.7" top="0.75" bottom="0.75" header="0.3" footer="0.3"/>
  <pageSetup scale="8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32"/>
  <sheetViews>
    <sheetView workbookViewId="0">
      <selection activeCell="F4" sqref="F4"/>
    </sheetView>
  </sheetViews>
  <sheetFormatPr defaultRowHeight="15.75"/>
  <cols>
    <col min="2" max="2" width="5.625" customWidth="1"/>
    <col min="3" max="3" width="2.625" customWidth="1"/>
    <col min="4" max="4" width="27" customWidth="1"/>
    <col min="5" max="5" width="2.625" customWidth="1"/>
    <col min="6" max="6" width="14.375" bestFit="1" customWidth="1"/>
    <col min="7" max="7" width="2.625" customWidth="1"/>
    <col min="8" max="8" width="14.5" bestFit="1" customWidth="1"/>
    <col min="9" max="9" width="2.625" customWidth="1"/>
    <col min="10" max="10" width="12.875" bestFit="1" customWidth="1"/>
    <col min="11" max="11" width="2.625" customWidth="1"/>
    <col min="12" max="12" width="14.75" bestFit="1" customWidth="1"/>
  </cols>
  <sheetData>
    <row r="1" spans="2:12">
      <c r="L1" s="33" t="s">
        <v>114</v>
      </c>
    </row>
    <row r="2" spans="2:12">
      <c r="L2" s="33" t="s">
        <v>486</v>
      </c>
    </row>
    <row r="3" spans="2:12">
      <c r="L3" s="33" t="s">
        <v>468</v>
      </c>
    </row>
    <row r="4" spans="2:12">
      <c r="L4" s="33" t="s">
        <v>419</v>
      </c>
    </row>
    <row r="5" spans="2:12">
      <c r="L5" s="33" t="s">
        <v>416</v>
      </c>
    </row>
    <row r="9" spans="2:12">
      <c r="G9" s="43" t="s">
        <v>124</v>
      </c>
    </row>
    <row r="10" spans="2:12">
      <c r="G10" s="43" t="s">
        <v>197</v>
      </c>
    </row>
    <row r="11" spans="2:12">
      <c r="G11" s="43" t="s">
        <v>446</v>
      </c>
    </row>
    <row r="13" spans="2:12">
      <c r="H13" s="43" t="s">
        <v>116</v>
      </c>
      <c r="I13" s="43"/>
      <c r="J13" s="43" t="s">
        <v>120</v>
      </c>
      <c r="K13" s="43"/>
      <c r="L13" s="43"/>
    </row>
    <row r="14" spans="2:12">
      <c r="F14" s="43"/>
      <c r="H14" s="43" t="s">
        <v>117</v>
      </c>
      <c r="I14" s="43"/>
      <c r="J14" s="43" t="s">
        <v>121</v>
      </c>
      <c r="K14" s="43"/>
      <c r="L14" s="43" t="s">
        <v>125</v>
      </c>
    </row>
    <row r="15" spans="2:12">
      <c r="B15" s="43" t="s">
        <v>102</v>
      </c>
      <c r="D15" s="35"/>
      <c r="F15" s="43"/>
      <c r="H15" s="43" t="s">
        <v>118</v>
      </c>
      <c r="I15" s="43"/>
      <c r="J15" s="43" t="s">
        <v>122</v>
      </c>
      <c r="K15" s="43"/>
      <c r="L15" s="43" t="s">
        <v>126</v>
      </c>
    </row>
    <row r="16" spans="2:12">
      <c r="B16" s="30" t="s">
        <v>103</v>
      </c>
      <c r="D16" s="30" t="s">
        <v>145</v>
      </c>
      <c r="F16" s="30" t="s">
        <v>198</v>
      </c>
      <c r="H16" s="30" t="s">
        <v>119</v>
      </c>
      <c r="I16" s="43"/>
      <c r="J16" s="30" t="s">
        <v>123</v>
      </c>
      <c r="K16" s="43"/>
      <c r="L16" s="30" t="s">
        <v>123</v>
      </c>
    </row>
    <row r="17" spans="2:18">
      <c r="B17" s="43"/>
    </row>
    <row r="18" spans="2:18">
      <c r="B18" s="43">
        <v>1</v>
      </c>
      <c r="D18" t="s">
        <v>199</v>
      </c>
    </row>
    <row r="19" spans="2:18">
      <c r="B19" s="43">
        <v>2</v>
      </c>
      <c r="D19" t="s">
        <v>200</v>
      </c>
      <c r="F19" s="43" t="s">
        <v>221</v>
      </c>
    </row>
    <row r="20" spans="2:18">
      <c r="B20" s="43">
        <v>3</v>
      </c>
      <c r="D20" t="s">
        <v>201</v>
      </c>
      <c r="F20" s="43" t="s">
        <v>203</v>
      </c>
    </row>
    <row r="21" spans="2:18">
      <c r="B21" s="43">
        <v>4</v>
      </c>
      <c r="D21" t="s">
        <v>202</v>
      </c>
      <c r="F21" s="43" t="s">
        <v>204</v>
      </c>
      <c r="H21" s="41">
        <f>234863+1310203</f>
        <v>1545066</v>
      </c>
      <c r="I21" s="41"/>
      <c r="J21" s="41">
        <f>-949180</f>
        <v>-949180</v>
      </c>
      <c r="K21" s="41"/>
      <c r="L21" s="41">
        <v>38505986</v>
      </c>
    </row>
    <row r="22" spans="2:18">
      <c r="B22" s="43"/>
    </row>
    <row r="23" spans="2:18">
      <c r="B23" s="43">
        <v>5</v>
      </c>
      <c r="D23" s="66" t="s">
        <v>440</v>
      </c>
    </row>
    <row r="24" spans="2:18">
      <c r="B24" s="43">
        <v>6</v>
      </c>
      <c r="D24" t="s">
        <v>205</v>
      </c>
    </row>
    <row r="25" spans="2:18">
      <c r="B25" s="43">
        <v>7</v>
      </c>
      <c r="D25" s="56" t="s">
        <v>206</v>
      </c>
    </row>
    <row r="26" spans="2:18">
      <c r="B26" s="43">
        <v>8</v>
      </c>
      <c r="D26" s="66" t="s">
        <v>462</v>
      </c>
      <c r="F26" s="43" t="s">
        <v>458</v>
      </c>
      <c r="H26" s="38">
        <f>-109691</f>
        <v>-109691</v>
      </c>
      <c r="I26" s="36"/>
      <c r="J26" s="38">
        <f>+H26*-0.65</f>
        <v>71299.150000000009</v>
      </c>
      <c r="K26" s="36"/>
      <c r="L26" s="38">
        <f>-3703431</f>
        <v>-3703431</v>
      </c>
    </row>
    <row r="27" spans="2:18">
      <c r="B27" s="43"/>
      <c r="F27" s="43"/>
    </row>
    <row r="28" spans="2:18">
      <c r="B28" s="43">
        <v>9</v>
      </c>
      <c r="D28" t="s">
        <v>207</v>
      </c>
      <c r="F28" s="43"/>
    </row>
    <row r="29" spans="2:18">
      <c r="B29" s="43">
        <v>10</v>
      </c>
      <c r="D29" t="s">
        <v>208</v>
      </c>
      <c r="F29" s="43"/>
    </row>
    <row r="30" spans="2:18" ht="16.5" thickBot="1">
      <c r="B30" s="43">
        <v>11</v>
      </c>
      <c r="D30" s="66" t="s">
        <v>441</v>
      </c>
      <c r="F30" s="43" t="s">
        <v>442</v>
      </c>
      <c r="H30" s="42">
        <f>+H21+H26</f>
        <v>1435375</v>
      </c>
      <c r="J30" s="42">
        <f>+J21+J26</f>
        <v>-877880.85</v>
      </c>
      <c r="L30" s="42">
        <f>+L21+L26</f>
        <v>34802555</v>
      </c>
    </row>
    <row r="31" spans="2:18" ht="16.5" thickTop="1"/>
    <row r="32" spans="2:18">
      <c r="N32" s="108"/>
      <c r="O32" s="108"/>
      <c r="P32" s="108"/>
      <c r="Q32" s="108"/>
      <c r="R32" s="108"/>
    </row>
  </sheetData>
  <pageMargins left="0.7" right="0.7" top="0.75" bottom="0.75" header="0.3" footer="0.3"/>
  <pageSetup scale="7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8"/>
  <sheetViews>
    <sheetView workbookViewId="0">
      <selection activeCell="D4" sqref="D4"/>
    </sheetView>
  </sheetViews>
  <sheetFormatPr defaultRowHeight="15.75"/>
  <cols>
    <col min="2" max="2" width="5.625" customWidth="1"/>
    <col min="3" max="3" width="2.625" customWidth="1"/>
    <col min="4" max="4" width="47.625" customWidth="1"/>
    <col min="5" max="5" width="2.625" customWidth="1"/>
    <col min="6" max="6" width="18.875" bestFit="1" customWidth="1"/>
    <col min="7" max="7" width="2.625" customWidth="1"/>
    <col min="8" max="8" width="19.875" bestFit="1" customWidth="1"/>
  </cols>
  <sheetData>
    <row r="1" spans="1:9">
      <c r="A1" s="66"/>
      <c r="B1" s="66"/>
      <c r="C1" s="66"/>
      <c r="D1" s="66"/>
      <c r="E1" s="66"/>
      <c r="F1" s="66"/>
      <c r="G1" s="66"/>
      <c r="H1" s="33" t="s">
        <v>114</v>
      </c>
      <c r="I1" s="66"/>
    </row>
    <row r="2" spans="1:9">
      <c r="A2" s="66"/>
      <c r="B2" s="66"/>
      <c r="C2" s="66"/>
      <c r="D2" s="66"/>
      <c r="E2" s="66"/>
      <c r="F2" s="66"/>
      <c r="G2" s="66"/>
      <c r="H2" s="33" t="s">
        <v>486</v>
      </c>
      <c r="I2" s="66"/>
    </row>
    <row r="3" spans="1:9">
      <c r="A3" s="66"/>
      <c r="B3" s="66"/>
      <c r="C3" s="66"/>
      <c r="D3" s="66"/>
      <c r="E3" s="66"/>
      <c r="F3" s="66"/>
      <c r="G3" s="66"/>
      <c r="H3" s="33" t="s">
        <v>467</v>
      </c>
      <c r="I3" s="66"/>
    </row>
    <row r="4" spans="1:9">
      <c r="A4" s="66"/>
      <c r="B4" s="66"/>
      <c r="C4" s="66"/>
      <c r="D4" s="66"/>
      <c r="E4" s="66"/>
      <c r="F4" s="66"/>
      <c r="G4" s="66"/>
      <c r="H4" s="33" t="s">
        <v>420</v>
      </c>
      <c r="I4" s="66"/>
    </row>
    <row r="5" spans="1:9">
      <c r="A5" s="66"/>
      <c r="B5" s="66"/>
      <c r="C5" s="66"/>
      <c r="D5" s="66"/>
      <c r="E5" s="66"/>
      <c r="F5" s="66"/>
      <c r="G5" s="66"/>
      <c r="H5" s="33" t="s">
        <v>378</v>
      </c>
      <c r="I5" s="66"/>
    </row>
    <row r="6" spans="1:9">
      <c r="A6" s="66"/>
      <c r="B6" s="66"/>
      <c r="C6" s="66"/>
      <c r="D6" s="66"/>
      <c r="E6" s="66"/>
      <c r="F6" s="66"/>
      <c r="G6" s="66"/>
      <c r="H6" s="66"/>
      <c r="I6" s="66"/>
    </row>
    <row r="7" spans="1:9">
      <c r="A7" s="66"/>
      <c r="B7" s="66"/>
      <c r="C7" s="66"/>
      <c r="D7" s="66"/>
      <c r="E7" s="66"/>
      <c r="F7" s="66"/>
      <c r="G7" s="66"/>
      <c r="H7" s="66"/>
      <c r="I7" s="66"/>
    </row>
    <row r="8" spans="1:9">
      <c r="A8" s="66"/>
      <c r="B8" s="66"/>
      <c r="C8" s="66"/>
      <c r="D8" s="66"/>
      <c r="E8" s="66"/>
      <c r="F8" s="66"/>
      <c r="G8" s="66"/>
      <c r="H8" s="66"/>
      <c r="I8" s="66"/>
    </row>
    <row r="9" spans="1:9">
      <c r="A9" s="66"/>
      <c r="B9" s="66"/>
      <c r="C9" s="66"/>
      <c r="D9" s="176" t="s">
        <v>124</v>
      </c>
      <c r="E9" s="176"/>
      <c r="F9" s="176"/>
      <c r="G9" s="176"/>
      <c r="H9" s="176"/>
      <c r="I9" s="66"/>
    </row>
    <row r="10" spans="1:9">
      <c r="A10" s="66"/>
      <c r="B10" s="66"/>
      <c r="C10" s="66"/>
      <c r="D10" s="176" t="s">
        <v>333</v>
      </c>
      <c r="E10" s="176"/>
      <c r="F10" s="176"/>
      <c r="G10" s="176"/>
      <c r="H10" s="176"/>
      <c r="I10" s="66"/>
    </row>
    <row r="11" spans="1:9">
      <c r="A11" s="66"/>
      <c r="B11" s="66"/>
      <c r="C11" s="66"/>
      <c r="D11" s="176" t="s">
        <v>334</v>
      </c>
      <c r="E11" s="176"/>
      <c r="F11" s="176"/>
      <c r="G11" s="176"/>
      <c r="H11" s="176"/>
      <c r="I11" s="66"/>
    </row>
    <row r="12" spans="1:9">
      <c r="A12" s="66"/>
      <c r="B12" s="66"/>
      <c r="C12" s="66"/>
      <c r="D12" s="66"/>
      <c r="E12" s="66"/>
      <c r="F12" s="66"/>
      <c r="G12" s="66"/>
      <c r="H12" s="66"/>
      <c r="I12" s="66"/>
    </row>
    <row r="13" spans="1:9">
      <c r="A13" s="66"/>
      <c r="B13" s="66"/>
      <c r="C13" s="66"/>
      <c r="D13" s="66"/>
      <c r="E13" s="66"/>
      <c r="F13" s="43"/>
      <c r="G13" s="43"/>
      <c r="H13" s="43"/>
      <c r="I13" s="66"/>
    </row>
    <row r="14" spans="1:9">
      <c r="A14" s="66"/>
      <c r="B14" s="30" t="s">
        <v>103</v>
      </c>
      <c r="C14" s="66"/>
      <c r="D14" s="30" t="s">
        <v>145</v>
      </c>
      <c r="E14" s="66"/>
      <c r="F14" s="30" t="s">
        <v>146</v>
      </c>
      <c r="G14" s="43"/>
      <c r="H14" s="30" t="s">
        <v>147</v>
      </c>
      <c r="I14" s="66"/>
    </row>
    <row r="15" spans="1:9">
      <c r="A15" s="66"/>
      <c r="B15" s="66"/>
      <c r="C15" s="66"/>
      <c r="D15" s="66"/>
      <c r="E15" s="66"/>
      <c r="F15" s="66"/>
      <c r="G15" s="66"/>
      <c r="H15" s="66"/>
      <c r="I15" s="66"/>
    </row>
    <row r="16" spans="1:9">
      <c r="B16" s="43">
        <v>1</v>
      </c>
      <c r="D16" s="147" t="s">
        <v>335</v>
      </c>
      <c r="E16" s="147"/>
      <c r="F16" s="148" t="s">
        <v>341</v>
      </c>
      <c r="G16" s="59"/>
      <c r="H16" s="147"/>
    </row>
    <row r="17" spans="2:18">
      <c r="B17" s="43">
        <v>2</v>
      </c>
      <c r="D17" s="149" t="s">
        <v>343</v>
      </c>
      <c r="E17" s="147"/>
      <c r="F17" s="148" t="s">
        <v>342</v>
      </c>
      <c r="G17" s="59"/>
      <c r="H17" s="96">
        <v>1568853010</v>
      </c>
    </row>
    <row r="18" spans="2:18">
      <c r="B18" s="43"/>
      <c r="D18" s="147"/>
      <c r="E18" s="147"/>
      <c r="F18" s="147"/>
      <c r="G18" s="59"/>
      <c r="H18" s="96"/>
    </row>
    <row r="19" spans="2:18">
      <c r="B19" s="43">
        <v>3</v>
      </c>
      <c r="D19" s="147" t="s">
        <v>336</v>
      </c>
      <c r="E19" s="147"/>
      <c r="F19" s="148" t="s">
        <v>344</v>
      </c>
      <c r="G19" s="59"/>
      <c r="H19" s="96"/>
    </row>
    <row r="20" spans="2:18">
      <c r="B20" s="43">
        <v>4</v>
      </c>
      <c r="D20" s="147" t="s">
        <v>337</v>
      </c>
      <c r="E20" s="147"/>
      <c r="F20" s="148" t="s">
        <v>230</v>
      </c>
      <c r="G20" s="59"/>
      <c r="H20" s="96">
        <v>1548941051</v>
      </c>
    </row>
    <row r="21" spans="2:18">
      <c r="B21" s="43"/>
      <c r="D21" s="147"/>
      <c r="E21" s="147"/>
      <c r="F21" s="147"/>
      <c r="G21" s="59"/>
      <c r="H21" s="96"/>
    </row>
    <row r="22" spans="2:18">
      <c r="B22" s="43">
        <v>5</v>
      </c>
      <c r="D22" s="147" t="s">
        <v>338</v>
      </c>
      <c r="E22" s="147"/>
      <c r="F22" s="147"/>
      <c r="G22" s="59"/>
      <c r="H22" s="147"/>
    </row>
    <row r="23" spans="2:18">
      <c r="B23" s="43">
        <v>6</v>
      </c>
      <c r="D23" s="147" t="s">
        <v>443</v>
      </c>
      <c r="E23" s="147"/>
      <c r="F23" s="147"/>
      <c r="G23" s="59"/>
      <c r="H23" s="147"/>
    </row>
    <row r="24" spans="2:18">
      <c r="B24" s="43">
        <v>7</v>
      </c>
      <c r="D24" s="147" t="s">
        <v>339</v>
      </c>
      <c r="E24" s="147"/>
      <c r="F24" s="147"/>
      <c r="G24" s="59"/>
      <c r="H24" s="147"/>
    </row>
    <row r="25" spans="2:18">
      <c r="B25" s="43">
        <v>8</v>
      </c>
      <c r="D25" s="147" t="s">
        <v>340</v>
      </c>
      <c r="E25" s="147"/>
      <c r="F25" s="147" t="s">
        <v>356</v>
      </c>
      <c r="G25" s="59"/>
      <c r="H25" s="150">
        <f>+H17/H20-1</f>
        <v>1.2855207747993314E-2</v>
      </c>
    </row>
    <row r="26" spans="2:18">
      <c r="B26" s="43"/>
      <c r="D26" s="147"/>
      <c r="E26" s="147"/>
      <c r="F26" s="147"/>
      <c r="G26" s="59"/>
      <c r="H26" s="150"/>
    </row>
    <row r="27" spans="2:18">
      <c r="B27" s="43">
        <v>9</v>
      </c>
      <c r="D27" s="151" t="s">
        <v>345</v>
      </c>
      <c r="E27" s="59"/>
      <c r="F27" s="59"/>
      <c r="G27" s="59"/>
      <c r="H27" s="59"/>
    </row>
    <row r="28" spans="2:18">
      <c r="B28" s="43">
        <v>10</v>
      </c>
      <c r="D28" s="151" t="s">
        <v>346</v>
      </c>
      <c r="E28" s="59"/>
      <c r="F28" s="148" t="s">
        <v>344</v>
      </c>
      <c r="G28" s="59"/>
      <c r="H28" s="59"/>
    </row>
    <row r="29" spans="2:18">
      <c r="B29" s="43">
        <v>11</v>
      </c>
      <c r="D29" s="151" t="s">
        <v>347</v>
      </c>
      <c r="E29" s="59"/>
      <c r="F29" s="148" t="s">
        <v>230</v>
      </c>
      <c r="G29" s="59"/>
      <c r="H29" s="144">
        <v>40395166</v>
      </c>
    </row>
    <row r="30" spans="2:18">
      <c r="B30" s="43"/>
      <c r="D30" s="59"/>
      <c r="E30" s="59"/>
      <c r="F30" s="59"/>
      <c r="G30" s="59"/>
      <c r="H30" s="59"/>
    </row>
    <row r="31" spans="2:18">
      <c r="B31" s="43">
        <v>12</v>
      </c>
      <c r="D31" s="151" t="s">
        <v>348</v>
      </c>
      <c r="E31" s="59"/>
      <c r="F31" s="59"/>
      <c r="G31" s="59"/>
      <c r="H31" s="59"/>
    </row>
    <row r="32" spans="2:18">
      <c r="B32" s="43">
        <v>13</v>
      </c>
      <c r="D32" s="151" t="s">
        <v>349</v>
      </c>
      <c r="E32" s="59"/>
      <c r="F32" s="59"/>
      <c r="G32" s="59"/>
      <c r="H32" s="59"/>
      <c r="N32" s="108"/>
      <c r="O32" s="108"/>
      <c r="P32" s="108"/>
      <c r="Q32" s="108"/>
      <c r="R32" s="108"/>
    </row>
    <row r="33" spans="2:8">
      <c r="B33" s="43">
        <v>14</v>
      </c>
      <c r="D33" s="151" t="s">
        <v>350</v>
      </c>
      <c r="E33" s="59"/>
      <c r="F33" s="59"/>
      <c r="G33" s="59"/>
      <c r="H33" s="59"/>
    </row>
    <row r="34" spans="2:8">
      <c r="B34" s="43">
        <v>15</v>
      </c>
      <c r="D34" s="151" t="s">
        <v>351</v>
      </c>
      <c r="E34" s="59"/>
      <c r="F34" s="59" t="s">
        <v>357</v>
      </c>
      <c r="G34" s="59"/>
      <c r="H34" s="145">
        <f>+H25*H29</f>
        <v>519288.25094467605</v>
      </c>
    </row>
    <row r="35" spans="2:8">
      <c r="B35" s="43"/>
      <c r="D35" s="59"/>
      <c r="E35" s="59"/>
      <c r="F35" s="59"/>
      <c r="G35" s="59"/>
      <c r="H35" s="59"/>
    </row>
    <row r="36" spans="2:8">
      <c r="B36" s="43">
        <v>16</v>
      </c>
      <c r="D36" s="147" t="s">
        <v>153</v>
      </c>
      <c r="E36" s="147"/>
      <c r="F36" s="147"/>
      <c r="G36" s="59"/>
      <c r="H36" s="152">
        <v>0.35</v>
      </c>
    </row>
    <row r="37" spans="2:8">
      <c r="B37" s="43"/>
      <c r="D37" s="147"/>
      <c r="E37" s="147"/>
      <c r="F37" s="147"/>
      <c r="G37" s="59"/>
      <c r="H37" s="150"/>
    </row>
    <row r="38" spans="2:8">
      <c r="B38" s="43">
        <v>17</v>
      </c>
      <c r="D38" s="147" t="s">
        <v>352</v>
      </c>
      <c r="E38" s="147"/>
      <c r="F38" s="147" t="s">
        <v>358</v>
      </c>
      <c r="G38" s="59"/>
      <c r="H38" s="153">
        <f>+H34*-H36</f>
        <v>-181750.88783063661</v>
      </c>
    </row>
    <row r="39" spans="2:8">
      <c r="B39" s="43"/>
      <c r="D39" s="147"/>
      <c r="E39" s="147"/>
      <c r="F39" s="147"/>
      <c r="G39" s="59"/>
      <c r="H39" s="154"/>
    </row>
    <row r="40" spans="2:8">
      <c r="B40" s="43">
        <v>18</v>
      </c>
      <c r="D40" s="155" t="s">
        <v>353</v>
      </c>
      <c r="E40" s="155"/>
      <c r="F40" s="155"/>
      <c r="G40" s="54"/>
      <c r="H40" s="156"/>
    </row>
    <row r="41" spans="2:8">
      <c r="B41" s="43">
        <v>19</v>
      </c>
      <c r="D41" s="157" t="s">
        <v>354</v>
      </c>
      <c r="E41" s="54"/>
      <c r="F41" s="54"/>
      <c r="G41" s="54"/>
      <c r="H41" s="54"/>
    </row>
    <row r="42" spans="2:8">
      <c r="B42" s="43">
        <v>20</v>
      </c>
      <c r="D42" s="157" t="s">
        <v>355</v>
      </c>
      <c r="E42" s="54"/>
      <c r="F42" s="54"/>
      <c r="G42" s="54"/>
      <c r="H42" s="54"/>
    </row>
    <row r="43" spans="2:8" ht="16.5" thickBot="1">
      <c r="B43" s="43">
        <v>21</v>
      </c>
      <c r="D43" s="157" t="s">
        <v>360</v>
      </c>
      <c r="E43" s="54"/>
      <c r="F43" s="59" t="s">
        <v>359</v>
      </c>
      <c r="G43" s="54"/>
      <c r="H43" s="158">
        <f>-H34-H38</f>
        <v>-337537.36311403941</v>
      </c>
    </row>
    <row r="44" spans="2:8" ht="16.5" thickTop="1">
      <c r="B44" s="43"/>
      <c r="D44" s="59"/>
      <c r="E44" s="59"/>
      <c r="F44" s="59"/>
      <c r="G44" s="59"/>
      <c r="H44" s="59"/>
    </row>
    <row r="45" spans="2:8" s="66" customFormat="1">
      <c r="B45" s="43"/>
      <c r="D45" s="59"/>
      <c r="E45" s="59"/>
      <c r="F45" s="59"/>
      <c r="G45" s="59"/>
      <c r="H45" s="59"/>
    </row>
    <row r="46" spans="2:8">
      <c r="B46" s="43">
        <v>22</v>
      </c>
      <c r="C46" s="66"/>
      <c r="D46" s="59"/>
      <c r="E46" s="59"/>
      <c r="F46" s="59" t="s">
        <v>364</v>
      </c>
      <c r="G46" s="59"/>
      <c r="H46" s="59"/>
    </row>
    <row r="47" spans="2:8">
      <c r="B47" s="43">
        <v>23</v>
      </c>
      <c r="C47" s="66"/>
      <c r="D47" s="151" t="s">
        <v>361</v>
      </c>
      <c r="E47" s="59"/>
      <c r="F47" s="148" t="s">
        <v>365</v>
      </c>
      <c r="G47" s="59"/>
      <c r="H47" s="59"/>
    </row>
    <row r="48" spans="2:8">
      <c r="B48" s="43">
        <v>24</v>
      </c>
      <c r="C48" s="66"/>
      <c r="D48" s="151" t="s">
        <v>362</v>
      </c>
      <c r="E48" s="59"/>
      <c r="F48" s="148" t="s">
        <v>366</v>
      </c>
      <c r="G48" s="59"/>
      <c r="H48" s="59"/>
    </row>
    <row r="49" spans="2:8">
      <c r="B49" s="43">
        <v>25</v>
      </c>
      <c r="C49" s="66"/>
      <c r="D49" s="151" t="s">
        <v>363</v>
      </c>
      <c r="E49" s="59"/>
      <c r="F49" s="146" t="s">
        <v>367</v>
      </c>
      <c r="G49" s="59"/>
      <c r="H49" s="144">
        <f>+H29+801076</f>
        <v>41196242</v>
      </c>
    </row>
    <row r="50" spans="2:8" s="66" customFormat="1">
      <c r="B50" s="43"/>
      <c r="D50" s="59"/>
      <c r="E50" s="59"/>
      <c r="F50" s="146"/>
      <c r="G50" s="59"/>
      <c r="H50" s="59"/>
    </row>
    <row r="51" spans="2:8">
      <c r="B51" s="43">
        <v>26</v>
      </c>
      <c r="C51" s="66"/>
      <c r="D51" s="151" t="s">
        <v>368</v>
      </c>
      <c r="E51" s="59"/>
      <c r="F51" s="59"/>
      <c r="G51" s="59"/>
      <c r="H51" s="59"/>
    </row>
    <row r="52" spans="2:8">
      <c r="B52" s="43">
        <v>27</v>
      </c>
      <c r="C52" s="66"/>
      <c r="D52" s="151" t="s">
        <v>349</v>
      </c>
      <c r="E52" s="59"/>
      <c r="F52" s="59"/>
      <c r="G52" s="59"/>
      <c r="H52" s="59"/>
    </row>
    <row r="53" spans="2:8">
      <c r="B53" s="43">
        <v>28</v>
      </c>
      <c r="C53" s="66"/>
      <c r="D53" s="151" t="s">
        <v>369</v>
      </c>
      <c r="E53" s="59"/>
      <c r="F53" s="59"/>
      <c r="G53" s="59"/>
      <c r="H53" s="59"/>
    </row>
    <row r="54" spans="2:8">
      <c r="B54" s="43">
        <v>29</v>
      </c>
      <c r="C54" s="66"/>
      <c r="D54" s="151" t="s">
        <v>351</v>
      </c>
      <c r="E54" s="59"/>
      <c r="F54" s="59" t="s">
        <v>370</v>
      </c>
      <c r="G54" s="59"/>
      <c r="H54" s="145">
        <f>+H25*H49</f>
        <v>529586.2493466076</v>
      </c>
    </row>
    <row r="55" spans="2:8">
      <c r="B55" s="43"/>
      <c r="C55" s="66"/>
      <c r="D55" s="59"/>
      <c r="E55" s="59"/>
      <c r="F55" s="59"/>
      <c r="G55" s="59"/>
      <c r="H55" s="59"/>
    </row>
    <row r="56" spans="2:8">
      <c r="B56" s="43">
        <v>30</v>
      </c>
      <c r="C56" s="66"/>
      <c r="D56" s="147" t="s">
        <v>153</v>
      </c>
      <c r="E56" s="147"/>
      <c r="F56" s="147"/>
      <c r="G56" s="59"/>
      <c r="H56" s="152">
        <v>0.35</v>
      </c>
    </row>
    <row r="57" spans="2:8">
      <c r="B57" s="43"/>
      <c r="C57" s="66"/>
      <c r="D57" s="147"/>
      <c r="E57" s="147"/>
      <c r="F57" s="147"/>
      <c r="G57" s="59"/>
      <c r="H57" s="150"/>
    </row>
    <row r="58" spans="2:8">
      <c r="B58" s="43">
        <v>31</v>
      </c>
      <c r="C58" s="66"/>
      <c r="D58" s="147" t="s">
        <v>352</v>
      </c>
      <c r="E58" s="147"/>
      <c r="F58" s="147" t="s">
        <v>376</v>
      </c>
      <c r="G58" s="59"/>
      <c r="H58" s="153">
        <f>+H54*-H56</f>
        <v>-185355.18727131264</v>
      </c>
    </row>
    <row r="59" spans="2:8">
      <c r="B59" s="43"/>
      <c r="C59" s="66"/>
      <c r="D59" s="147"/>
      <c r="E59" s="147"/>
      <c r="F59" s="147"/>
      <c r="G59" s="59"/>
      <c r="H59" s="154"/>
    </row>
    <row r="60" spans="2:8">
      <c r="B60" s="43">
        <v>32</v>
      </c>
      <c r="C60" s="66"/>
      <c r="D60" s="155" t="s">
        <v>371</v>
      </c>
      <c r="E60" s="155"/>
      <c r="F60" s="155"/>
      <c r="G60" s="54"/>
      <c r="H60" s="156"/>
    </row>
    <row r="61" spans="2:8">
      <c r="B61" s="43">
        <v>33</v>
      </c>
      <c r="C61" s="66"/>
      <c r="D61" s="157" t="s">
        <v>354</v>
      </c>
      <c r="E61" s="54"/>
      <c r="F61" s="54"/>
      <c r="G61" s="54"/>
      <c r="H61" s="54"/>
    </row>
    <row r="62" spans="2:8">
      <c r="B62" s="43">
        <v>34</v>
      </c>
      <c r="C62" s="66"/>
      <c r="D62" s="157" t="s">
        <v>372</v>
      </c>
      <c r="E62" s="54"/>
      <c r="F62" s="54"/>
      <c r="G62" s="54"/>
      <c r="H62" s="54"/>
    </row>
    <row r="63" spans="2:8">
      <c r="B63" s="43">
        <v>35</v>
      </c>
      <c r="C63" s="66"/>
      <c r="D63" s="157" t="s">
        <v>373</v>
      </c>
      <c r="E63" s="54"/>
      <c r="F63" s="159" t="s">
        <v>377</v>
      </c>
      <c r="G63" s="54"/>
    </row>
    <row r="64" spans="2:8">
      <c r="B64" s="43">
        <v>36</v>
      </c>
      <c r="D64" s="157" t="s">
        <v>374</v>
      </c>
    </row>
    <row r="65" spans="2:8">
      <c r="B65" s="43">
        <v>37</v>
      </c>
      <c r="D65" s="157" t="s">
        <v>375</v>
      </c>
    </row>
    <row r="66" spans="2:8">
      <c r="B66" s="43">
        <v>38</v>
      </c>
      <c r="D66" s="157" t="s">
        <v>444</v>
      </c>
    </row>
    <row r="67" spans="2:8" ht="16.5" thickBot="1">
      <c r="B67" s="43">
        <v>39</v>
      </c>
      <c r="D67" s="157" t="s">
        <v>445</v>
      </c>
      <c r="H67" s="168">
        <f>-H54-H58</f>
        <v>-344231.06207529496</v>
      </c>
    </row>
    <row r="68" spans="2:8" ht="16.5" thickTop="1"/>
  </sheetData>
  <mergeCells count="3">
    <mergeCell ref="D9:H9"/>
    <mergeCell ref="D10:H10"/>
    <mergeCell ref="D11:H11"/>
  </mergeCells>
  <pageMargins left="0.7" right="0.7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V32"/>
  <sheetViews>
    <sheetView workbookViewId="0">
      <selection activeCell="F5" sqref="F5"/>
    </sheetView>
  </sheetViews>
  <sheetFormatPr defaultRowHeight="15.75"/>
  <cols>
    <col min="2" max="2" width="5.625" customWidth="1"/>
    <col min="3" max="3" width="2.625" customWidth="1"/>
    <col min="4" max="4" width="43.5" customWidth="1"/>
    <col min="5" max="5" width="2.625" customWidth="1"/>
    <col min="6" max="6" width="17.75" bestFit="1" customWidth="1"/>
    <col min="7" max="7" width="2.625" customWidth="1"/>
    <col min="8" max="8" width="15.375" bestFit="1" customWidth="1"/>
  </cols>
  <sheetData>
    <row r="1" spans="2:8">
      <c r="H1" s="33" t="s">
        <v>114</v>
      </c>
    </row>
    <row r="2" spans="2:8">
      <c r="H2" s="33" t="s">
        <v>486</v>
      </c>
    </row>
    <row r="3" spans="2:8">
      <c r="H3" s="33" t="s">
        <v>466</v>
      </c>
    </row>
    <row r="4" spans="2:8">
      <c r="H4" s="33" t="s">
        <v>421</v>
      </c>
    </row>
    <row r="5" spans="2:8">
      <c r="H5" s="33" t="s">
        <v>417</v>
      </c>
    </row>
    <row r="9" spans="2:8">
      <c r="D9" s="176" t="s">
        <v>124</v>
      </c>
      <c r="E9" s="176"/>
      <c r="F9" s="176"/>
      <c r="G9" s="176"/>
      <c r="H9" s="176"/>
    </row>
    <row r="10" spans="2:8">
      <c r="D10" s="176" t="s">
        <v>217</v>
      </c>
      <c r="E10" s="176"/>
      <c r="F10" s="176"/>
      <c r="G10" s="176"/>
      <c r="H10" s="176"/>
    </row>
    <row r="11" spans="2:8">
      <c r="D11" s="176" t="s">
        <v>446</v>
      </c>
      <c r="E11" s="176"/>
      <c r="F11" s="176"/>
      <c r="G11" s="176"/>
      <c r="H11" s="176"/>
    </row>
    <row r="12" spans="2:8">
      <c r="D12" s="43"/>
      <c r="E12" s="43"/>
      <c r="F12" s="43"/>
      <c r="G12" s="43"/>
    </row>
    <row r="13" spans="2:8">
      <c r="H13" s="35"/>
    </row>
    <row r="14" spans="2:8">
      <c r="F14" s="43"/>
      <c r="G14" s="43"/>
      <c r="H14" s="35" t="s">
        <v>1</v>
      </c>
    </row>
    <row r="15" spans="2:8">
      <c r="B15" s="30" t="s">
        <v>103</v>
      </c>
      <c r="D15" s="30" t="s">
        <v>145</v>
      </c>
      <c r="F15" s="30" t="s">
        <v>146</v>
      </c>
      <c r="G15" s="43"/>
      <c r="H15" s="30" t="s">
        <v>151</v>
      </c>
    </row>
    <row r="16" spans="2:8">
      <c r="D16" s="43" t="s">
        <v>189</v>
      </c>
      <c r="E16" s="43"/>
      <c r="F16" s="43" t="s">
        <v>190</v>
      </c>
      <c r="H16" s="55" t="s">
        <v>191</v>
      </c>
    </row>
    <row r="17" spans="2:22">
      <c r="H17" s="45"/>
    </row>
    <row r="18" spans="2:22">
      <c r="B18">
        <v>1</v>
      </c>
      <c r="F18" s="43" t="s">
        <v>222</v>
      </c>
    </row>
    <row r="19" spans="2:22">
      <c r="B19">
        <v>2</v>
      </c>
      <c r="D19" s="54" t="s">
        <v>220</v>
      </c>
      <c r="F19" s="43" t="s">
        <v>203</v>
      </c>
    </row>
    <row r="20" spans="2:22">
      <c r="B20">
        <v>3</v>
      </c>
      <c r="D20" s="54" t="s">
        <v>219</v>
      </c>
      <c r="F20" s="43" t="s">
        <v>204</v>
      </c>
      <c r="H20" s="46">
        <v>28493964</v>
      </c>
    </row>
    <row r="22" spans="2:22">
      <c r="B22">
        <v>4</v>
      </c>
      <c r="F22" s="43" t="s">
        <v>459</v>
      </c>
      <c r="H22" s="45"/>
    </row>
    <row r="23" spans="2:22">
      <c r="B23">
        <v>5</v>
      </c>
      <c r="D23" t="s">
        <v>223</v>
      </c>
      <c r="F23" s="43" t="s">
        <v>224</v>
      </c>
      <c r="H23" s="38">
        <f>-21526449</f>
        <v>-21526449</v>
      </c>
    </row>
    <row r="24" spans="2:22">
      <c r="H24" s="45"/>
    </row>
    <row r="25" spans="2:22">
      <c r="B25">
        <v>6</v>
      </c>
      <c r="D25" s="59" t="s">
        <v>218</v>
      </c>
    </row>
    <row r="26" spans="2:22">
      <c r="B26">
        <v>7</v>
      </c>
      <c r="D26" s="59" t="s">
        <v>219</v>
      </c>
    </row>
    <row r="27" spans="2:22" ht="16.5" thickBot="1">
      <c r="B27">
        <v>8</v>
      </c>
      <c r="D27" s="59" t="s">
        <v>463</v>
      </c>
      <c r="F27" s="43" t="s">
        <v>225</v>
      </c>
      <c r="H27" s="60">
        <f>+H20+H23</f>
        <v>6967515</v>
      </c>
    </row>
    <row r="28" spans="2:22" ht="16.5" thickTop="1"/>
    <row r="32" spans="2:22">
      <c r="N32" s="108"/>
      <c r="O32" s="108"/>
      <c r="P32" s="108"/>
      <c r="Q32" s="108"/>
      <c r="R32" s="108"/>
      <c r="S32" s="108"/>
      <c r="T32" s="108"/>
      <c r="U32" s="108"/>
      <c r="V32" s="108"/>
    </row>
  </sheetData>
  <mergeCells count="3">
    <mergeCell ref="D9:H9"/>
    <mergeCell ref="D10:H10"/>
    <mergeCell ref="D11:H11"/>
  </mergeCells>
  <pageMargins left="0.7" right="0.7" top="0.75" bottom="0.75" header="0.3" footer="0.3"/>
  <pageSetup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40"/>
  <sheetViews>
    <sheetView workbookViewId="0">
      <selection activeCell="D2" sqref="D2"/>
    </sheetView>
  </sheetViews>
  <sheetFormatPr defaultRowHeight="15.75"/>
  <cols>
    <col min="2" max="2" width="5.625" customWidth="1"/>
    <col min="3" max="3" width="2.625" customWidth="1"/>
    <col min="4" max="4" width="43.5" customWidth="1"/>
    <col min="5" max="5" width="2.625" customWidth="1"/>
    <col min="6" max="6" width="17.75" bestFit="1" customWidth="1"/>
    <col min="7" max="7" width="2.625" customWidth="1"/>
    <col min="8" max="8" width="15.375" bestFit="1" customWidth="1"/>
  </cols>
  <sheetData>
    <row r="1" spans="2:8">
      <c r="H1" s="33" t="s">
        <v>114</v>
      </c>
    </row>
    <row r="2" spans="2:8">
      <c r="H2" s="33" t="s">
        <v>486</v>
      </c>
    </row>
    <row r="3" spans="2:8">
      <c r="H3" s="33" t="s">
        <v>465</v>
      </c>
    </row>
    <row r="4" spans="2:8">
      <c r="H4" s="33" t="s">
        <v>422</v>
      </c>
    </row>
    <row r="5" spans="2:8">
      <c r="H5" s="33" t="s">
        <v>215</v>
      </c>
    </row>
    <row r="9" spans="2:8">
      <c r="D9" s="176" t="s">
        <v>124</v>
      </c>
      <c r="E9" s="176"/>
      <c r="F9" s="176"/>
      <c r="G9" s="176"/>
      <c r="H9" s="176"/>
    </row>
    <row r="10" spans="2:8">
      <c r="D10" s="176" t="s">
        <v>209</v>
      </c>
      <c r="E10" s="176"/>
      <c r="F10" s="176"/>
      <c r="G10" s="176"/>
      <c r="H10" s="176"/>
    </row>
    <row r="11" spans="2:8">
      <c r="D11" s="176" t="s">
        <v>446</v>
      </c>
      <c r="E11" s="176"/>
      <c r="F11" s="176"/>
      <c r="G11" s="176"/>
      <c r="H11" s="176"/>
    </row>
    <row r="12" spans="2:8">
      <c r="D12" s="43"/>
      <c r="E12" s="43"/>
      <c r="F12" s="43"/>
      <c r="G12" s="43"/>
    </row>
    <row r="13" spans="2:8">
      <c r="H13" s="35"/>
    </row>
    <row r="14" spans="2:8">
      <c r="F14" s="43"/>
      <c r="G14" s="43"/>
      <c r="H14" s="35" t="s">
        <v>1</v>
      </c>
    </row>
    <row r="15" spans="2:8">
      <c r="B15" s="30" t="s">
        <v>103</v>
      </c>
      <c r="D15" s="30" t="s">
        <v>145</v>
      </c>
      <c r="F15" s="30" t="s">
        <v>146</v>
      </c>
      <c r="G15" s="43"/>
      <c r="H15" s="30" t="s">
        <v>151</v>
      </c>
    </row>
    <row r="16" spans="2:8">
      <c r="D16" s="43" t="s">
        <v>189</v>
      </c>
      <c r="E16" s="43"/>
      <c r="F16" s="43" t="s">
        <v>190</v>
      </c>
      <c r="H16" s="55" t="s">
        <v>191</v>
      </c>
    </row>
    <row r="17" spans="2:18">
      <c r="H17" s="45"/>
    </row>
    <row r="18" spans="2:18">
      <c r="B18">
        <v>1</v>
      </c>
      <c r="D18" s="54" t="s">
        <v>210</v>
      </c>
    </row>
    <row r="19" spans="2:18">
      <c r="B19">
        <v>2</v>
      </c>
      <c r="D19" s="54" t="s">
        <v>460</v>
      </c>
    </row>
    <row r="20" spans="2:18">
      <c r="B20">
        <v>3</v>
      </c>
      <c r="D20" s="54" t="s">
        <v>211</v>
      </c>
    </row>
    <row r="22" spans="2:18">
      <c r="B22">
        <v>4</v>
      </c>
      <c r="D22" t="s">
        <v>213</v>
      </c>
      <c r="F22" s="43" t="s">
        <v>459</v>
      </c>
    </row>
    <row r="23" spans="2:18" ht="16.5" thickBot="1">
      <c r="B23">
        <v>5</v>
      </c>
      <c r="D23" t="s">
        <v>214</v>
      </c>
      <c r="F23" s="43" t="s">
        <v>212</v>
      </c>
      <c r="H23" s="42">
        <f>-3493008</f>
        <v>-3493008</v>
      </c>
    </row>
    <row r="24" spans="2:18" ht="16.5" thickTop="1"/>
    <row r="25" spans="2:18">
      <c r="B25" s="45"/>
      <c r="C25" s="45"/>
      <c r="D25" s="45"/>
      <c r="E25" s="45"/>
      <c r="F25" s="47"/>
      <c r="G25" s="45"/>
      <c r="H25" s="47"/>
    </row>
    <row r="26" spans="2:18">
      <c r="B26" s="45"/>
      <c r="C26" s="45"/>
      <c r="D26" s="45"/>
      <c r="E26" s="45"/>
      <c r="F26" s="47"/>
      <c r="G26" s="45"/>
      <c r="H26" s="47"/>
    </row>
    <row r="27" spans="2:18">
      <c r="B27" s="45"/>
      <c r="C27" s="45"/>
      <c r="D27" s="45"/>
      <c r="E27" s="45"/>
      <c r="F27" s="47"/>
      <c r="G27" s="45"/>
      <c r="H27" s="47"/>
    </row>
    <row r="28" spans="2:18">
      <c r="B28" s="45"/>
      <c r="C28" s="45"/>
      <c r="D28" s="45"/>
      <c r="E28" s="45"/>
      <c r="F28" s="47"/>
      <c r="G28" s="45"/>
      <c r="H28" s="47"/>
    </row>
    <row r="29" spans="2:18">
      <c r="B29" s="45"/>
      <c r="C29" s="45"/>
      <c r="D29" s="45"/>
      <c r="E29" s="45"/>
      <c r="F29" s="47"/>
      <c r="G29" s="45"/>
      <c r="H29" s="47"/>
    </row>
    <row r="30" spans="2:18">
      <c r="B30" s="45"/>
      <c r="C30" s="45"/>
      <c r="D30" s="45"/>
      <c r="E30" s="45"/>
      <c r="F30" s="47"/>
      <c r="G30" s="45"/>
      <c r="H30" s="45"/>
    </row>
    <row r="31" spans="2:18">
      <c r="B31" s="45"/>
      <c r="C31" s="45"/>
      <c r="D31" s="45"/>
      <c r="E31" s="45"/>
      <c r="F31" s="47"/>
      <c r="G31" s="45"/>
      <c r="H31" s="45"/>
    </row>
    <row r="32" spans="2:18">
      <c r="B32" s="45"/>
      <c r="C32" s="45"/>
      <c r="D32" s="45"/>
      <c r="E32" s="45"/>
      <c r="F32" s="47"/>
      <c r="G32" s="45"/>
      <c r="H32" s="47"/>
      <c r="N32" s="108"/>
      <c r="O32" s="108"/>
      <c r="P32" s="108"/>
      <c r="Q32" s="108"/>
      <c r="R32" s="108"/>
    </row>
    <row r="33" spans="2:8">
      <c r="B33" s="45"/>
      <c r="C33" s="45"/>
      <c r="D33" s="45"/>
      <c r="E33" s="45"/>
      <c r="F33" s="47"/>
      <c r="G33" s="45"/>
      <c r="H33" s="45"/>
    </row>
    <row r="34" spans="2:8">
      <c r="B34" s="45"/>
      <c r="C34" s="45"/>
      <c r="D34" s="45"/>
      <c r="E34" s="45"/>
      <c r="F34" s="47"/>
      <c r="G34" s="45"/>
      <c r="H34" s="45"/>
    </row>
    <row r="35" spans="2:8">
      <c r="B35" s="45"/>
      <c r="C35" s="45"/>
      <c r="D35" s="45"/>
      <c r="E35" s="45"/>
      <c r="F35" s="47"/>
      <c r="G35" s="45"/>
      <c r="H35" s="47"/>
    </row>
    <row r="36" spans="2:8">
      <c r="B36" s="45"/>
      <c r="C36" s="45"/>
      <c r="D36" s="45"/>
      <c r="E36" s="45"/>
      <c r="F36" s="45"/>
      <c r="G36" s="45"/>
      <c r="H36" s="45"/>
    </row>
    <row r="37" spans="2:8">
      <c r="B37" s="45"/>
      <c r="C37" s="45"/>
      <c r="D37" s="45"/>
      <c r="E37" s="45"/>
      <c r="F37" s="45"/>
      <c r="G37" s="45"/>
      <c r="H37" s="45"/>
    </row>
    <row r="38" spans="2:8">
      <c r="B38" s="45"/>
      <c r="C38" s="45"/>
      <c r="D38" s="57"/>
      <c r="E38" s="45"/>
      <c r="F38" s="46"/>
      <c r="G38" s="46"/>
      <c r="H38" s="46"/>
    </row>
    <row r="39" spans="2:8">
      <c r="B39" s="45"/>
      <c r="C39" s="45"/>
      <c r="D39" s="45"/>
      <c r="E39" s="45"/>
      <c r="F39" s="45"/>
      <c r="G39" s="45"/>
      <c r="H39" s="45"/>
    </row>
    <row r="40" spans="2:8">
      <c r="B40" s="45"/>
      <c r="C40" s="45"/>
      <c r="D40" s="45"/>
      <c r="E40" s="45"/>
      <c r="F40" s="45"/>
      <c r="G40" s="45"/>
      <c r="H40" s="45"/>
    </row>
  </sheetData>
  <mergeCells count="3">
    <mergeCell ref="D9:H9"/>
    <mergeCell ref="D10:H10"/>
    <mergeCell ref="D11:H11"/>
  </mergeCells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49"/>
  <sheetViews>
    <sheetView workbookViewId="0">
      <selection activeCell="L2" sqref="L2"/>
    </sheetView>
  </sheetViews>
  <sheetFormatPr defaultRowHeight="15.75"/>
  <cols>
    <col min="2" max="2" width="5.625" customWidth="1"/>
    <col min="3" max="3" width="2.625" customWidth="1"/>
    <col min="4" max="4" width="27" customWidth="1"/>
    <col min="5" max="5" width="2.625" customWidth="1"/>
    <col min="6" max="6" width="14.375" bestFit="1" customWidth="1"/>
    <col min="7" max="7" width="2.625" customWidth="1"/>
    <col min="8" max="8" width="14.375" bestFit="1" customWidth="1"/>
    <col min="9" max="9" width="2.625" customWidth="1"/>
    <col min="10" max="10" width="12.75" bestFit="1" customWidth="1"/>
    <col min="11" max="11" width="2.625" customWidth="1"/>
    <col min="12" max="12" width="14.375" bestFit="1" customWidth="1"/>
  </cols>
  <sheetData>
    <row r="1" spans="2:17">
      <c r="L1" s="33" t="s">
        <v>114</v>
      </c>
    </row>
    <row r="2" spans="2:17">
      <c r="L2" s="33" t="s">
        <v>486</v>
      </c>
    </row>
    <row r="3" spans="2:17">
      <c r="L3" s="33" t="s">
        <v>480</v>
      </c>
    </row>
    <row r="4" spans="2:17">
      <c r="L4" s="33" t="s">
        <v>141</v>
      </c>
    </row>
    <row r="5" spans="2:17">
      <c r="L5" s="33" t="s">
        <v>399</v>
      </c>
    </row>
    <row r="8" spans="2:17">
      <c r="Q8" s="66"/>
    </row>
    <row r="9" spans="2:17">
      <c r="G9" s="29" t="s">
        <v>124</v>
      </c>
    </row>
    <row r="10" spans="2:17">
      <c r="G10" s="43" t="s">
        <v>424</v>
      </c>
    </row>
    <row r="11" spans="2:17">
      <c r="G11" s="43" t="s">
        <v>446</v>
      </c>
    </row>
    <row r="13" spans="2:17">
      <c r="F13" s="29" t="s">
        <v>116</v>
      </c>
      <c r="G13" s="29"/>
      <c r="H13" s="29" t="s">
        <v>120</v>
      </c>
      <c r="I13" s="29"/>
      <c r="J13" s="29"/>
      <c r="K13" s="29"/>
      <c r="L13" s="29"/>
    </row>
    <row r="14" spans="2:17">
      <c r="F14" s="29" t="s">
        <v>117</v>
      </c>
      <c r="G14" s="29"/>
      <c r="H14" s="29" t="s">
        <v>121</v>
      </c>
      <c r="I14" s="29"/>
      <c r="J14" s="29" t="s">
        <v>125</v>
      </c>
      <c r="K14" s="29"/>
      <c r="L14" s="29" t="s">
        <v>109</v>
      </c>
    </row>
    <row r="15" spans="2:17">
      <c r="B15" s="29" t="s">
        <v>102</v>
      </c>
      <c r="D15" s="35"/>
      <c r="F15" s="29" t="s">
        <v>118</v>
      </c>
      <c r="G15" s="29"/>
      <c r="H15" s="29" t="s">
        <v>122</v>
      </c>
      <c r="I15" s="29"/>
      <c r="J15" s="29" t="s">
        <v>126</v>
      </c>
      <c r="K15" s="29"/>
      <c r="L15" s="29" t="s">
        <v>110</v>
      </c>
    </row>
    <row r="16" spans="2:17">
      <c r="B16" s="30" t="s">
        <v>103</v>
      </c>
      <c r="D16" s="30" t="s">
        <v>137</v>
      </c>
      <c r="F16" s="30" t="s">
        <v>119</v>
      </c>
      <c r="G16" s="29"/>
      <c r="H16" s="30" t="s">
        <v>123</v>
      </c>
      <c r="I16" s="29"/>
      <c r="J16" s="30" t="s">
        <v>123</v>
      </c>
      <c r="K16" s="29"/>
      <c r="L16" s="30" t="s">
        <v>123</v>
      </c>
    </row>
    <row r="18" spans="2:18">
      <c r="B18" s="43">
        <v>1</v>
      </c>
      <c r="D18" s="34" t="s">
        <v>447</v>
      </c>
    </row>
    <row r="19" spans="2:18">
      <c r="B19" s="43"/>
    </row>
    <row r="20" spans="2:18">
      <c r="B20" s="43">
        <v>2</v>
      </c>
      <c r="D20" t="s">
        <v>127</v>
      </c>
      <c r="F20" s="41">
        <f>42336</f>
        <v>42336</v>
      </c>
      <c r="G20" s="41"/>
      <c r="H20" s="41">
        <f>+F20*0.65</f>
        <v>27518.400000000001</v>
      </c>
      <c r="I20" s="41"/>
      <c r="J20" s="41"/>
      <c r="K20" s="41"/>
      <c r="L20" s="41">
        <f>-H20/NOIConvert</f>
        <v>-44469.869588403555</v>
      </c>
    </row>
    <row r="21" spans="2:18">
      <c r="B21" s="43">
        <v>3</v>
      </c>
      <c r="D21" t="s">
        <v>128</v>
      </c>
      <c r="F21" s="36">
        <f>-822265</f>
        <v>-822265</v>
      </c>
      <c r="G21" s="36"/>
      <c r="H21" s="36">
        <f>+F21*-0.65</f>
        <v>534472.25</v>
      </c>
      <c r="I21" s="36"/>
      <c r="J21" s="36"/>
      <c r="K21" s="36"/>
      <c r="L21" s="36">
        <f>-H21/NOIConvert</f>
        <v>-863709.78167773632</v>
      </c>
    </row>
    <row r="22" spans="2:18">
      <c r="B22" s="43">
        <v>4</v>
      </c>
      <c r="D22" t="s">
        <v>129</v>
      </c>
      <c r="F22" s="36">
        <f>-109096</f>
        <v>-109096</v>
      </c>
      <c r="G22" s="36"/>
      <c r="H22" s="67">
        <f t="shared" ref="H22:H24" si="0">+F22*-0.65</f>
        <v>70912.400000000009</v>
      </c>
      <c r="I22" s="36"/>
      <c r="J22" s="36"/>
      <c r="K22" s="36"/>
      <c r="L22" s="67">
        <f>-H22/NOIConvert</f>
        <v>-114594.7867681518</v>
      </c>
    </row>
    <row r="23" spans="2:18">
      <c r="B23" s="43">
        <v>5</v>
      </c>
      <c r="D23" t="s">
        <v>130</v>
      </c>
      <c r="F23" s="36">
        <f>-656794</f>
        <v>-656794</v>
      </c>
      <c r="G23" s="36"/>
      <c r="H23" s="67">
        <f t="shared" si="0"/>
        <v>426916.10000000003</v>
      </c>
      <c r="I23" s="36"/>
      <c r="J23" s="36"/>
      <c r="K23" s="36"/>
      <c r="L23" s="67">
        <f>-H23/NOIConvert</f>
        <v>-689898.51489148533</v>
      </c>
    </row>
    <row r="24" spans="2:18">
      <c r="B24" s="43">
        <v>6</v>
      </c>
      <c r="D24" t="s">
        <v>131</v>
      </c>
      <c r="F24" s="36">
        <f>-46213</f>
        <v>-46213</v>
      </c>
      <c r="G24" s="36"/>
      <c r="H24" s="67">
        <f t="shared" si="0"/>
        <v>30038.45</v>
      </c>
      <c r="I24" s="36"/>
      <c r="J24" s="36"/>
      <c r="K24" s="36"/>
      <c r="L24" s="67">
        <f>-H24/NOIConvert</f>
        <v>-48542.282768539619</v>
      </c>
    </row>
    <row r="25" spans="2:18">
      <c r="B25" s="43">
        <v>7</v>
      </c>
      <c r="D25" t="s">
        <v>132</v>
      </c>
      <c r="F25" s="36"/>
      <c r="G25" s="36"/>
      <c r="H25" s="36"/>
      <c r="I25" s="36"/>
      <c r="J25" s="36">
        <f>-974143</f>
        <v>-974143</v>
      </c>
      <c r="K25" s="36"/>
      <c r="L25" s="36">
        <f>+J25*ROR/NOIConvert</f>
        <v>-122789.15014301644</v>
      </c>
    </row>
    <row r="26" spans="2:18">
      <c r="B26" s="43">
        <v>8</v>
      </c>
      <c r="D26" t="s">
        <v>133</v>
      </c>
      <c r="F26" s="36"/>
      <c r="G26" s="36"/>
      <c r="H26" s="36"/>
      <c r="I26" s="36"/>
      <c r="J26" s="36">
        <v>336003</v>
      </c>
      <c r="K26" s="36"/>
      <c r="L26" s="67">
        <f>+J26*ROR/NOIConvert</f>
        <v>42352.634896010088</v>
      </c>
    </row>
    <row r="27" spans="2:18">
      <c r="B27" s="43">
        <v>9</v>
      </c>
      <c r="D27" t="s">
        <v>134</v>
      </c>
      <c r="F27" s="36"/>
      <c r="G27" s="36"/>
      <c r="H27" s="36"/>
      <c r="I27" s="36"/>
      <c r="J27" s="36">
        <f>-301301</f>
        <v>-301301</v>
      </c>
      <c r="K27" s="36"/>
      <c r="L27" s="67">
        <f>+J27*ROR/NOIConvert</f>
        <v>-37978.503902651864</v>
      </c>
    </row>
    <row r="28" spans="2:18">
      <c r="B28" s="43">
        <v>10</v>
      </c>
      <c r="D28" t="s">
        <v>135</v>
      </c>
      <c r="F28" s="36"/>
      <c r="G28" s="36"/>
      <c r="H28" s="36"/>
      <c r="I28" s="36"/>
      <c r="J28" s="36">
        <f>-12807</f>
        <v>-12807</v>
      </c>
      <c r="K28" s="36"/>
      <c r="L28" s="67">
        <f>+J28*ROR/NOIConvert</f>
        <v>-1614.3016434769963</v>
      </c>
    </row>
    <row r="29" spans="2:18">
      <c r="B29" s="43">
        <v>11</v>
      </c>
      <c r="D29" t="s">
        <v>136</v>
      </c>
      <c r="F29" s="38"/>
      <c r="G29" s="36"/>
      <c r="H29" s="38"/>
      <c r="I29" s="36"/>
      <c r="J29" s="38">
        <f>-23454</f>
        <v>-23454</v>
      </c>
      <c r="K29" s="36"/>
      <c r="L29" s="67">
        <f>+J29*ROR/NOIConvert</f>
        <v>-2956.3387792698891</v>
      </c>
    </row>
    <row r="30" spans="2:18">
      <c r="B30" s="43"/>
    </row>
    <row r="31" spans="2:18" ht="16.5" thickBot="1">
      <c r="B31" s="43">
        <v>12</v>
      </c>
      <c r="D31" t="s">
        <v>140</v>
      </c>
      <c r="F31" s="42">
        <f>SUM(F20:F30)</f>
        <v>-1592032</v>
      </c>
      <c r="G31" s="41"/>
      <c r="H31" s="42">
        <f>SUM(H20:H30)</f>
        <v>1089857.6000000001</v>
      </c>
      <c r="I31" s="41"/>
      <c r="J31" s="42">
        <f>SUM(J20:J30)</f>
        <v>-975702</v>
      </c>
      <c r="K31" s="41"/>
      <c r="L31" s="42">
        <f>SUM(L20:L30)</f>
        <v>-1884200.8952667217</v>
      </c>
    </row>
    <row r="32" spans="2:18" ht="16.5" thickTop="1">
      <c r="B32" s="43"/>
      <c r="N32" s="108"/>
      <c r="O32" s="108"/>
      <c r="P32" s="108"/>
      <c r="Q32" s="108"/>
      <c r="R32" s="108"/>
    </row>
    <row r="33" spans="2:4">
      <c r="B33" s="43"/>
    </row>
    <row r="34" spans="2:4">
      <c r="B34" s="43"/>
    </row>
    <row r="35" spans="2:4">
      <c r="B35" s="43"/>
      <c r="D35" s="5" t="s">
        <v>97</v>
      </c>
    </row>
    <row r="36" spans="2:4">
      <c r="B36" s="43"/>
    </row>
    <row r="37" spans="2:4">
      <c r="B37" s="43"/>
    </row>
    <row r="38" spans="2:4">
      <c r="B38" s="43"/>
    </row>
    <row r="39" spans="2:4">
      <c r="B39" s="43"/>
    </row>
    <row r="40" spans="2:4">
      <c r="B40" s="43"/>
    </row>
    <row r="41" spans="2:4">
      <c r="B41" s="43"/>
    </row>
    <row r="42" spans="2:4">
      <c r="B42" s="43"/>
    </row>
    <row r="43" spans="2:4">
      <c r="B43" s="43"/>
    </row>
    <row r="44" spans="2:4">
      <c r="B44" s="43"/>
    </row>
    <row r="45" spans="2:4">
      <c r="B45" s="43"/>
    </row>
    <row r="46" spans="2:4">
      <c r="B46" s="43"/>
    </row>
    <row r="47" spans="2:4">
      <c r="B47" s="43"/>
    </row>
    <row r="48" spans="2:4">
      <c r="B48" s="43"/>
    </row>
    <row r="49" spans="2:2">
      <c r="B49" s="43"/>
    </row>
  </sheetData>
  <pageMargins left="0.7" right="0.7" top="0.75" bottom="0.75" header="0.3" footer="0.3"/>
  <pageSetup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0"/>
  <sheetViews>
    <sheetView workbookViewId="0">
      <selection activeCell="H2" sqref="H2"/>
    </sheetView>
  </sheetViews>
  <sheetFormatPr defaultRowHeight="15.75"/>
  <cols>
    <col min="2" max="2" width="5.625" customWidth="1"/>
    <col min="3" max="3" width="2.625" customWidth="1"/>
    <col min="4" max="4" width="43.5" customWidth="1"/>
    <col min="5" max="5" width="2.625" customWidth="1"/>
    <col min="6" max="6" width="19.625" bestFit="1" customWidth="1"/>
    <col min="7" max="7" width="2.625" customWidth="1"/>
    <col min="8" max="8" width="14.375" bestFit="1" customWidth="1"/>
  </cols>
  <sheetData>
    <row r="1" spans="1:8">
      <c r="A1" s="66"/>
      <c r="B1" s="66"/>
      <c r="C1" s="66"/>
      <c r="D1" s="66"/>
      <c r="E1" s="66"/>
      <c r="F1" s="66"/>
      <c r="G1" s="66"/>
      <c r="H1" s="33" t="s">
        <v>114</v>
      </c>
    </row>
    <row r="2" spans="1:8">
      <c r="A2" s="66"/>
      <c r="B2" s="66"/>
      <c r="C2" s="66"/>
      <c r="D2" s="66"/>
      <c r="E2" s="66"/>
      <c r="F2" s="66"/>
      <c r="G2" s="66"/>
      <c r="H2" s="33" t="s">
        <v>486</v>
      </c>
    </row>
    <row r="3" spans="1:8">
      <c r="A3" s="66"/>
      <c r="B3" s="66"/>
      <c r="C3" s="66"/>
      <c r="D3" s="66"/>
      <c r="E3" s="66"/>
      <c r="F3" s="66"/>
      <c r="G3" s="66"/>
      <c r="H3" s="33" t="s">
        <v>479</v>
      </c>
    </row>
    <row r="4" spans="1:8">
      <c r="A4" s="66"/>
      <c r="B4" s="66"/>
      <c r="C4" s="66"/>
      <c r="D4" s="66"/>
      <c r="E4" s="66"/>
      <c r="F4" s="66"/>
      <c r="G4" s="66"/>
      <c r="H4" s="33" t="s">
        <v>407</v>
      </c>
    </row>
    <row r="5" spans="1:8">
      <c r="A5" s="66"/>
      <c r="B5" s="66"/>
      <c r="C5" s="66"/>
      <c r="D5" s="66"/>
      <c r="E5" s="66"/>
      <c r="F5" s="66"/>
      <c r="G5" s="66"/>
      <c r="H5" s="33" t="s">
        <v>398</v>
      </c>
    </row>
    <row r="6" spans="1:8">
      <c r="A6" s="66"/>
      <c r="B6" s="66"/>
      <c r="C6" s="66"/>
      <c r="D6" s="66"/>
      <c r="E6" s="66"/>
      <c r="F6" s="66"/>
      <c r="G6" s="66"/>
      <c r="H6" s="66"/>
    </row>
    <row r="7" spans="1:8">
      <c r="A7" s="66"/>
      <c r="B7" s="66"/>
      <c r="C7" s="66"/>
      <c r="D7" s="66"/>
      <c r="E7" s="66"/>
      <c r="F7" s="66"/>
      <c r="G7" s="66"/>
      <c r="H7" s="66"/>
    </row>
    <row r="8" spans="1:8">
      <c r="A8" s="66"/>
      <c r="B8" s="66"/>
      <c r="C8" s="66"/>
      <c r="D8" s="66"/>
      <c r="E8" s="66"/>
      <c r="F8" s="66"/>
      <c r="G8" s="66"/>
      <c r="H8" s="66"/>
    </row>
    <row r="9" spans="1:8">
      <c r="A9" s="66"/>
      <c r="B9" s="66"/>
      <c r="C9" s="66"/>
      <c r="D9" s="176" t="s">
        <v>171</v>
      </c>
      <c r="E9" s="176"/>
      <c r="F9" s="176"/>
      <c r="G9" s="176"/>
      <c r="H9" s="176"/>
    </row>
    <row r="10" spans="1:8">
      <c r="A10" s="66"/>
      <c r="B10" s="66"/>
      <c r="C10" s="66"/>
      <c r="D10" s="176" t="s">
        <v>379</v>
      </c>
      <c r="E10" s="176"/>
      <c r="F10" s="176"/>
      <c r="G10" s="176"/>
      <c r="H10" s="176"/>
    </row>
    <row r="11" spans="1:8">
      <c r="A11" s="66"/>
      <c r="B11" s="66"/>
      <c r="C11" s="66"/>
      <c r="D11" s="176" t="s">
        <v>380</v>
      </c>
      <c r="E11" s="176"/>
      <c r="F11" s="176"/>
      <c r="G11" s="176"/>
      <c r="H11" s="176"/>
    </row>
    <row r="12" spans="1:8">
      <c r="A12" s="66"/>
      <c r="B12" s="66"/>
      <c r="C12" s="66"/>
      <c r="D12" s="176" t="s">
        <v>334</v>
      </c>
      <c r="E12" s="176"/>
      <c r="F12" s="176"/>
      <c r="G12" s="176"/>
      <c r="H12" s="176"/>
    </row>
    <row r="13" spans="1:8">
      <c r="A13" s="66"/>
      <c r="B13" s="66"/>
      <c r="C13" s="66"/>
      <c r="D13" s="66"/>
      <c r="E13" s="66"/>
      <c r="F13" s="43"/>
      <c r="G13" s="43"/>
      <c r="H13" s="43"/>
    </row>
    <row r="14" spans="1:8">
      <c r="A14" s="66"/>
      <c r="B14" s="30" t="s">
        <v>103</v>
      </c>
      <c r="C14" s="66"/>
      <c r="D14" s="30" t="s">
        <v>145</v>
      </c>
      <c r="E14" s="66"/>
      <c r="F14" s="30" t="s">
        <v>146</v>
      </c>
      <c r="G14" s="43"/>
      <c r="H14" s="30" t="s">
        <v>147</v>
      </c>
    </row>
    <row r="15" spans="1:8">
      <c r="A15" s="66"/>
      <c r="B15" s="43"/>
      <c r="C15" s="66"/>
      <c r="D15" s="66"/>
      <c r="E15" s="66"/>
      <c r="F15" s="66"/>
      <c r="G15" s="66"/>
      <c r="H15" s="66"/>
    </row>
    <row r="16" spans="1:8">
      <c r="B16" s="43">
        <v>1</v>
      </c>
      <c r="D16" s="66" t="s">
        <v>381</v>
      </c>
    </row>
    <row r="17" spans="2:18">
      <c r="B17" s="43">
        <v>2</v>
      </c>
      <c r="D17" s="66" t="s">
        <v>382</v>
      </c>
    </row>
    <row r="18" spans="2:18">
      <c r="B18" s="43">
        <v>3</v>
      </c>
      <c r="D18" s="66" t="s">
        <v>383</v>
      </c>
    </row>
    <row r="19" spans="2:18">
      <c r="B19" s="43">
        <v>4</v>
      </c>
      <c r="D19" s="66" t="s">
        <v>384</v>
      </c>
      <c r="H19" s="58">
        <f>+'YE Rev Calc'!P184</f>
        <v>-1698590.1693525382</v>
      </c>
    </row>
    <row r="20" spans="2:18">
      <c r="B20" s="43"/>
    </row>
    <row r="21" spans="2:18">
      <c r="B21" s="43">
        <v>5</v>
      </c>
      <c r="D21" s="71" t="s">
        <v>321</v>
      </c>
      <c r="E21" s="71"/>
      <c r="F21" s="81" t="s">
        <v>387</v>
      </c>
      <c r="H21" s="138">
        <v>6.6E-3</v>
      </c>
    </row>
    <row r="22" spans="2:18">
      <c r="B22" s="43"/>
      <c r="D22" s="71"/>
      <c r="E22" s="71"/>
      <c r="F22" s="81"/>
      <c r="H22" s="71"/>
    </row>
    <row r="23" spans="2:18" ht="16.5" thickBot="1">
      <c r="B23" s="43">
        <v>6</v>
      </c>
      <c r="D23" s="71" t="s">
        <v>322</v>
      </c>
      <c r="E23" s="71"/>
      <c r="F23" s="81" t="s">
        <v>393</v>
      </c>
      <c r="H23" s="139">
        <f>+H19*H21</f>
        <v>-11210.695117726753</v>
      </c>
    </row>
    <row r="24" spans="2:18" ht="16.5" thickTop="1">
      <c r="B24" s="43"/>
      <c r="D24" s="71"/>
      <c r="E24" s="71"/>
      <c r="F24" s="81"/>
      <c r="H24" s="71"/>
    </row>
    <row r="25" spans="2:18" s="66" customFormat="1">
      <c r="B25" s="43">
        <v>7</v>
      </c>
      <c r="D25" s="71"/>
      <c r="E25" s="71"/>
      <c r="F25" s="81" t="s">
        <v>148</v>
      </c>
      <c r="H25" s="71"/>
    </row>
    <row r="26" spans="2:18">
      <c r="B26" s="43">
        <v>8</v>
      </c>
      <c r="D26" s="71" t="s">
        <v>323</v>
      </c>
      <c r="E26" s="71"/>
      <c r="F26" s="81" t="s">
        <v>388</v>
      </c>
      <c r="H26" s="140">
        <v>3.8733999999999998E-2</v>
      </c>
    </row>
    <row r="27" spans="2:18">
      <c r="B27" s="43"/>
      <c r="D27" s="71"/>
      <c r="E27" s="71"/>
      <c r="H27" s="71"/>
    </row>
    <row r="28" spans="2:18" ht="16.5" thickBot="1">
      <c r="B28" s="43">
        <v>9</v>
      </c>
      <c r="D28" s="71" t="s">
        <v>324</v>
      </c>
      <c r="E28" s="71"/>
      <c r="F28" s="81" t="s">
        <v>394</v>
      </c>
      <c r="H28" s="139">
        <f>+H19*H26</f>
        <v>-65793.191619701203</v>
      </c>
    </row>
    <row r="29" spans="2:18" ht="16.5" thickTop="1">
      <c r="B29" s="43"/>
      <c r="D29" s="71"/>
      <c r="E29" s="71"/>
      <c r="F29" s="81"/>
      <c r="H29" s="71"/>
    </row>
    <row r="30" spans="2:18">
      <c r="B30" s="43">
        <v>10</v>
      </c>
      <c r="D30" s="66" t="s">
        <v>385</v>
      </c>
      <c r="F30" s="43"/>
    </row>
    <row r="31" spans="2:18">
      <c r="B31" s="43">
        <v>11</v>
      </c>
      <c r="D31" s="73" t="s">
        <v>386</v>
      </c>
      <c r="F31" s="43" t="s">
        <v>395</v>
      </c>
      <c r="H31" s="39">
        <f>+H19-H23-H28</f>
        <v>-1621586.2826151103</v>
      </c>
    </row>
    <row r="32" spans="2:18">
      <c r="B32" s="43"/>
      <c r="F32" s="43"/>
      <c r="H32" s="160"/>
      <c r="N32" s="108"/>
      <c r="O32" s="108"/>
      <c r="P32" s="108"/>
      <c r="Q32" s="108"/>
      <c r="R32" s="108"/>
    </row>
    <row r="33" spans="2:8">
      <c r="B33" s="43">
        <v>12</v>
      </c>
      <c r="D33" s="73" t="s">
        <v>153</v>
      </c>
      <c r="F33" s="43"/>
      <c r="H33" s="161">
        <v>0.35</v>
      </c>
    </row>
    <row r="34" spans="2:8">
      <c r="B34" s="43"/>
      <c r="F34" s="43"/>
    </row>
    <row r="35" spans="2:8">
      <c r="B35" s="43">
        <v>13</v>
      </c>
      <c r="D35" s="73" t="s">
        <v>389</v>
      </c>
      <c r="F35" s="43" t="s">
        <v>396</v>
      </c>
      <c r="H35" s="38">
        <f>+H31*-H33</f>
        <v>567555.19891528855</v>
      </c>
    </row>
    <row r="36" spans="2:8">
      <c r="B36" s="43"/>
      <c r="F36" s="43"/>
    </row>
    <row r="37" spans="2:8">
      <c r="B37" s="43">
        <v>14</v>
      </c>
      <c r="D37" s="66" t="s">
        <v>390</v>
      </c>
      <c r="F37" s="43"/>
    </row>
    <row r="38" spans="2:8">
      <c r="B38" s="43">
        <v>15</v>
      </c>
      <c r="D38" s="66" t="s">
        <v>391</v>
      </c>
      <c r="F38" s="43"/>
    </row>
    <row r="39" spans="2:8" ht="16.5" thickBot="1">
      <c r="B39" s="43">
        <v>16</v>
      </c>
      <c r="D39" s="66" t="s">
        <v>392</v>
      </c>
      <c r="F39" s="43" t="s">
        <v>397</v>
      </c>
      <c r="H39" s="40">
        <f>+H31+H35</f>
        <v>-1054031.0836998217</v>
      </c>
    </row>
    <row r="40" spans="2:8" ht="16.5" thickTop="1"/>
  </sheetData>
  <mergeCells count="4">
    <mergeCell ref="D9:H9"/>
    <mergeCell ref="D10:H10"/>
    <mergeCell ref="D11:H11"/>
    <mergeCell ref="D12:H12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07"/>
  <sheetViews>
    <sheetView topLeftCell="H226" workbookViewId="0">
      <selection activeCell="V36" sqref="V36"/>
    </sheetView>
  </sheetViews>
  <sheetFormatPr defaultRowHeight="15.75"/>
  <cols>
    <col min="1" max="1" width="4.875" bestFit="1" customWidth="1"/>
    <col min="2" max="2" width="22.5" customWidth="1"/>
    <col min="3" max="3" width="13.125" customWidth="1"/>
    <col min="4" max="4" width="15" bestFit="1" customWidth="1"/>
    <col min="5" max="5" width="12.875" customWidth="1"/>
    <col min="6" max="15" width="12.875" bestFit="1" customWidth="1"/>
    <col min="16" max="16" width="14.375" bestFit="1" customWidth="1"/>
    <col min="17" max="18" width="4.625" customWidth="1"/>
    <col min="22" max="22" width="12.125" bestFit="1" customWidth="1"/>
    <col min="23" max="23" width="12.625" bestFit="1" customWidth="1"/>
  </cols>
  <sheetData>
    <row r="1" spans="1:23">
      <c r="A1" s="64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3">
      <c r="A2" s="64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spans="1:23">
      <c r="A3" s="64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</row>
    <row r="4" spans="1:23">
      <c r="A4" s="64"/>
      <c r="B4" s="73" t="s">
        <v>294</v>
      </c>
      <c r="C4" s="71"/>
      <c r="D4" s="71"/>
      <c r="E4" s="71"/>
      <c r="F4" s="71" t="s">
        <v>295</v>
      </c>
      <c r="G4" s="71"/>
      <c r="H4" s="71"/>
      <c r="I4" s="71"/>
      <c r="J4" s="71"/>
      <c r="K4" s="71"/>
      <c r="L4" s="71"/>
      <c r="M4" s="71"/>
      <c r="N4" s="71"/>
      <c r="O4" s="71"/>
      <c r="P4" s="71"/>
      <c r="S4" s="71"/>
      <c r="T4" s="71"/>
      <c r="U4" s="71"/>
      <c r="V4" s="71"/>
      <c r="W4" s="74" t="s">
        <v>296</v>
      </c>
    </row>
    <row r="5" spans="1:23" ht="18.75">
      <c r="A5" s="64"/>
      <c r="B5" s="72" t="s">
        <v>293</v>
      </c>
      <c r="C5" s="75" t="s">
        <v>295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S5" s="71"/>
      <c r="T5" s="71"/>
      <c r="U5" s="71"/>
      <c r="V5" s="71"/>
      <c r="W5" s="74" t="s">
        <v>297</v>
      </c>
    </row>
    <row r="6" spans="1:23">
      <c r="A6" s="64"/>
      <c r="B6" s="76" t="s">
        <v>298</v>
      </c>
      <c r="C6" s="76" t="s">
        <v>299</v>
      </c>
      <c r="D6" s="74">
        <v>201107</v>
      </c>
      <c r="E6" s="74">
        <v>201108</v>
      </c>
      <c r="F6" s="74">
        <v>201109</v>
      </c>
      <c r="G6" s="74">
        <v>201110</v>
      </c>
      <c r="H6" s="74">
        <v>201111</v>
      </c>
      <c r="I6" s="74">
        <v>201112</v>
      </c>
      <c r="J6" s="74">
        <v>201201</v>
      </c>
      <c r="K6" s="74">
        <v>201202</v>
      </c>
      <c r="L6" s="74">
        <v>201203</v>
      </c>
      <c r="M6" s="74">
        <v>201204</v>
      </c>
      <c r="N6" s="74">
        <v>201205</v>
      </c>
      <c r="O6" s="74">
        <v>201206</v>
      </c>
      <c r="P6" s="74" t="s">
        <v>300</v>
      </c>
      <c r="S6" s="71"/>
      <c r="T6" s="71"/>
      <c r="U6" s="71"/>
      <c r="V6" s="77" t="s">
        <v>296</v>
      </c>
      <c r="W6" s="78" t="s">
        <v>301</v>
      </c>
    </row>
    <row r="7" spans="1:23">
      <c r="A7" s="79"/>
      <c r="B7" s="80" t="s">
        <v>302</v>
      </c>
      <c r="C7" s="73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S7" s="71"/>
      <c r="T7" s="71"/>
      <c r="U7" s="71"/>
      <c r="V7" s="81" t="s">
        <v>303</v>
      </c>
      <c r="W7" s="71"/>
    </row>
    <row r="8" spans="1:23">
      <c r="A8" s="79"/>
      <c r="B8" s="73"/>
      <c r="C8" s="82">
        <v>16</v>
      </c>
      <c r="D8" s="83">
        <v>8812567.1423122417</v>
      </c>
      <c r="E8" s="83">
        <v>8407955.0176777244</v>
      </c>
      <c r="F8" s="83">
        <v>8934327.4290677626</v>
      </c>
      <c r="G8" s="83">
        <v>7775413.9208584297</v>
      </c>
      <c r="H8" s="83">
        <v>10371462.319710307</v>
      </c>
      <c r="I8" s="83">
        <v>15593984.932956154</v>
      </c>
      <c r="J8" s="83">
        <v>16844630.308377001</v>
      </c>
      <c r="K8" s="83">
        <v>14893826.617164742</v>
      </c>
      <c r="L8" s="83">
        <v>12124966.019044556</v>
      </c>
      <c r="M8" s="83">
        <v>10164599.255723037</v>
      </c>
      <c r="N8" s="83">
        <v>7542753.1911725802</v>
      </c>
      <c r="O8" s="83">
        <v>7582082.7430154309</v>
      </c>
      <c r="P8" s="84">
        <f t="shared" ref="P8:P11" si="0">SUM(D8:O8)</f>
        <v>129048568.89707994</v>
      </c>
      <c r="S8" s="73"/>
      <c r="T8" s="73"/>
      <c r="U8" s="73"/>
      <c r="V8" s="85"/>
      <c r="W8" s="73"/>
    </row>
    <row r="9" spans="1:23">
      <c r="A9" s="79"/>
      <c r="B9" s="73"/>
      <c r="C9" s="82">
        <v>17</v>
      </c>
      <c r="D9" s="83">
        <v>268814.09723593667</v>
      </c>
      <c r="E9" s="83">
        <v>294207.37054896401</v>
      </c>
      <c r="F9" s="83">
        <v>297331.57991198445</v>
      </c>
      <c r="G9" s="83">
        <v>317252.32865987951</v>
      </c>
      <c r="H9" s="83">
        <v>415311.51616484765</v>
      </c>
      <c r="I9" s="83">
        <v>625641.15240982559</v>
      </c>
      <c r="J9" s="83">
        <v>713114.59454822482</v>
      </c>
      <c r="K9" s="83">
        <v>688781.62806888076</v>
      </c>
      <c r="L9" s="83">
        <v>578069.01397366857</v>
      </c>
      <c r="M9" s="83">
        <v>480569.73537453549</v>
      </c>
      <c r="N9" s="83">
        <v>320062.22108678764</v>
      </c>
      <c r="O9" s="83">
        <v>279889.41393646487</v>
      </c>
      <c r="P9" s="84">
        <f t="shared" si="0"/>
        <v>5279044.6519200001</v>
      </c>
      <c r="S9" s="73"/>
      <c r="T9" s="73"/>
      <c r="U9" s="73"/>
      <c r="V9" s="85"/>
      <c r="W9" s="73" t="s">
        <v>295</v>
      </c>
    </row>
    <row r="10" spans="1:23">
      <c r="A10" s="79"/>
      <c r="B10" s="73"/>
      <c r="C10" s="82">
        <v>18</v>
      </c>
      <c r="D10" s="83">
        <v>20609.283786143995</v>
      </c>
      <c r="E10" s="83">
        <v>20671.985329634717</v>
      </c>
      <c r="F10" s="83">
        <v>21053.554718328392</v>
      </c>
      <c r="G10" s="83">
        <v>17338.135924312162</v>
      </c>
      <c r="H10" s="83">
        <v>17974.25078513386</v>
      </c>
      <c r="I10" s="83">
        <v>24715.637500968769</v>
      </c>
      <c r="J10" s="83">
        <v>26786.15987119178</v>
      </c>
      <c r="K10" s="83">
        <v>23475.9289613074</v>
      </c>
      <c r="L10" s="83">
        <v>19959.284338268721</v>
      </c>
      <c r="M10" s="83">
        <v>17887.98905194566</v>
      </c>
      <c r="N10" s="83">
        <v>16073.382998821806</v>
      </c>
      <c r="O10" s="83">
        <v>17212.292163942748</v>
      </c>
      <c r="P10" s="84">
        <f t="shared" si="0"/>
        <v>243757.88542999999</v>
      </c>
      <c r="S10" s="73"/>
      <c r="T10" s="73"/>
      <c r="U10" s="73"/>
      <c r="V10" s="85"/>
      <c r="W10" s="73"/>
    </row>
    <row r="11" spans="1:23">
      <c r="A11" s="79"/>
      <c r="B11" s="80" t="s">
        <v>302</v>
      </c>
      <c r="C11" s="86"/>
      <c r="D11" s="84">
        <f t="shared" ref="D11:O11" si="1">SUM(D8:D10)</f>
        <v>9101990.5233343225</v>
      </c>
      <c r="E11" s="84">
        <f t="shared" si="1"/>
        <v>8722834.3735563233</v>
      </c>
      <c r="F11" s="84">
        <f t="shared" si="1"/>
        <v>9252712.5636980757</v>
      </c>
      <c r="G11" s="84">
        <f t="shared" si="1"/>
        <v>8110004.3854426211</v>
      </c>
      <c r="H11" s="84">
        <f t="shared" si="1"/>
        <v>10804748.086660288</v>
      </c>
      <c r="I11" s="84">
        <f t="shared" si="1"/>
        <v>16244341.722866949</v>
      </c>
      <c r="J11" s="84">
        <f t="shared" si="1"/>
        <v>17584531.062796418</v>
      </c>
      <c r="K11" s="84">
        <f t="shared" si="1"/>
        <v>15606084.17419493</v>
      </c>
      <c r="L11" s="84">
        <f t="shared" si="1"/>
        <v>12722994.317356493</v>
      </c>
      <c r="M11" s="84">
        <f t="shared" si="1"/>
        <v>10663056.980149519</v>
      </c>
      <c r="N11" s="84">
        <f t="shared" si="1"/>
        <v>7878888.7952581905</v>
      </c>
      <c r="O11" s="84">
        <f t="shared" si="1"/>
        <v>7879184.4491158389</v>
      </c>
      <c r="P11" s="84">
        <f t="shared" si="0"/>
        <v>134571371.43442997</v>
      </c>
      <c r="S11" s="73"/>
      <c r="T11" s="73"/>
      <c r="U11" s="73"/>
      <c r="V11" s="85">
        <f>134219085</f>
        <v>134219085</v>
      </c>
      <c r="W11" s="87">
        <f>+V11-P11</f>
        <v>-352286.43442997336</v>
      </c>
    </row>
    <row r="12" spans="1:23">
      <c r="A12" s="79"/>
      <c r="B12" s="88" t="s">
        <v>304</v>
      </c>
      <c r="C12" s="86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S12" s="73"/>
      <c r="T12" s="73"/>
      <c r="U12" s="73"/>
      <c r="V12" s="85"/>
      <c r="W12" s="73"/>
    </row>
    <row r="13" spans="1:23">
      <c r="A13" s="79"/>
      <c r="B13" s="73"/>
      <c r="C13" s="82">
        <v>24</v>
      </c>
      <c r="D13" s="83">
        <v>3884450.9946801644</v>
      </c>
      <c r="E13" s="83">
        <v>3648719.5394964074</v>
      </c>
      <c r="F13" s="83">
        <v>3849718.3520062706</v>
      </c>
      <c r="G13" s="83">
        <v>3778124.4851948642</v>
      </c>
      <c r="H13" s="83">
        <v>3635363.1598066655</v>
      </c>
      <c r="I13" s="83">
        <v>4090316.9556395891</v>
      </c>
      <c r="J13" s="83">
        <v>4209609.1362190628</v>
      </c>
      <c r="K13" s="83">
        <v>4046601.7223286727</v>
      </c>
      <c r="L13" s="83">
        <v>3677129.0635597925</v>
      </c>
      <c r="M13" s="83">
        <v>3481023.2970193867</v>
      </c>
      <c r="N13" s="83">
        <v>3378073.7153151496</v>
      </c>
      <c r="O13" s="83">
        <v>3582552.1682429723</v>
      </c>
      <c r="P13" s="84">
        <f t="shared" ref="P13:P15" si="2">SUM(D13:O13)</f>
        <v>45261682.589508995</v>
      </c>
      <c r="S13" s="73"/>
      <c r="T13" s="73"/>
      <c r="U13" s="73"/>
      <c r="V13" s="85">
        <v>44403694</v>
      </c>
      <c r="W13" s="87">
        <f>+V13-P13</f>
        <v>-857988.58950899541</v>
      </c>
    </row>
    <row r="14" spans="1:23">
      <c r="A14" s="79"/>
      <c r="B14" s="73"/>
      <c r="C14" s="82">
        <v>33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0</v>
      </c>
      <c r="P14" s="84">
        <f t="shared" si="2"/>
        <v>0</v>
      </c>
      <c r="S14" s="73"/>
      <c r="T14" s="73"/>
      <c r="U14" s="73" t="s">
        <v>295</v>
      </c>
      <c r="V14" s="73"/>
      <c r="W14" s="73"/>
    </row>
    <row r="15" spans="1:23">
      <c r="A15" s="79"/>
      <c r="B15" s="73"/>
      <c r="C15" s="82">
        <v>36</v>
      </c>
      <c r="D15" s="83">
        <v>4937095.9929811182</v>
      </c>
      <c r="E15" s="83">
        <v>5093863.2966600703</v>
      </c>
      <c r="F15" s="83">
        <v>5496221.4815284591</v>
      </c>
      <c r="G15" s="83">
        <v>5658627.3987148497</v>
      </c>
      <c r="H15" s="83">
        <v>5586554.2262182059</v>
      </c>
      <c r="I15" s="83">
        <v>5625415.5938080605</v>
      </c>
      <c r="J15" s="83">
        <v>5310987.802167478</v>
      </c>
      <c r="K15" s="83">
        <v>4912288.358647787</v>
      </c>
      <c r="L15" s="83">
        <v>4745474.6117138853</v>
      </c>
      <c r="M15" s="83">
        <v>4610292.4847193891</v>
      </c>
      <c r="N15" s="83">
        <v>4613313.8978770114</v>
      </c>
      <c r="O15" s="83">
        <v>4707300.3515333366</v>
      </c>
      <c r="P15" s="84">
        <f t="shared" si="2"/>
        <v>61297435.496569648</v>
      </c>
      <c r="S15" s="73"/>
      <c r="T15" s="73"/>
      <c r="U15" s="73"/>
      <c r="V15" s="85">
        <v>61832788</v>
      </c>
      <c r="W15" s="87">
        <f>+V15-P15</f>
        <v>535352.50343035161</v>
      </c>
    </row>
    <row r="16" spans="1:23">
      <c r="A16" s="79"/>
      <c r="B16" s="73"/>
      <c r="C16" s="82">
        <v>40</v>
      </c>
      <c r="D16" s="83">
        <v>2068513.2518339544</v>
      </c>
      <c r="E16" s="83">
        <v>2028810.3141215802</v>
      </c>
      <c r="F16" s="83">
        <v>1594300.0482860277</v>
      </c>
      <c r="G16" s="83">
        <v>949520.52798674523</v>
      </c>
      <c r="H16" s="83">
        <v>2439020.2309220736</v>
      </c>
      <c r="I16" s="83">
        <v>39893.464567611096</v>
      </c>
      <c r="J16" s="83">
        <v>36502.959404097812</v>
      </c>
      <c r="K16" s="83">
        <v>35812.370327753277</v>
      </c>
      <c r="L16" s="83">
        <v>67361.541942812735</v>
      </c>
      <c r="M16" s="83">
        <v>353035.52546956361</v>
      </c>
      <c r="N16" s="83">
        <v>1074254.1021689004</v>
      </c>
      <c r="O16" s="83">
        <v>1613146.3955361885</v>
      </c>
      <c r="P16" s="84">
        <f>SUM(D16:O16)</f>
        <v>12300170.73256731</v>
      </c>
      <c r="S16" s="73"/>
      <c r="T16" s="73"/>
      <c r="U16" s="73"/>
      <c r="V16" s="85">
        <v>12677137</v>
      </c>
      <c r="W16" s="87">
        <f>+V16-P16</f>
        <v>376966.26743268967</v>
      </c>
    </row>
    <row r="17" spans="1:23">
      <c r="A17" s="79"/>
      <c r="B17" s="73"/>
      <c r="C17" s="82">
        <v>47</v>
      </c>
      <c r="D17" s="83">
        <v>22587.080932769695</v>
      </c>
      <c r="E17" s="83">
        <v>21633.905170348316</v>
      </c>
      <c r="F17" s="83">
        <v>26078.129587200456</v>
      </c>
      <c r="G17" s="83">
        <v>19879.408175191766</v>
      </c>
      <c r="H17" s="83">
        <v>19978.503823846735</v>
      </c>
      <c r="I17" s="83">
        <v>53314.438043820068</v>
      </c>
      <c r="J17" s="83">
        <v>23322.799057658638</v>
      </c>
      <c r="K17" s="83">
        <v>25237.726949140524</v>
      </c>
      <c r="L17" s="83">
        <v>18155.009755846946</v>
      </c>
      <c r="M17" s="83">
        <v>19261.889454030734</v>
      </c>
      <c r="N17" s="83">
        <v>21152.287311073211</v>
      </c>
      <c r="O17" s="83">
        <v>19959.725239072905</v>
      </c>
      <c r="P17" s="84">
        <f>SUM(D17:O17)</f>
        <v>290560.90350000001</v>
      </c>
      <c r="S17" s="73"/>
      <c r="T17" s="73"/>
      <c r="U17" s="73"/>
      <c r="V17" s="85">
        <v>263164</v>
      </c>
      <c r="W17" s="87">
        <f>+V17-P17</f>
        <v>-27396.903500000015</v>
      </c>
    </row>
    <row r="18" spans="1:23">
      <c r="A18" s="79"/>
      <c r="B18" s="73"/>
      <c r="C18" s="82">
        <v>48</v>
      </c>
      <c r="D18" s="83">
        <v>3973456.2093747938</v>
      </c>
      <c r="E18" s="83">
        <v>4105969.2500403835</v>
      </c>
      <c r="F18" s="83">
        <v>4131033.4508191384</v>
      </c>
      <c r="G18" s="83">
        <v>4131357.1539185904</v>
      </c>
      <c r="H18" s="83">
        <v>4312812.8709072098</v>
      </c>
      <c r="I18" s="83">
        <v>4037797.6708015227</v>
      </c>
      <c r="J18" s="83">
        <v>4046325.2576722875</v>
      </c>
      <c r="K18" s="83">
        <v>3971000.6817133543</v>
      </c>
      <c r="L18" s="83">
        <v>3852784.8642268768</v>
      </c>
      <c r="M18" s="83">
        <v>3930807.5776850092</v>
      </c>
      <c r="N18" s="83">
        <v>3645672.1673425231</v>
      </c>
      <c r="O18" s="83">
        <v>3988633.3612480219</v>
      </c>
      <c r="P18" s="84">
        <f t="shared" ref="P18:P20" si="3">SUM(D18:O18)</f>
        <v>48127650.515749708</v>
      </c>
      <c r="S18" s="73"/>
      <c r="T18" s="73"/>
      <c r="U18" s="73"/>
      <c r="V18" s="85">
        <v>44829850</v>
      </c>
      <c r="W18" s="87">
        <f>+V18-P18</f>
        <v>-3297800.5157497078</v>
      </c>
    </row>
    <row r="19" spans="1:23">
      <c r="A19" s="79"/>
      <c r="B19" s="73"/>
      <c r="C19" s="82">
        <v>54</v>
      </c>
      <c r="D19" s="83">
        <v>2413.7933920399173</v>
      </c>
      <c r="E19" s="83">
        <v>2056.423407747619</v>
      </c>
      <c r="F19" s="83">
        <v>1540.4649330282562</v>
      </c>
      <c r="G19" s="83">
        <v>2520.0814552093502</v>
      </c>
      <c r="H19" s="83">
        <v>2792.7107594424242</v>
      </c>
      <c r="I19" s="83">
        <v>1932.7260540872981</v>
      </c>
      <c r="J19" s="83">
        <v>1343.013013702722</v>
      </c>
      <c r="K19" s="83">
        <v>1228.741959662211</v>
      </c>
      <c r="L19" s="83">
        <v>2820.4916885169964</v>
      </c>
      <c r="M19" s="83">
        <v>2603.2914445081001</v>
      </c>
      <c r="N19" s="83">
        <v>1547.1939960190468</v>
      </c>
      <c r="O19" s="83">
        <v>1926.5609560360581</v>
      </c>
      <c r="P19" s="84">
        <f t="shared" si="3"/>
        <v>24725.493059999997</v>
      </c>
      <c r="S19" s="73"/>
      <c r="T19" s="73"/>
      <c r="U19" s="73"/>
      <c r="V19" s="85">
        <v>22174</v>
      </c>
      <c r="W19" s="87">
        <f>+V19-P19</f>
        <v>-2551.4930599999971</v>
      </c>
    </row>
    <row r="20" spans="1:23">
      <c r="A20" s="79"/>
      <c r="B20" s="88" t="s">
        <v>304</v>
      </c>
      <c r="C20" s="90"/>
      <c r="D20" s="84">
        <f t="shared" ref="D20:O20" si="4">SUM(D13:D19)</f>
        <v>14888517.323194843</v>
      </c>
      <c r="E20" s="84">
        <f t="shared" si="4"/>
        <v>14901052.728896538</v>
      </c>
      <c r="F20" s="84">
        <f t="shared" si="4"/>
        <v>15098891.927160123</v>
      </c>
      <c r="G20" s="84">
        <f t="shared" si="4"/>
        <v>14540029.055445449</v>
      </c>
      <c r="H20" s="84">
        <f t="shared" si="4"/>
        <v>15996521.702437444</v>
      </c>
      <c r="I20" s="84">
        <f t="shared" si="4"/>
        <v>13848670.84891469</v>
      </c>
      <c r="J20" s="84">
        <f t="shared" si="4"/>
        <v>13628090.967534287</v>
      </c>
      <c r="K20" s="84">
        <f t="shared" si="4"/>
        <v>12992169.601926371</v>
      </c>
      <c r="L20" s="84">
        <f t="shared" si="4"/>
        <v>12363725.58288773</v>
      </c>
      <c r="M20" s="84">
        <f t="shared" si="4"/>
        <v>12397024.065791888</v>
      </c>
      <c r="N20" s="84">
        <f t="shared" si="4"/>
        <v>12734013.364010679</v>
      </c>
      <c r="O20" s="84">
        <f t="shared" si="4"/>
        <v>13913518.562755628</v>
      </c>
      <c r="P20" s="84">
        <f t="shared" si="3"/>
        <v>167302225.73095566</v>
      </c>
      <c r="S20" s="73"/>
      <c r="T20" s="73"/>
      <c r="U20" s="73"/>
      <c r="V20" s="85">
        <f>SUM(V13:V19)</f>
        <v>164028807</v>
      </c>
      <c r="W20" s="85">
        <f>SUM(W13:W19)</f>
        <v>-3273418.7309556617</v>
      </c>
    </row>
    <row r="21" spans="1:23">
      <c r="A21" s="79"/>
      <c r="B21" s="88" t="s">
        <v>305</v>
      </c>
      <c r="C21" s="90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84"/>
      <c r="S21" s="73"/>
      <c r="T21" s="73"/>
      <c r="U21" s="73"/>
      <c r="V21" s="85"/>
      <c r="W21" s="73"/>
    </row>
    <row r="22" spans="1:23">
      <c r="A22" s="79"/>
      <c r="B22" s="73"/>
      <c r="C22" s="82">
        <v>15</v>
      </c>
      <c r="D22" s="83">
        <v>40411.758362580098</v>
      </c>
      <c r="E22" s="83">
        <v>40325.865363722718</v>
      </c>
      <c r="F22" s="83">
        <v>40281.492817104794</v>
      </c>
      <c r="G22" s="83">
        <v>40290.356932938303</v>
      </c>
      <c r="H22" s="83">
        <v>40366.856479596012</v>
      </c>
      <c r="I22" s="83">
        <v>40497.228237355026</v>
      </c>
      <c r="J22" s="83">
        <v>40481.6106669121</v>
      </c>
      <c r="K22" s="83">
        <v>40318.589691743415</v>
      </c>
      <c r="L22" s="83">
        <v>40207.408681896763</v>
      </c>
      <c r="M22" s="83">
        <v>40249.724822469616</v>
      </c>
      <c r="N22" s="83">
        <v>40220.376854229275</v>
      </c>
      <c r="O22" s="83">
        <v>40134.62179272058</v>
      </c>
      <c r="P22" s="84">
        <f>SUM(D22:O22)</f>
        <v>483785.8907032687</v>
      </c>
      <c r="S22" s="73"/>
      <c r="T22" s="73"/>
      <c r="U22" s="73"/>
      <c r="V22" s="85">
        <v>486522</v>
      </c>
      <c r="W22" s="87">
        <f>+V22-P22</f>
        <v>2736.1092967313016</v>
      </c>
    </row>
    <row r="23" spans="1:23">
      <c r="A23" s="79"/>
      <c r="B23" s="73"/>
      <c r="C23" s="82">
        <v>51</v>
      </c>
      <c r="D23" s="83">
        <v>49761.01257190825</v>
      </c>
      <c r="E23" s="83">
        <v>49713.253757906066</v>
      </c>
      <c r="F23" s="83">
        <v>49695.650853719373</v>
      </c>
      <c r="G23" s="83">
        <v>49761.35212841865</v>
      </c>
      <c r="H23" s="83">
        <v>49900.199757989387</v>
      </c>
      <c r="I23" s="83">
        <v>49944.232158569394</v>
      </c>
      <c r="J23" s="83">
        <v>50082.53612412572</v>
      </c>
      <c r="K23" s="83">
        <v>50140.802525495688</v>
      </c>
      <c r="L23" s="83">
        <v>50166.811852785671</v>
      </c>
      <c r="M23" s="83">
        <v>50439.341973241506</v>
      </c>
      <c r="N23" s="83">
        <v>50420.163526463861</v>
      </c>
      <c r="O23" s="83">
        <v>50430.858019409534</v>
      </c>
      <c r="P23" s="84">
        <f t="shared" ref="P23:P27" si="5">SUM(D23:O23)</f>
        <v>600456.21525003319</v>
      </c>
      <c r="S23" s="73"/>
      <c r="T23" s="73"/>
      <c r="U23" s="73"/>
      <c r="V23" s="85">
        <v>663898</v>
      </c>
      <c r="W23" s="87">
        <f>+V23-P23</f>
        <v>63441.784749966813</v>
      </c>
    </row>
    <row r="24" spans="1:23">
      <c r="A24" s="79"/>
      <c r="B24" s="73"/>
      <c r="C24" s="82">
        <v>52</v>
      </c>
      <c r="D24" s="83">
        <v>3993.6403639958494</v>
      </c>
      <c r="E24" s="83">
        <v>3983.4883632736974</v>
      </c>
      <c r="F24" s="83">
        <v>3983.4883632736974</v>
      </c>
      <c r="G24" s="83">
        <v>3983.4883632736974</v>
      </c>
      <c r="H24" s="83">
        <v>3983.4883632736974</v>
      </c>
      <c r="I24" s="83">
        <v>3982.9979585958877</v>
      </c>
      <c r="J24" s="83">
        <v>3944.1431090819633</v>
      </c>
      <c r="K24" s="83">
        <v>3833.8175102335085</v>
      </c>
      <c r="L24" s="83">
        <v>3829.4166329592053</v>
      </c>
      <c r="M24" s="83">
        <v>3760.7948869986549</v>
      </c>
      <c r="N24" s="83">
        <v>3674.5571758024125</v>
      </c>
      <c r="O24" s="83">
        <v>3672.0654392891274</v>
      </c>
      <c r="P24" s="84">
        <f t="shared" si="5"/>
        <v>46625.386530051401</v>
      </c>
      <c r="S24" s="73"/>
      <c r="T24" s="73"/>
      <c r="U24" s="73"/>
      <c r="V24" s="85">
        <v>52335</v>
      </c>
      <c r="W24" s="87">
        <f>+V24-P24</f>
        <v>5709.6134699485992</v>
      </c>
    </row>
    <row r="25" spans="1:23">
      <c r="A25" s="79"/>
      <c r="B25" s="73"/>
      <c r="C25" s="82">
        <v>53</v>
      </c>
      <c r="D25" s="83">
        <v>22664.368051644684</v>
      </c>
      <c r="E25" s="83">
        <v>23038.026766912357</v>
      </c>
      <c r="F25" s="83">
        <v>23698.28783206096</v>
      </c>
      <c r="G25" s="83">
        <v>24503.590572250519</v>
      </c>
      <c r="H25" s="83">
        <v>25706.656839729152</v>
      </c>
      <c r="I25" s="83">
        <v>26961.709840301377</v>
      </c>
      <c r="J25" s="83">
        <v>27103.646839487403</v>
      </c>
      <c r="K25" s="83">
        <v>25953.533757428671</v>
      </c>
      <c r="L25" s="83">
        <v>25218.010982868465</v>
      </c>
      <c r="M25" s="83">
        <v>24522.187267017929</v>
      </c>
      <c r="N25" s="83">
        <v>23773.803584168771</v>
      </c>
      <c r="O25" s="83">
        <v>23146.439538937564</v>
      </c>
      <c r="P25" s="84">
        <f t="shared" si="5"/>
        <v>296290.26187280787</v>
      </c>
      <c r="S25" s="73"/>
      <c r="T25" s="73"/>
      <c r="U25" s="73"/>
      <c r="V25" s="85">
        <v>296632</v>
      </c>
      <c r="W25" s="87">
        <f>+V25-P25</f>
        <v>341.73812719213311</v>
      </c>
    </row>
    <row r="26" spans="1:23">
      <c r="A26" s="79"/>
      <c r="B26" s="73"/>
      <c r="C26" s="82">
        <v>57</v>
      </c>
      <c r="D26" s="83">
        <v>18259.66037921216</v>
      </c>
      <c r="E26" s="83">
        <v>18259.66037921216</v>
      </c>
      <c r="F26" s="83">
        <v>18259.66037921216</v>
      </c>
      <c r="G26" s="83">
        <v>18259.66037921216</v>
      </c>
      <c r="H26" s="83">
        <v>18259.66037921216</v>
      </c>
      <c r="I26" s="83">
        <v>18233.820878355738</v>
      </c>
      <c r="J26" s="83">
        <v>18216.323006313316</v>
      </c>
      <c r="K26" s="83">
        <v>18195.422184458868</v>
      </c>
      <c r="L26" s="83">
        <v>18187.2819884788</v>
      </c>
      <c r="M26" s="83">
        <v>18186.007239017399</v>
      </c>
      <c r="N26" s="83">
        <v>18173.755024579168</v>
      </c>
      <c r="O26" s="83">
        <v>18173.13213953171</v>
      </c>
      <c r="P26" s="84">
        <f t="shared" si="5"/>
        <v>218664.04435679581</v>
      </c>
      <c r="S26" s="73"/>
      <c r="T26" s="73"/>
      <c r="U26" s="73"/>
      <c r="V26" s="85">
        <v>238442</v>
      </c>
      <c r="W26" s="87">
        <f>+V26-P26</f>
        <v>19777.955643204186</v>
      </c>
    </row>
    <row r="27" spans="1:23">
      <c r="A27" s="79"/>
      <c r="B27" s="88" t="s">
        <v>305</v>
      </c>
      <c r="C27" s="92"/>
      <c r="D27" s="93">
        <f>SUM(D22:D26)</f>
        <v>135090.43972934101</v>
      </c>
      <c r="E27" s="93">
        <f t="shared" ref="E27:O27" si="6">SUM(E22:E26)</f>
        <v>135320.29463102701</v>
      </c>
      <c r="F27" s="93">
        <f t="shared" si="6"/>
        <v>135918.58024537098</v>
      </c>
      <c r="G27" s="93">
        <f t="shared" si="6"/>
        <v>136798.44837609335</v>
      </c>
      <c r="H27" s="93">
        <f t="shared" si="6"/>
        <v>138216.86181980043</v>
      </c>
      <c r="I27" s="93">
        <f t="shared" si="6"/>
        <v>139619.98907317745</v>
      </c>
      <c r="J27" s="93">
        <f t="shared" si="6"/>
        <v>139828.25974592051</v>
      </c>
      <c r="K27" s="93">
        <f t="shared" si="6"/>
        <v>138442.16566936014</v>
      </c>
      <c r="L27" s="93">
        <f t="shared" si="6"/>
        <v>137608.93013898892</v>
      </c>
      <c r="M27" s="93">
        <f t="shared" si="6"/>
        <v>137158.0561887451</v>
      </c>
      <c r="N27" s="93">
        <f t="shared" si="6"/>
        <v>136262.65616524348</v>
      </c>
      <c r="O27" s="93">
        <f t="shared" si="6"/>
        <v>135557.11692988852</v>
      </c>
      <c r="P27" s="93">
        <f t="shared" si="5"/>
        <v>1645821.798712957</v>
      </c>
      <c r="R27" s="177"/>
      <c r="S27" s="73"/>
      <c r="T27" s="73"/>
      <c r="U27" s="73"/>
      <c r="V27" s="85">
        <f>SUM(V22:V26)</f>
        <v>1737829</v>
      </c>
      <c r="W27" s="85">
        <f>SUM(W22:W26)</f>
        <v>92007.201287043034</v>
      </c>
    </row>
    <row r="28" spans="1:23">
      <c r="A28" s="64"/>
      <c r="B28" s="71"/>
      <c r="C28" s="94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R28" s="177"/>
      <c r="S28" s="71"/>
      <c r="T28" s="71"/>
      <c r="U28" s="71"/>
      <c r="V28" s="96"/>
      <c r="W28" s="71"/>
    </row>
    <row r="29" spans="1:23">
      <c r="A29" s="64"/>
      <c r="B29" s="71"/>
      <c r="C29" s="94" t="s">
        <v>300</v>
      </c>
      <c r="D29" s="95">
        <f>D11+D20+D27</f>
        <v>24125598.286258504</v>
      </c>
      <c r="E29" s="95">
        <f t="shared" ref="E29:O29" si="7">E11+E20+E27</f>
        <v>23759207.397083886</v>
      </c>
      <c r="F29" s="95">
        <f t="shared" si="7"/>
        <v>24487523.071103569</v>
      </c>
      <c r="G29" s="95">
        <f t="shared" si="7"/>
        <v>22786831.889264163</v>
      </c>
      <c r="H29" s="95">
        <f t="shared" si="7"/>
        <v>26939486.650917534</v>
      </c>
      <c r="I29" s="95">
        <f t="shared" si="7"/>
        <v>30232632.560854815</v>
      </c>
      <c r="J29" s="95">
        <f t="shared" si="7"/>
        <v>31352450.290076625</v>
      </c>
      <c r="K29" s="95">
        <f t="shared" si="7"/>
        <v>28736695.941790663</v>
      </c>
      <c r="L29" s="95">
        <f t="shared" si="7"/>
        <v>25224328.830383211</v>
      </c>
      <c r="M29" s="95">
        <f t="shared" si="7"/>
        <v>23197239.102130149</v>
      </c>
      <c r="N29" s="95">
        <f t="shared" si="7"/>
        <v>20749164.815434113</v>
      </c>
      <c r="O29" s="95">
        <f t="shared" si="7"/>
        <v>21928260.128801353</v>
      </c>
      <c r="P29" s="95">
        <f>SUM(D29:O29)</f>
        <v>303519418.96409857</v>
      </c>
      <c r="R29" s="177"/>
      <c r="S29" s="71" t="s">
        <v>295</v>
      </c>
      <c r="T29" s="71"/>
      <c r="U29" s="71"/>
      <c r="V29" s="96">
        <f>+V11+V20+V27</f>
        <v>299985721</v>
      </c>
      <c r="W29" s="96">
        <f>+W11+W20+W27</f>
        <v>-3533697.9640985923</v>
      </c>
    </row>
    <row r="30" spans="1:23">
      <c r="A30" s="64"/>
      <c r="B30" s="97"/>
      <c r="C30" s="98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R30" s="177"/>
      <c r="S30" s="71"/>
      <c r="T30" s="71"/>
      <c r="U30" s="71"/>
      <c r="V30" s="96"/>
      <c r="W30" s="71"/>
    </row>
    <row r="31" spans="1:23">
      <c r="A31" s="64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R31" s="177"/>
      <c r="S31" s="71"/>
      <c r="T31" s="71"/>
      <c r="U31" s="71"/>
      <c r="V31" s="96"/>
      <c r="W31" s="71"/>
    </row>
    <row r="32" spans="1:23" s="66" customFormat="1">
      <c r="A32" s="64"/>
      <c r="B32" s="71" t="s">
        <v>482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R32" s="169"/>
      <c r="S32" s="71"/>
      <c r="T32" s="71"/>
      <c r="U32" s="71"/>
      <c r="V32" s="96"/>
      <c r="W32" s="71"/>
    </row>
    <row r="33" spans="1:23" ht="18.75">
      <c r="A33" s="100"/>
      <c r="B33" s="102" t="s">
        <v>306</v>
      </c>
      <c r="C33" s="104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3"/>
      <c r="O33" s="73"/>
      <c r="P33" s="73"/>
      <c r="Q33" s="108"/>
      <c r="R33" s="108"/>
      <c r="S33" s="73"/>
      <c r="T33" s="71"/>
      <c r="U33" s="71"/>
      <c r="V33" s="96"/>
      <c r="W33" s="104"/>
    </row>
    <row r="34" spans="1:23">
      <c r="A34" s="100"/>
      <c r="B34" s="105" t="s">
        <v>298</v>
      </c>
      <c r="C34" s="105" t="s">
        <v>299</v>
      </c>
      <c r="D34" s="30">
        <v>201106</v>
      </c>
      <c r="E34" s="30">
        <v>201107</v>
      </c>
      <c r="F34" s="30">
        <v>201108</v>
      </c>
      <c r="G34" s="30">
        <v>201109</v>
      </c>
      <c r="H34" s="30">
        <v>201110</v>
      </c>
      <c r="I34" s="30">
        <v>201111</v>
      </c>
      <c r="J34" s="30">
        <v>201112</v>
      </c>
      <c r="K34" s="30">
        <v>201201</v>
      </c>
      <c r="L34" s="30">
        <v>201202</v>
      </c>
      <c r="M34" s="30">
        <v>201203</v>
      </c>
      <c r="N34" s="30">
        <v>201204</v>
      </c>
      <c r="O34" s="30">
        <v>201205</v>
      </c>
      <c r="P34" s="30">
        <v>201206</v>
      </c>
      <c r="S34" s="71"/>
      <c r="T34" s="71"/>
      <c r="U34" s="71"/>
      <c r="V34" s="105" t="s">
        <v>307</v>
      </c>
      <c r="W34" s="106" t="s">
        <v>300</v>
      </c>
    </row>
    <row r="35" spans="1:23">
      <c r="A35" s="100"/>
      <c r="B35" s="45" t="s">
        <v>302</v>
      </c>
      <c r="C35" s="66"/>
      <c r="D35" s="71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S35" s="71"/>
      <c r="T35" s="71"/>
      <c r="U35" s="71"/>
      <c r="V35" s="45"/>
      <c r="W35" s="45"/>
    </row>
    <row r="36" spans="1:23">
      <c r="A36" s="107"/>
      <c r="B36" s="108"/>
      <c r="C36" s="109">
        <v>16</v>
      </c>
      <c r="D36" s="110">
        <v>99956</v>
      </c>
      <c r="E36" s="111">
        <v>100182.46666666601</v>
      </c>
      <c r="F36" s="111">
        <v>100340.833333334</v>
      </c>
      <c r="G36" s="111">
        <v>100322.066666666</v>
      </c>
      <c r="H36" s="111">
        <v>99637.399999999107</v>
      </c>
      <c r="I36" s="111">
        <v>100276.166666666</v>
      </c>
      <c r="J36" s="111">
        <v>100898.833333332</v>
      </c>
      <c r="K36" s="111">
        <v>100566.600000002</v>
      </c>
      <c r="L36" s="111">
        <v>99972.399999996705</v>
      </c>
      <c r="M36" s="111">
        <v>99806.866666665606</v>
      </c>
      <c r="N36" s="111">
        <v>99737.833333332062</v>
      </c>
      <c r="O36" s="111">
        <v>99712.733333331402</v>
      </c>
      <c r="P36" s="111">
        <v>99873.233333332697</v>
      </c>
      <c r="S36" s="71"/>
      <c r="T36" s="71"/>
      <c r="U36" s="71"/>
      <c r="V36" s="111">
        <f>W36/12</f>
        <v>100110.61944444363</v>
      </c>
      <c r="W36" s="112">
        <f>SUM(E36:P36)</f>
        <v>1201327.4333333236</v>
      </c>
    </row>
    <row r="37" spans="1:23">
      <c r="A37" s="107"/>
      <c r="B37" s="108"/>
      <c r="C37" s="109">
        <v>17</v>
      </c>
      <c r="D37" s="110">
        <v>3891</v>
      </c>
      <c r="E37" s="111">
        <v>3880.8</v>
      </c>
      <c r="F37" s="111">
        <v>3801.9666666666699</v>
      </c>
      <c r="G37" s="111">
        <v>3815.4333333333302</v>
      </c>
      <c r="H37" s="111">
        <v>4394.6000000000004</v>
      </c>
      <c r="I37" s="111">
        <v>3981.1666666666601</v>
      </c>
      <c r="J37" s="111">
        <v>3808.0333333333401</v>
      </c>
      <c r="K37" s="111">
        <v>3946.6</v>
      </c>
      <c r="L37" s="111">
        <v>4200.7666666666701</v>
      </c>
      <c r="M37" s="111">
        <v>4341.8666666666704</v>
      </c>
      <c r="N37" s="111">
        <v>4364.3666666666704</v>
      </c>
      <c r="O37" s="111">
        <v>4266.3</v>
      </c>
      <c r="P37" s="111">
        <v>4188.8333333333303</v>
      </c>
      <c r="S37" s="71"/>
      <c r="T37" s="71"/>
      <c r="U37" s="71"/>
      <c r="V37" s="111">
        <f t="shared" ref="V37:V38" si="8">W37/12</f>
        <v>4082.5611111111116</v>
      </c>
      <c r="W37" s="112">
        <f>SUM(E37:P37)</f>
        <v>48990.733333333337</v>
      </c>
    </row>
    <row r="38" spans="1:23">
      <c r="A38" s="107"/>
      <c r="B38" s="108"/>
      <c r="C38" s="109">
        <v>18</v>
      </c>
      <c r="D38" s="113">
        <v>107</v>
      </c>
      <c r="E38" s="111">
        <v>106.73333333333331</v>
      </c>
      <c r="F38" s="111">
        <v>105.9</v>
      </c>
      <c r="G38" s="111">
        <v>105.1333333333333</v>
      </c>
      <c r="H38" s="111">
        <v>106.8666666666667</v>
      </c>
      <c r="I38" s="111">
        <v>101.3333333333333</v>
      </c>
      <c r="J38" s="111">
        <v>102.76666666666671</v>
      </c>
      <c r="K38" s="111">
        <v>104.1666666666667</v>
      </c>
      <c r="L38" s="111">
        <v>103.56666666666671</v>
      </c>
      <c r="M38" s="111">
        <v>103.56666666666671</v>
      </c>
      <c r="N38" s="111">
        <v>102.3333333333333</v>
      </c>
      <c r="O38" s="111">
        <v>102.23333333333331</v>
      </c>
      <c r="P38" s="111">
        <v>101.76666666666669</v>
      </c>
      <c r="R38" s="177" t="s">
        <v>476</v>
      </c>
      <c r="S38" s="71"/>
      <c r="T38" s="71"/>
      <c r="U38" s="71"/>
      <c r="V38" s="111">
        <f t="shared" si="8"/>
        <v>103.86388888888889</v>
      </c>
      <c r="W38" s="112">
        <f>SUM(E38:P38)</f>
        <v>1246.3666666666668</v>
      </c>
    </row>
    <row r="39" spans="1:23">
      <c r="A39" s="107"/>
      <c r="B39" s="49" t="s">
        <v>302</v>
      </c>
      <c r="C39" s="114"/>
      <c r="D39" s="115">
        <f t="shared" ref="D39:P39" si="9">SUM(D36:D38)</f>
        <v>103954</v>
      </c>
      <c r="E39" s="115">
        <f t="shared" si="9"/>
        <v>104169.99999999935</v>
      </c>
      <c r="F39" s="115">
        <f t="shared" si="9"/>
        <v>104248.70000000067</v>
      </c>
      <c r="G39" s="115">
        <f t="shared" si="9"/>
        <v>104242.63333333266</v>
      </c>
      <c r="H39" s="115">
        <f t="shared" si="9"/>
        <v>104138.86666666578</v>
      </c>
      <c r="I39" s="115">
        <f t="shared" si="9"/>
        <v>104358.66666666599</v>
      </c>
      <c r="J39" s="115">
        <f t="shared" si="9"/>
        <v>104809.63333333201</v>
      </c>
      <c r="K39" s="115">
        <f t="shared" si="9"/>
        <v>104617.36666666868</v>
      </c>
      <c r="L39" s="115">
        <f t="shared" si="9"/>
        <v>104276.73333333003</v>
      </c>
      <c r="M39" s="115">
        <f t="shared" si="9"/>
        <v>104252.29999999894</v>
      </c>
      <c r="N39" s="115">
        <f t="shared" si="9"/>
        <v>104204.53333333206</v>
      </c>
      <c r="O39" s="115">
        <f t="shared" si="9"/>
        <v>104081.26666666474</v>
      </c>
      <c r="P39" s="115">
        <f t="shared" si="9"/>
        <v>104163.83333333269</v>
      </c>
      <c r="R39" s="177"/>
      <c r="S39" s="71"/>
      <c r="T39" s="71"/>
      <c r="U39" s="71"/>
      <c r="V39" s="115">
        <f>SUM(V36:V38)</f>
        <v>104297.04444444361</v>
      </c>
      <c r="W39" s="116">
        <f>SUM(W36:W38)</f>
        <v>1251564.5333333237</v>
      </c>
    </row>
    <row r="40" spans="1:23">
      <c r="A40" s="107"/>
      <c r="B40" s="103" t="s">
        <v>304</v>
      </c>
      <c r="C40" s="114"/>
      <c r="D40" s="114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R40" s="177"/>
      <c r="S40" s="71"/>
      <c r="T40" s="71"/>
      <c r="U40" s="71"/>
      <c r="V40" s="115"/>
      <c r="W40" s="116"/>
    </row>
    <row r="41" spans="1:23">
      <c r="A41" s="107"/>
      <c r="B41" s="108"/>
      <c r="C41" s="109">
        <v>24</v>
      </c>
      <c r="D41" s="110">
        <v>18542</v>
      </c>
      <c r="E41" s="117">
        <v>18537.866666666734</v>
      </c>
      <c r="F41" s="117">
        <v>18586.891666666688</v>
      </c>
      <c r="G41" s="117">
        <v>18594.866666666734</v>
      </c>
      <c r="H41" s="117">
        <v>18579.500000000036</v>
      </c>
      <c r="I41" s="117">
        <v>18608.666666666733</v>
      </c>
      <c r="J41" s="117">
        <v>18703.633333333364</v>
      </c>
      <c r="K41" s="117">
        <v>18664.033333333355</v>
      </c>
      <c r="L41" s="117">
        <v>18607.916666666679</v>
      </c>
      <c r="M41" s="117">
        <v>18612.633333333368</v>
      </c>
      <c r="N41" s="117">
        <v>18615.533333333326</v>
      </c>
      <c r="O41" s="117">
        <v>18615.313333333368</v>
      </c>
      <c r="P41" s="117">
        <v>19033.864126985824</v>
      </c>
      <c r="R41" s="177"/>
      <c r="S41" s="71"/>
      <c r="T41" s="71"/>
      <c r="U41" s="71"/>
      <c r="V41" s="111">
        <f t="shared" ref="V41:V47" si="10">W41/12</f>
        <v>18646.726593915519</v>
      </c>
      <c r="W41" s="112">
        <f t="shared" ref="W41:W47" si="11">SUM(E41:P41)</f>
        <v>223760.71912698622</v>
      </c>
    </row>
    <row r="42" spans="1:23">
      <c r="A42" s="107"/>
      <c r="B42" s="108"/>
      <c r="C42" s="109">
        <v>33</v>
      </c>
      <c r="D42" s="110">
        <v>0</v>
      </c>
      <c r="E42" s="111">
        <v>0</v>
      </c>
      <c r="F42" s="111">
        <v>0</v>
      </c>
      <c r="G42" s="111">
        <v>0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v>0</v>
      </c>
      <c r="P42" s="111">
        <v>0</v>
      </c>
      <c r="R42" s="177"/>
      <c r="S42" s="71"/>
      <c r="T42" s="71"/>
      <c r="U42" s="71"/>
      <c r="V42" s="111">
        <f t="shared" si="10"/>
        <v>0</v>
      </c>
      <c r="W42" s="112">
        <f t="shared" si="11"/>
        <v>0</v>
      </c>
    </row>
    <row r="43" spans="1:23">
      <c r="A43" s="107"/>
      <c r="B43" s="108"/>
      <c r="C43" s="109">
        <v>36</v>
      </c>
      <c r="D43" s="113">
        <v>1058</v>
      </c>
      <c r="E43" s="111">
        <v>1054.56666666667</v>
      </c>
      <c r="F43" s="111">
        <v>1047.3333333333301</v>
      </c>
      <c r="G43" s="111">
        <v>1044.7</v>
      </c>
      <c r="H43" s="111">
        <v>1040.56666666667</v>
      </c>
      <c r="I43" s="111">
        <v>1037.3</v>
      </c>
      <c r="J43" s="111">
        <v>1046.5333333333299</v>
      </c>
      <c r="K43" s="111">
        <v>1044.5999999999999</v>
      </c>
      <c r="L43" s="111">
        <v>1041.7666666666701</v>
      </c>
      <c r="M43" s="111">
        <v>1038.6666666666699</v>
      </c>
      <c r="N43" s="111">
        <v>1041.93333333333</v>
      </c>
      <c r="O43" s="111">
        <v>1037.9000000000001</v>
      </c>
      <c r="P43" s="111">
        <f>1057.53333333334+1</f>
        <v>1058.5333333333399</v>
      </c>
      <c r="Q43" s="170" t="s">
        <v>189</v>
      </c>
      <c r="R43" s="177"/>
      <c r="S43" s="71"/>
      <c r="T43" s="71"/>
      <c r="U43" s="71"/>
      <c r="V43" s="111">
        <f t="shared" si="10"/>
        <v>1044.5333333333342</v>
      </c>
      <c r="W43" s="112">
        <f t="shared" si="11"/>
        <v>12534.400000000011</v>
      </c>
    </row>
    <row r="44" spans="1:23">
      <c r="A44" s="107"/>
      <c r="B44" s="108"/>
      <c r="C44" s="109">
        <v>40</v>
      </c>
      <c r="D44" s="110">
        <v>5251</v>
      </c>
      <c r="E44" s="111">
        <v>5260</v>
      </c>
      <c r="F44" s="111">
        <v>5260</v>
      </c>
      <c r="G44" s="111">
        <v>5260</v>
      </c>
      <c r="H44" s="111">
        <v>5260</v>
      </c>
      <c r="I44" s="111">
        <v>5260</v>
      </c>
      <c r="J44" s="111">
        <v>5260</v>
      </c>
      <c r="K44" s="111">
        <v>5260</v>
      </c>
      <c r="L44" s="111">
        <v>5260</v>
      </c>
      <c r="M44" s="111">
        <v>5260</v>
      </c>
      <c r="N44" s="111">
        <v>5260</v>
      </c>
      <c r="O44" s="111">
        <v>5260</v>
      </c>
      <c r="P44" s="111">
        <v>5260</v>
      </c>
      <c r="R44" s="177"/>
      <c r="S44" s="71"/>
      <c r="T44" s="71"/>
      <c r="U44" s="71"/>
      <c r="V44" s="111">
        <f t="shared" si="10"/>
        <v>5260</v>
      </c>
      <c r="W44" s="112">
        <f t="shared" si="11"/>
        <v>63120</v>
      </c>
    </row>
    <row r="45" spans="1:23">
      <c r="A45" s="107"/>
      <c r="B45" s="108"/>
      <c r="C45" s="109">
        <v>47</v>
      </c>
      <c r="D45" s="110">
        <v>1</v>
      </c>
      <c r="E45" s="111">
        <v>1</v>
      </c>
      <c r="F45" s="111">
        <v>1</v>
      </c>
      <c r="G45" s="111">
        <v>1</v>
      </c>
      <c r="H45" s="111">
        <v>1</v>
      </c>
      <c r="I45" s="111">
        <v>1</v>
      </c>
      <c r="J45" s="111">
        <v>1</v>
      </c>
      <c r="K45" s="111">
        <v>1</v>
      </c>
      <c r="L45" s="111">
        <v>1</v>
      </c>
      <c r="M45" s="111">
        <v>1</v>
      </c>
      <c r="N45" s="111">
        <v>1</v>
      </c>
      <c r="O45" s="111">
        <v>1</v>
      </c>
      <c r="P45" s="111">
        <v>1</v>
      </c>
      <c r="R45" s="177"/>
      <c r="S45" s="71"/>
      <c r="T45" s="71"/>
      <c r="U45" s="71"/>
      <c r="V45" s="111">
        <f t="shared" si="10"/>
        <v>1</v>
      </c>
      <c r="W45" s="112">
        <f t="shared" si="11"/>
        <v>12</v>
      </c>
    </row>
    <row r="46" spans="1:23">
      <c r="A46" s="107"/>
      <c r="B46" s="108"/>
      <c r="C46" s="109">
        <v>48</v>
      </c>
      <c r="D46" s="113">
        <v>57</v>
      </c>
      <c r="E46" s="111">
        <v>58.484848484848499</v>
      </c>
      <c r="F46" s="111">
        <v>59</v>
      </c>
      <c r="G46" s="111">
        <v>59.121212121212103</v>
      </c>
      <c r="H46" s="111">
        <v>60.030303030303003</v>
      </c>
      <c r="I46" s="111">
        <v>60.787878787878803</v>
      </c>
      <c r="J46" s="111">
        <v>59.030303030303003</v>
      </c>
      <c r="K46" s="111">
        <v>58.909090909090899</v>
      </c>
      <c r="L46" s="111">
        <v>59.212121212121197</v>
      </c>
      <c r="M46" s="111">
        <v>59.818181818181799</v>
      </c>
      <c r="N46" s="111">
        <v>59</v>
      </c>
      <c r="O46" s="111">
        <v>59</v>
      </c>
      <c r="P46" s="111">
        <v>55</v>
      </c>
      <c r="R46" s="177"/>
      <c r="S46" s="71"/>
      <c r="T46" s="71"/>
      <c r="U46" s="71"/>
      <c r="V46" s="111">
        <f t="shared" si="10"/>
        <v>58.949494949494941</v>
      </c>
      <c r="W46" s="112">
        <f t="shared" si="11"/>
        <v>707.39393939393926</v>
      </c>
    </row>
    <row r="47" spans="1:23">
      <c r="A47" s="107"/>
      <c r="B47" s="108"/>
      <c r="C47" s="109">
        <v>54</v>
      </c>
      <c r="D47" s="110">
        <v>28</v>
      </c>
      <c r="E47" s="111">
        <v>28</v>
      </c>
      <c r="F47" s="111">
        <v>28</v>
      </c>
      <c r="G47" s="111">
        <v>28</v>
      </c>
      <c r="H47" s="111">
        <v>27.9674074074074</v>
      </c>
      <c r="I47" s="111">
        <v>30</v>
      </c>
      <c r="J47" s="111">
        <v>30</v>
      </c>
      <c r="K47" s="111">
        <v>30</v>
      </c>
      <c r="L47" s="111">
        <v>30</v>
      </c>
      <c r="M47" s="111">
        <v>29.968</v>
      </c>
      <c r="N47" s="111">
        <v>29</v>
      </c>
      <c r="O47" s="111">
        <v>29</v>
      </c>
      <c r="P47" s="111">
        <v>29</v>
      </c>
      <c r="R47" s="177"/>
      <c r="S47" s="71"/>
      <c r="T47" s="71"/>
      <c r="U47" s="71"/>
      <c r="V47" s="111">
        <f t="shared" si="10"/>
        <v>29.07795061728395</v>
      </c>
      <c r="W47" s="112">
        <f t="shared" si="11"/>
        <v>348.93540740740741</v>
      </c>
    </row>
    <row r="48" spans="1:23">
      <c r="A48" s="107"/>
      <c r="B48" s="103" t="s">
        <v>304</v>
      </c>
      <c r="C48" s="90"/>
      <c r="D48" s="115">
        <f t="shared" ref="D48" si="12">SUM(D41:D47)</f>
        <v>24937</v>
      </c>
      <c r="E48" s="115">
        <f>SUM(E41:E47)</f>
        <v>24939.918181818251</v>
      </c>
      <c r="F48" s="115">
        <f t="shared" ref="F48:P48" si="13">SUM(F41:F47)</f>
        <v>24982.225000000017</v>
      </c>
      <c r="G48" s="115">
        <f t="shared" si="13"/>
        <v>24987.687878787947</v>
      </c>
      <c r="H48" s="115">
        <f t="shared" si="13"/>
        <v>24969.064377104416</v>
      </c>
      <c r="I48" s="115">
        <f t="shared" si="13"/>
        <v>24997.754545454613</v>
      </c>
      <c r="J48" s="115">
        <f t="shared" si="13"/>
        <v>25100.196969696997</v>
      </c>
      <c r="K48" s="115">
        <f t="shared" si="13"/>
        <v>25058.542424242445</v>
      </c>
      <c r="L48" s="115">
        <f t="shared" si="13"/>
        <v>24999.895454545469</v>
      </c>
      <c r="M48" s="115">
        <f t="shared" si="13"/>
        <v>25002.08618181822</v>
      </c>
      <c r="N48" s="115">
        <f t="shared" si="13"/>
        <v>25006.466666666656</v>
      </c>
      <c r="O48" s="115">
        <f t="shared" si="13"/>
        <v>25002.21333333337</v>
      </c>
      <c r="P48" s="115">
        <f t="shared" si="13"/>
        <v>25437.397460319164</v>
      </c>
      <c r="R48" s="177"/>
      <c r="S48" s="71"/>
      <c r="T48" s="71"/>
      <c r="U48" s="71"/>
      <c r="V48" s="115">
        <f>SUM(V41:V47)</f>
        <v>25040.28737281563</v>
      </c>
      <c r="W48" s="112">
        <f>SUM(E48:V48)</f>
        <v>325523.73584660317</v>
      </c>
    </row>
    <row r="49" spans="1:23">
      <c r="A49" s="107"/>
      <c r="B49" s="103" t="s">
        <v>305</v>
      </c>
      <c r="C49" s="90"/>
      <c r="D49" s="113"/>
      <c r="E49" s="115" t="s">
        <v>295</v>
      </c>
      <c r="F49" s="115" t="s">
        <v>295</v>
      </c>
      <c r="G49" s="115" t="s">
        <v>295</v>
      </c>
      <c r="H49" s="115" t="s">
        <v>295</v>
      </c>
      <c r="I49" s="115" t="s">
        <v>295</v>
      </c>
      <c r="J49" s="115" t="s">
        <v>295</v>
      </c>
      <c r="K49" s="115" t="s">
        <v>295</v>
      </c>
      <c r="L49" s="115" t="s">
        <v>295</v>
      </c>
      <c r="M49" s="115" t="s">
        <v>295</v>
      </c>
      <c r="N49" s="115" t="s">
        <v>295</v>
      </c>
      <c r="O49" s="115" t="s">
        <v>295</v>
      </c>
      <c r="P49" s="115" t="s">
        <v>295</v>
      </c>
      <c r="R49" s="177"/>
      <c r="S49" s="71"/>
      <c r="T49" s="71"/>
      <c r="U49" s="71"/>
      <c r="V49" s="115"/>
      <c r="W49" s="116" t="s">
        <v>295</v>
      </c>
    </row>
    <row r="50" spans="1:23">
      <c r="A50" s="107"/>
      <c r="B50" s="108"/>
      <c r="C50" s="118">
        <v>15</v>
      </c>
      <c r="D50" s="110">
        <v>2595</v>
      </c>
      <c r="E50" s="111">
        <v>2605</v>
      </c>
      <c r="F50" s="111">
        <v>2604</v>
      </c>
      <c r="G50" s="111">
        <v>2593</v>
      </c>
      <c r="H50" s="111">
        <v>2594</v>
      </c>
      <c r="I50" s="111">
        <v>2603</v>
      </c>
      <c r="J50" s="111">
        <v>2596</v>
      </c>
      <c r="K50" s="111">
        <v>2604</v>
      </c>
      <c r="L50" s="111">
        <v>2598</v>
      </c>
      <c r="M50" s="111">
        <v>2607</v>
      </c>
      <c r="N50" s="111">
        <v>2597</v>
      </c>
      <c r="O50" s="111">
        <v>2599</v>
      </c>
      <c r="P50" s="111">
        <v>2590</v>
      </c>
      <c r="R50" s="177"/>
      <c r="S50" s="71"/>
      <c r="T50" s="71"/>
      <c r="U50" s="71"/>
      <c r="V50" s="111">
        <f t="shared" ref="V50:V54" si="14">W50/12</f>
        <v>2599.1666666666665</v>
      </c>
      <c r="W50" s="112">
        <f>SUM(E50:P50)</f>
        <v>31190</v>
      </c>
    </row>
    <row r="51" spans="1:23">
      <c r="A51" s="107"/>
      <c r="B51" s="108"/>
      <c r="C51" s="118">
        <v>51</v>
      </c>
      <c r="D51" s="110">
        <v>157</v>
      </c>
      <c r="E51" s="111">
        <v>163</v>
      </c>
      <c r="F51" s="111">
        <v>163</v>
      </c>
      <c r="G51" s="111">
        <v>163</v>
      </c>
      <c r="H51" s="111">
        <v>163</v>
      </c>
      <c r="I51" s="111">
        <v>163</v>
      </c>
      <c r="J51" s="111">
        <v>163</v>
      </c>
      <c r="K51" s="111">
        <v>163</v>
      </c>
      <c r="L51" s="111">
        <v>163</v>
      </c>
      <c r="M51" s="111">
        <v>163</v>
      </c>
      <c r="N51" s="111">
        <v>163</v>
      </c>
      <c r="O51" s="111">
        <v>163</v>
      </c>
      <c r="P51" s="111">
        <v>163</v>
      </c>
      <c r="R51" s="177"/>
      <c r="S51" s="71"/>
      <c r="T51" s="71"/>
      <c r="U51" s="71"/>
      <c r="V51" s="111">
        <f t="shared" si="14"/>
        <v>163</v>
      </c>
      <c r="W51" s="112">
        <f>SUM(E51:P51)</f>
        <v>1956</v>
      </c>
    </row>
    <row r="52" spans="1:23">
      <c r="A52" s="107"/>
      <c r="B52" s="108"/>
      <c r="C52" s="118">
        <v>52</v>
      </c>
      <c r="D52" s="113">
        <v>18</v>
      </c>
      <c r="E52" s="111">
        <v>18</v>
      </c>
      <c r="F52" s="111">
        <v>18</v>
      </c>
      <c r="G52" s="111">
        <v>18</v>
      </c>
      <c r="H52" s="111">
        <v>18</v>
      </c>
      <c r="I52" s="111">
        <v>18</v>
      </c>
      <c r="J52" s="111">
        <v>18</v>
      </c>
      <c r="K52" s="111">
        <v>18</v>
      </c>
      <c r="L52" s="111">
        <v>18</v>
      </c>
      <c r="M52" s="111">
        <v>18</v>
      </c>
      <c r="N52" s="111">
        <v>18</v>
      </c>
      <c r="O52" s="111">
        <v>17</v>
      </c>
      <c r="P52" s="111">
        <v>17</v>
      </c>
      <c r="R52" s="177"/>
      <c r="S52" s="71"/>
      <c r="T52" s="71"/>
      <c r="U52" s="71"/>
      <c r="V52" s="111">
        <f t="shared" si="14"/>
        <v>17.833333333333332</v>
      </c>
      <c r="W52" s="112">
        <f>SUM(E52:P52)</f>
        <v>214</v>
      </c>
    </row>
    <row r="53" spans="1:23">
      <c r="A53" s="107"/>
      <c r="B53" s="108"/>
      <c r="C53" s="118">
        <v>53</v>
      </c>
      <c r="D53" s="110">
        <v>214</v>
      </c>
      <c r="E53" s="111">
        <v>214</v>
      </c>
      <c r="F53" s="111">
        <v>214</v>
      </c>
      <c r="G53" s="111">
        <v>214</v>
      </c>
      <c r="H53" s="111">
        <v>217</v>
      </c>
      <c r="I53" s="111">
        <v>221</v>
      </c>
      <c r="J53" s="111">
        <v>222</v>
      </c>
      <c r="K53" s="111">
        <v>223</v>
      </c>
      <c r="L53" s="111">
        <v>222</v>
      </c>
      <c r="M53" s="111">
        <v>223</v>
      </c>
      <c r="N53" s="111">
        <v>223</v>
      </c>
      <c r="O53" s="111">
        <v>223</v>
      </c>
      <c r="P53" s="111">
        <v>224</v>
      </c>
      <c r="R53" s="177"/>
      <c r="S53" s="71"/>
      <c r="T53" s="71"/>
      <c r="U53" s="71"/>
      <c r="V53" s="111">
        <f t="shared" si="14"/>
        <v>220</v>
      </c>
      <c r="W53" s="112">
        <f>SUM(E53:P53)</f>
        <v>2640</v>
      </c>
    </row>
    <row r="54" spans="1:23" ht="15.75" customHeight="1">
      <c r="A54" s="107"/>
      <c r="B54" s="108"/>
      <c r="C54" s="118">
        <v>57</v>
      </c>
      <c r="D54" s="110">
        <v>41</v>
      </c>
      <c r="E54" s="111">
        <v>41</v>
      </c>
      <c r="F54" s="111">
        <v>41</v>
      </c>
      <c r="G54" s="111">
        <v>41</v>
      </c>
      <c r="H54" s="111">
        <v>41</v>
      </c>
      <c r="I54" s="111">
        <v>41</v>
      </c>
      <c r="J54" s="111">
        <v>41</v>
      </c>
      <c r="K54" s="111">
        <v>41</v>
      </c>
      <c r="L54" s="111">
        <v>41</v>
      </c>
      <c r="M54" s="111">
        <v>42</v>
      </c>
      <c r="N54" s="111">
        <v>41</v>
      </c>
      <c r="O54" s="111">
        <v>41</v>
      </c>
      <c r="P54" s="111">
        <v>41</v>
      </c>
      <c r="R54" s="177"/>
      <c r="S54" s="71"/>
      <c r="T54" s="71"/>
      <c r="U54" s="71"/>
      <c r="V54" s="111">
        <f t="shared" si="14"/>
        <v>41.083333333333336</v>
      </c>
      <c r="W54" s="112">
        <f>SUM(E54:P54)</f>
        <v>493</v>
      </c>
    </row>
    <row r="55" spans="1:23">
      <c r="A55" s="107"/>
      <c r="B55" s="103" t="s">
        <v>305</v>
      </c>
      <c r="C55" s="108"/>
      <c r="D55" s="115">
        <f t="shared" ref="D55" si="15">SUM(D50:D54)</f>
        <v>3025</v>
      </c>
      <c r="E55" s="115">
        <f>SUM(E50:E54)</f>
        <v>3041</v>
      </c>
      <c r="F55" s="115">
        <f t="shared" ref="F55:P55" si="16">SUM(F50:F54)</f>
        <v>3040</v>
      </c>
      <c r="G55" s="115">
        <f t="shared" si="16"/>
        <v>3029</v>
      </c>
      <c r="H55" s="115">
        <f t="shared" si="16"/>
        <v>3033</v>
      </c>
      <c r="I55" s="115">
        <f t="shared" si="16"/>
        <v>3046</v>
      </c>
      <c r="J55" s="115">
        <f t="shared" si="16"/>
        <v>3040</v>
      </c>
      <c r="K55" s="115">
        <f t="shared" si="16"/>
        <v>3049</v>
      </c>
      <c r="L55" s="115">
        <f t="shared" si="16"/>
        <v>3042</v>
      </c>
      <c r="M55" s="115">
        <f t="shared" si="16"/>
        <v>3053</v>
      </c>
      <c r="N55" s="115">
        <f t="shared" si="16"/>
        <v>3042</v>
      </c>
      <c r="O55" s="115">
        <f t="shared" si="16"/>
        <v>3043</v>
      </c>
      <c r="P55" s="115">
        <f t="shared" si="16"/>
        <v>3035</v>
      </c>
      <c r="R55" s="177"/>
      <c r="S55" s="71"/>
      <c r="T55" s="71"/>
      <c r="U55" s="71"/>
      <c r="V55" s="115">
        <f>SUM(V50:V54)</f>
        <v>3041.0833333333335</v>
      </c>
      <c r="W55" s="112">
        <f>SUM(E55:V55)</f>
        <v>39534.083333333336</v>
      </c>
    </row>
    <row r="56" spans="1:23">
      <c r="A56" s="107"/>
      <c r="B56" s="108"/>
      <c r="C56" s="108"/>
      <c r="D56" s="110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R56" s="177"/>
      <c r="S56" s="71"/>
      <c r="T56" s="71"/>
      <c r="U56" s="71"/>
      <c r="V56" s="49"/>
      <c r="W56" s="119" t="s">
        <v>295</v>
      </c>
    </row>
    <row r="57" spans="1:23">
      <c r="A57" s="100"/>
      <c r="B57" s="53"/>
      <c r="C57" s="120" t="s">
        <v>300</v>
      </c>
      <c r="D57" s="121">
        <f t="shared" ref="D57" si="17">D39+D48+D55</f>
        <v>131916</v>
      </c>
      <c r="E57" s="122">
        <f>E39+E48+E55</f>
        <v>132150.9181818176</v>
      </c>
      <c r="F57" s="122">
        <f t="shared" ref="F57:P57" si="18">F39+F48+F55</f>
        <v>132270.92500000069</v>
      </c>
      <c r="G57" s="122">
        <f t="shared" si="18"/>
        <v>132259.32121212062</v>
      </c>
      <c r="H57" s="122">
        <f t="shared" si="18"/>
        <v>132140.93104377019</v>
      </c>
      <c r="I57" s="122">
        <f t="shared" si="18"/>
        <v>132402.42121212059</v>
      </c>
      <c r="J57" s="122">
        <f t="shared" si="18"/>
        <v>132949.83030302901</v>
      </c>
      <c r="K57" s="122">
        <f t="shared" si="18"/>
        <v>132724.90909091113</v>
      </c>
      <c r="L57" s="122">
        <f t="shared" si="18"/>
        <v>132318.6287878755</v>
      </c>
      <c r="M57" s="122">
        <f t="shared" si="18"/>
        <v>132307.38618181716</v>
      </c>
      <c r="N57" s="122">
        <f t="shared" si="18"/>
        <v>132252.99999999872</v>
      </c>
      <c r="O57" s="122">
        <f t="shared" si="18"/>
        <v>132126.47999999812</v>
      </c>
      <c r="P57" s="122">
        <f t="shared" si="18"/>
        <v>132636.23079365183</v>
      </c>
      <c r="R57" s="177"/>
      <c r="S57" s="71"/>
      <c r="T57" s="71"/>
      <c r="U57" s="71"/>
      <c r="V57" s="122">
        <f>V39+V48+V55</f>
        <v>132378.41515059257</v>
      </c>
      <c r="W57" s="123">
        <f>SUM(E57:P57)</f>
        <v>1588540.9818071111</v>
      </c>
    </row>
    <row r="58" spans="1:23" s="66" customFormat="1">
      <c r="A58" s="100"/>
      <c r="B58" s="45"/>
      <c r="C58" s="101"/>
      <c r="D58" s="171" t="s">
        <v>189</v>
      </c>
      <c r="E58" s="123" t="s">
        <v>485</v>
      </c>
      <c r="F58" s="123"/>
      <c r="G58" s="123"/>
      <c r="H58" s="123"/>
      <c r="I58" s="123"/>
      <c r="K58" s="123"/>
      <c r="L58" s="123"/>
      <c r="M58" s="123"/>
      <c r="N58" s="123"/>
      <c r="O58" s="123"/>
      <c r="P58" s="123"/>
      <c r="R58" s="165"/>
      <c r="S58" s="71"/>
      <c r="T58" s="71"/>
      <c r="U58" s="71"/>
      <c r="V58" s="123"/>
      <c r="W58" s="123"/>
    </row>
    <row r="59" spans="1:23" s="66" customFormat="1">
      <c r="A59" s="100"/>
      <c r="B59" s="45"/>
      <c r="C59" s="101"/>
      <c r="D59" s="141"/>
      <c r="E59" s="123" t="s">
        <v>484</v>
      </c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R59" s="165"/>
      <c r="S59" s="71"/>
      <c r="T59" s="71"/>
      <c r="U59" s="71"/>
      <c r="V59" s="123"/>
      <c r="W59" s="123"/>
    </row>
    <row r="60" spans="1:23" s="66" customFormat="1">
      <c r="A60" s="100"/>
      <c r="B60" s="45"/>
      <c r="C60" s="101"/>
      <c r="D60" s="141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R60" s="165"/>
      <c r="S60" s="71"/>
      <c r="T60" s="71"/>
      <c r="U60" s="71"/>
      <c r="V60" s="123"/>
      <c r="W60" s="123"/>
    </row>
    <row r="61" spans="1:23" s="66" customFormat="1">
      <c r="A61" s="100"/>
      <c r="B61" s="45"/>
      <c r="C61" s="101"/>
      <c r="D61" s="141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R61" s="165"/>
      <c r="S61" s="71"/>
      <c r="T61" s="71"/>
      <c r="U61" s="71"/>
      <c r="V61" s="123"/>
      <c r="W61" s="123"/>
    </row>
    <row r="62" spans="1:23" s="66" customFormat="1">
      <c r="A62" s="100"/>
      <c r="B62" s="45"/>
      <c r="C62" s="101"/>
      <c r="D62" s="141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R62" s="165"/>
      <c r="S62" s="71"/>
      <c r="T62" s="71"/>
      <c r="U62" s="71"/>
      <c r="V62" s="123"/>
      <c r="W62" s="123"/>
    </row>
    <row r="63" spans="1:23" s="66" customFormat="1">
      <c r="A63" s="100"/>
      <c r="B63" s="45"/>
      <c r="C63" s="101"/>
      <c r="D63" s="141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R63" s="165"/>
      <c r="S63" s="71"/>
      <c r="T63" s="71"/>
      <c r="U63" s="71"/>
      <c r="V63" s="123"/>
      <c r="W63" s="123"/>
    </row>
    <row r="64" spans="1:23" s="66" customFormat="1">
      <c r="A64" s="100"/>
      <c r="B64" s="45"/>
      <c r="C64" s="101"/>
      <c r="D64" s="141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R64" s="165"/>
      <c r="S64" s="71"/>
      <c r="T64" s="71"/>
      <c r="U64" s="71"/>
      <c r="V64" s="123"/>
      <c r="W64" s="123"/>
    </row>
    <row r="65" spans="1:23" s="66" customFormat="1">
      <c r="A65" s="100"/>
      <c r="B65" s="45"/>
      <c r="C65" s="101"/>
      <c r="D65" s="141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R65" s="165"/>
      <c r="S65" s="71"/>
      <c r="T65" s="71"/>
      <c r="U65" s="71"/>
      <c r="V65" s="123"/>
      <c r="W65" s="123"/>
    </row>
    <row r="66" spans="1:23">
      <c r="A66" s="100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S66" s="71"/>
      <c r="T66" s="71"/>
      <c r="U66" s="71"/>
      <c r="V66" s="66"/>
      <c r="W66" s="66"/>
    </row>
    <row r="67" spans="1:23">
      <c r="A67" s="100"/>
      <c r="B67" s="66" t="s">
        <v>308</v>
      </c>
      <c r="C67" s="66"/>
      <c r="D67" s="71"/>
      <c r="E67" s="71" t="s">
        <v>483</v>
      </c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</row>
    <row r="68" spans="1:23">
      <c r="A68" s="64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5"/>
      <c r="Q68" s="75"/>
      <c r="R68" s="71"/>
      <c r="S68" s="71"/>
      <c r="T68" s="71"/>
      <c r="U68" s="71"/>
    </row>
    <row r="69" spans="1:23">
      <c r="A69" s="64"/>
      <c r="B69" s="105" t="s">
        <v>298</v>
      </c>
      <c r="C69" s="105" t="s">
        <v>299</v>
      </c>
      <c r="D69" s="30">
        <v>201107</v>
      </c>
      <c r="E69" s="30">
        <v>201108</v>
      </c>
      <c r="F69" s="30">
        <v>201109</v>
      </c>
      <c r="G69" s="30">
        <v>201110</v>
      </c>
      <c r="H69" s="30">
        <v>201111</v>
      </c>
      <c r="I69" s="30">
        <v>201112</v>
      </c>
      <c r="J69" s="30">
        <v>201201</v>
      </c>
      <c r="K69" s="30">
        <v>201202</v>
      </c>
      <c r="L69" s="30">
        <v>201203</v>
      </c>
      <c r="M69" s="30">
        <v>201204</v>
      </c>
      <c r="N69" s="30">
        <v>201205</v>
      </c>
      <c r="O69" s="30">
        <v>201206</v>
      </c>
      <c r="P69" s="124"/>
      <c r="Q69" s="106"/>
      <c r="R69" s="71"/>
      <c r="S69" s="71"/>
      <c r="T69" s="71"/>
      <c r="U69" s="71"/>
    </row>
    <row r="70" spans="1:23">
      <c r="A70" s="64"/>
      <c r="B70" s="45" t="s">
        <v>302</v>
      </c>
      <c r="C70" s="66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5"/>
      <c r="Q70" s="75"/>
      <c r="R70" s="71"/>
      <c r="S70" s="71"/>
      <c r="T70" s="71"/>
      <c r="U70" s="71"/>
    </row>
    <row r="71" spans="1:23">
      <c r="A71" s="64"/>
      <c r="B71" s="108"/>
      <c r="C71" s="109">
        <v>16</v>
      </c>
      <c r="D71" s="125">
        <f>AVERAGE(D36:E36)</f>
        <v>100069.233333333</v>
      </c>
      <c r="E71" s="125">
        <f t="shared" ref="E71:O71" si="19">AVERAGE(E36:F36)</f>
        <v>100261.65</v>
      </c>
      <c r="F71" s="125">
        <f t="shared" si="19"/>
        <v>100331.45</v>
      </c>
      <c r="G71" s="125">
        <f t="shared" si="19"/>
        <v>99979.733333332551</v>
      </c>
      <c r="H71" s="125">
        <f t="shared" si="19"/>
        <v>99956.783333332554</v>
      </c>
      <c r="I71" s="125">
        <f t="shared" si="19"/>
        <v>100587.49999999901</v>
      </c>
      <c r="J71" s="125">
        <f t="shared" si="19"/>
        <v>100732.71666666699</v>
      </c>
      <c r="K71" s="125">
        <f t="shared" si="19"/>
        <v>100269.49999999936</v>
      </c>
      <c r="L71" s="125">
        <f t="shared" si="19"/>
        <v>99889.633333331149</v>
      </c>
      <c r="M71" s="125">
        <f t="shared" si="19"/>
        <v>99772.349999998842</v>
      </c>
      <c r="N71" s="125">
        <f t="shared" si="19"/>
        <v>99725.283333331725</v>
      </c>
      <c r="O71" s="125">
        <f t="shared" si="19"/>
        <v>99792.983333332057</v>
      </c>
      <c r="P71" s="71"/>
      <c r="Q71" s="71"/>
      <c r="R71" s="71"/>
      <c r="S71" s="71"/>
      <c r="T71" s="71"/>
      <c r="U71" s="71"/>
    </row>
    <row r="72" spans="1:23">
      <c r="A72" s="64"/>
      <c r="B72" s="108"/>
      <c r="C72" s="109">
        <v>17</v>
      </c>
      <c r="D72" s="125">
        <f t="shared" ref="D72:O87" si="20">AVERAGE(D37:E37)</f>
        <v>3885.9</v>
      </c>
      <c r="E72" s="125">
        <f t="shared" si="20"/>
        <v>3841.383333333335</v>
      </c>
      <c r="F72" s="125">
        <f t="shared" si="20"/>
        <v>3808.7</v>
      </c>
      <c r="G72" s="125">
        <f t="shared" si="20"/>
        <v>4105.0166666666655</v>
      </c>
      <c r="H72" s="125">
        <f t="shared" si="20"/>
        <v>4187.8833333333305</v>
      </c>
      <c r="I72" s="125">
        <f t="shared" si="20"/>
        <v>3894.6000000000004</v>
      </c>
      <c r="J72" s="125">
        <f t="shared" si="20"/>
        <v>3877.3166666666702</v>
      </c>
      <c r="K72" s="125">
        <f t="shared" si="20"/>
        <v>4073.6833333333352</v>
      </c>
      <c r="L72" s="125">
        <f t="shared" si="20"/>
        <v>4271.3166666666702</v>
      </c>
      <c r="M72" s="125">
        <f t="shared" si="20"/>
        <v>4353.1166666666704</v>
      </c>
      <c r="N72" s="125">
        <f t="shared" si="20"/>
        <v>4315.3333333333358</v>
      </c>
      <c r="O72" s="125">
        <f t="shared" si="20"/>
        <v>4227.5666666666657</v>
      </c>
      <c r="P72" s="71"/>
      <c r="Q72" s="71"/>
      <c r="R72" s="71"/>
      <c r="S72" s="71"/>
      <c r="T72" s="71"/>
      <c r="U72" s="71"/>
    </row>
    <row r="73" spans="1:23">
      <c r="A73" s="64"/>
      <c r="B73" s="108"/>
      <c r="C73" s="109">
        <v>18</v>
      </c>
      <c r="D73" s="126">
        <f t="shared" si="20"/>
        <v>106.86666666666665</v>
      </c>
      <c r="E73" s="126">
        <f t="shared" si="20"/>
        <v>106.31666666666666</v>
      </c>
      <c r="F73" s="126">
        <f t="shared" si="20"/>
        <v>105.51666666666665</v>
      </c>
      <c r="G73" s="126">
        <f t="shared" si="20"/>
        <v>106</v>
      </c>
      <c r="H73" s="126">
        <f t="shared" si="20"/>
        <v>104.1</v>
      </c>
      <c r="I73" s="126">
        <f t="shared" si="20"/>
        <v>102.05000000000001</v>
      </c>
      <c r="J73" s="126">
        <f t="shared" si="20"/>
        <v>103.4666666666667</v>
      </c>
      <c r="K73" s="126">
        <f t="shared" si="20"/>
        <v>103.8666666666667</v>
      </c>
      <c r="L73" s="126">
        <f t="shared" si="20"/>
        <v>103.56666666666671</v>
      </c>
      <c r="M73" s="126">
        <f t="shared" si="20"/>
        <v>102.95</v>
      </c>
      <c r="N73" s="126">
        <f t="shared" si="20"/>
        <v>102.2833333333333</v>
      </c>
      <c r="O73" s="126">
        <f t="shared" si="20"/>
        <v>102</v>
      </c>
      <c r="P73" s="71"/>
      <c r="Q73" s="71"/>
      <c r="R73" s="71"/>
      <c r="S73" s="71"/>
      <c r="T73" s="71"/>
      <c r="U73" s="71"/>
    </row>
    <row r="74" spans="1:23">
      <c r="A74" s="64"/>
      <c r="B74" s="49" t="s">
        <v>302</v>
      </c>
      <c r="C74" s="114"/>
      <c r="D74" s="125">
        <f t="shared" si="20"/>
        <v>104061.99999999968</v>
      </c>
      <c r="E74" s="125">
        <f t="shared" si="20"/>
        <v>104209.35</v>
      </c>
      <c r="F74" s="125">
        <f t="shared" si="20"/>
        <v>104245.66666666666</v>
      </c>
      <c r="G74" s="125">
        <f t="shared" si="20"/>
        <v>104190.74999999921</v>
      </c>
      <c r="H74" s="125">
        <f t="shared" si="20"/>
        <v>104248.76666666588</v>
      </c>
      <c r="I74" s="125">
        <f t="shared" si="20"/>
        <v>104584.149999999</v>
      </c>
      <c r="J74" s="125">
        <f t="shared" si="20"/>
        <v>104713.50000000035</v>
      </c>
      <c r="K74" s="125">
        <f t="shared" si="20"/>
        <v>104447.04999999935</v>
      </c>
      <c r="L74" s="125">
        <f t="shared" si="20"/>
        <v>104264.51666666448</v>
      </c>
      <c r="M74" s="125">
        <f t="shared" si="20"/>
        <v>104228.41666666549</v>
      </c>
      <c r="N74" s="125">
        <f t="shared" si="20"/>
        <v>104142.89999999839</v>
      </c>
      <c r="O74" s="125">
        <f t="shared" si="20"/>
        <v>104122.54999999871</v>
      </c>
      <c r="P74" s="71"/>
      <c r="Q74" s="71"/>
      <c r="R74" s="71"/>
      <c r="S74" s="71"/>
      <c r="T74" s="71"/>
      <c r="U74" s="71"/>
    </row>
    <row r="75" spans="1:23">
      <c r="A75" s="64"/>
      <c r="B75" s="103" t="s">
        <v>304</v>
      </c>
      <c r="C75" s="114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71"/>
      <c r="Q75" s="71"/>
      <c r="R75" s="71"/>
      <c r="S75" s="71"/>
      <c r="T75" s="71"/>
      <c r="U75" s="71"/>
    </row>
    <row r="76" spans="1:23">
      <c r="A76" s="64"/>
      <c r="B76" s="108"/>
      <c r="C76" s="109">
        <v>24</v>
      </c>
      <c r="D76" s="125">
        <f t="shared" si="20"/>
        <v>18539.933333333367</v>
      </c>
      <c r="E76" s="125">
        <f t="shared" si="20"/>
        <v>18562.379166666709</v>
      </c>
      <c r="F76" s="125">
        <f t="shared" si="20"/>
        <v>18590.879166666709</v>
      </c>
      <c r="G76" s="125">
        <f t="shared" si="20"/>
        <v>18587.183333333385</v>
      </c>
      <c r="H76" s="125">
        <f t="shared" si="20"/>
        <v>18594.083333333387</v>
      </c>
      <c r="I76" s="125">
        <f t="shared" si="20"/>
        <v>18656.150000000049</v>
      </c>
      <c r="J76" s="125">
        <f t="shared" si="20"/>
        <v>18683.833333333358</v>
      </c>
      <c r="K76" s="125">
        <f t="shared" si="20"/>
        <v>18635.975000000017</v>
      </c>
      <c r="L76" s="125">
        <f t="shared" si="20"/>
        <v>18610.275000000023</v>
      </c>
      <c r="M76" s="125">
        <f t="shared" si="20"/>
        <v>18614.083333333347</v>
      </c>
      <c r="N76" s="125">
        <f t="shared" si="20"/>
        <v>18615.423333333347</v>
      </c>
      <c r="O76" s="125">
        <f t="shared" si="20"/>
        <v>18824.588730159594</v>
      </c>
      <c r="P76" s="71"/>
      <c r="Q76" s="71"/>
      <c r="R76" s="71"/>
      <c r="S76" s="71"/>
      <c r="T76" s="71"/>
      <c r="U76" s="71"/>
    </row>
    <row r="77" spans="1:23">
      <c r="A77" s="64"/>
      <c r="B77" s="108"/>
      <c r="C77" s="109">
        <v>33</v>
      </c>
      <c r="D77" s="125">
        <f t="shared" si="20"/>
        <v>0</v>
      </c>
      <c r="E77" s="125">
        <f t="shared" si="20"/>
        <v>0</v>
      </c>
      <c r="F77" s="125">
        <f t="shared" si="20"/>
        <v>0</v>
      </c>
      <c r="G77" s="125">
        <f t="shared" si="20"/>
        <v>0</v>
      </c>
      <c r="H77" s="125">
        <f t="shared" si="20"/>
        <v>0</v>
      </c>
      <c r="I77" s="125">
        <f t="shared" si="20"/>
        <v>0</v>
      </c>
      <c r="J77" s="125">
        <f t="shared" si="20"/>
        <v>0</v>
      </c>
      <c r="K77" s="125">
        <f t="shared" si="20"/>
        <v>0</v>
      </c>
      <c r="L77" s="125">
        <f t="shared" si="20"/>
        <v>0</v>
      </c>
      <c r="M77" s="125">
        <f t="shared" si="20"/>
        <v>0</v>
      </c>
      <c r="N77" s="125">
        <f t="shared" si="20"/>
        <v>0</v>
      </c>
      <c r="O77" s="125">
        <f t="shared" si="20"/>
        <v>0</v>
      </c>
      <c r="P77" s="71"/>
      <c r="Q77" s="71"/>
      <c r="R77" s="71"/>
      <c r="S77" s="71"/>
      <c r="T77" s="71"/>
      <c r="U77" s="71"/>
    </row>
    <row r="78" spans="1:23">
      <c r="A78" s="64"/>
      <c r="B78" s="108"/>
      <c r="C78" s="109">
        <v>36</v>
      </c>
      <c r="D78" s="125">
        <f t="shared" si="20"/>
        <v>1056.2833333333351</v>
      </c>
      <c r="E78" s="125">
        <f t="shared" si="20"/>
        <v>1050.95</v>
      </c>
      <c r="F78" s="125">
        <f t="shared" si="20"/>
        <v>1046.0166666666651</v>
      </c>
      <c r="G78" s="125">
        <f t="shared" si="20"/>
        <v>1042.633333333335</v>
      </c>
      <c r="H78" s="125">
        <f t="shared" si="20"/>
        <v>1038.933333333335</v>
      </c>
      <c r="I78" s="125">
        <f t="shared" si="20"/>
        <v>1041.9166666666649</v>
      </c>
      <c r="J78" s="125">
        <f t="shared" si="20"/>
        <v>1045.5666666666648</v>
      </c>
      <c r="K78" s="125">
        <f t="shared" si="20"/>
        <v>1043.183333333335</v>
      </c>
      <c r="L78" s="125">
        <f t="shared" si="20"/>
        <v>1040.2166666666699</v>
      </c>
      <c r="M78" s="125">
        <f t="shared" si="20"/>
        <v>1040.3</v>
      </c>
      <c r="N78" s="125">
        <f t="shared" si="20"/>
        <v>1039.9166666666652</v>
      </c>
      <c r="O78" s="125">
        <f t="shared" si="20"/>
        <v>1048.2166666666699</v>
      </c>
      <c r="P78" s="71"/>
      <c r="Q78" s="71"/>
      <c r="R78" s="71"/>
      <c r="S78" s="71"/>
      <c r="T78" s="71"/>
      <c r="U78" s="71"/>
    </row>
    <row r="79" spans="1:23">
      <c r="A79" s="64"/>
      <c r="B79" s="108"/>
      <c r="C79" s="109">
        <v>40</v>
      </c>
      <c r="D79" s="125">
        <f t="shared" si="20"/>
        <v>5255.5</v>
      </c>
      <c r="E79" s="125">
        <f t="shared" si="20"/>
        <v>5260</v>
      </c>
      <c r="F79" s="125">
        <f t="shared" si="20"/>
        <v>5260</v>
      </c>
      <c r="G79" s="125">
        <f t="shared" si="20"/>
        <v>5260</v>
      </c>
      <c r="H79" s="125">
        <f t="shared" si="20"/>
        <v>5260</v>
      </c>
      <c r="I79" s="125">
        <f t="shared" si="20"/>
        <v>5260</v>
      </c>
      <c r="J79" s="125">
        <f t="shared" si="20"/>
        <v>5260</v>
      </c>
      <c r="K79" s="125">
        <f t="shared" si="20"/>
        <v>5260</v>
      </c>
      <c r="L79" s="125">
        <f t="shared" si="20"/>
        <v>5260</v>
      </c>
      <c r="M79" s="125">
        <f t="shared" si="20"/>
        <v>5260</v>
      </c>
      <c r="N79" s="125">
        <f t="shared" si="20"/>
        <v>5260</v>
      </c>
      <c r="O79" s="125">
        <f t="shared" si="20"/>
        <v>5260</v>
      </c>
      <c r="P79" s="71"/>
      <c r="Q79" s="71"/>
      <c r="R79" s="71"/>
      <c r="S79" s="71"/>
      <c r="T79" s="71"/>
      <c r="U79" s="71"/>
    </row>
    <row r="80" spans="1:23">
      <c r="A80" s="64"/>
      <c r="B80" s="108"/>
      <c r="C80" s="109">
        <v>47</v>
      </c>
      <c r="D80" s="125">
        <f t="shared" si="20"/>
        <v>1</v>
      </c>
      <c r="E80" s="125">
        <f t="shared" si="20"/>
        <v>1</v>
      </c>
      <c r="F80" s="125">
        <f t="shared" si="20"/>
        <v>1</v>
      </c>
      <c r="G80" s="125">
        <f t="shared" si="20"/>
        <v>1</v>
      </c>
      <c r="H80" s="125">
        <f t="shared" si="20"/>
        <v>1</v>
      </c>
      <c r="I80" s="125">
        <f t="shared" si="20"/>
        <v>1</v>
      </c>
      <c r="J80" s="125">
        <f t="shared" si="20"/>
        <v>1</v>
      </c>
      <c r="K80" s="125">
        <f t="shared" si="20"/>
        <v>1</v>
      </c>
      <c r="L80" s="125">
        <f t="shared" si="20"/>
        <v>1</v>
      </c>
      <c r="M80" s="125">
        <f t="shared" si="20"/>
        <v>1</v>
      </c>
      <c r="N80" s="125">
        <f t="shared" si="20"/>
        <v>1</v>
      </c>
      <c r="O80" s="125">
        <f t="shared" si="20"/>
        <v>1</v>
      </c>
      <c r="P80" s="71"/>
      <c r="Q80" s="71"/>
      <c r="R80" s="71"/>
      <c r="S80" s="71"/>
      <c r="T80" s="71"/>
      <c r="U80" s="71"/>
    </row>
    <row r="81" spans="1:21">
      <c r="A81" s="64"/>
      <c r="B81" s="108"/>
      <c r="C81" s="109">
        <v>48</v>
      </c>
      <c r="D81" s="125">
        <f t="shared" si="20"/>
        <v>57.742424242424249</v>
      </c>
      <c r="E81" s="125">
        <f t="shared" si="20"/>
        <v>58.742424242424249</v>
      </c>
      <c r="F81" s="125">
        <f t="shared" si="20"/>
        <v>59.060606060606048</v>
      </c>
      <c r="G81" s="125">
        <f t="shared" si="20"/>
        <v>59.575757575757549</v>
      </c>
      <c r="H81" s="125">
        <f t="shared" si="20"/>
        <v>60.409090909090907</v>
      </c>
      <c r="I81" s="125">
        <f t="shared" si="20"/>
        <v>59.909090909090907</v>
      </c>
      <c r="J81" s="125">
        <f t="shared" si="20"/>
        <v>58.969696969696955</v>
      </c>
      <c r="K81" s="125">
        <f t="shared" si="20"/>
        <v>59.060606060606048</v>
      </c>
      <c r="L81" s="125">
        <f t="shared" si="20"/>
        <v>59.515151515151501</v>
      </c>
      <c r="M81" s="125">
        <f t="shared" si="20"/>
        <v>59.409090909090899</v>
      </c>
      <c r="N81" s="125">
        <f t="shared" si="20"/>
        <v>59</v>
      </c>
      <c r="O81" s="125">
        <f t="shared" si="20"/>
        <v>57</v>
      </c>
      <c r="P81" s="71"/>
      <c r="Q81" s="71"/>
      <c r="R81" s="71"/>
      <c r="S81" s="71"/>
      <c r="T81" s="71"/>
      <c r="U81" s="71"/>
    </row>
    <row r="82" spans="1:21">
      <c r="A82" s="64"/>
      <c r="B82" s="108"/>
      <c r="C82" s="109">
        <v>54</v>
      </c>
      <c r="D82" s="126">
        <f t="shared" si="20"/>
        <v>28</v>
      </c>
      <c r="E82" s="126">
        <f t="shared" si="20"/>
        <v>28</v>
      </c>
      <c r="F82" s="126">
        <f t="shared" si="20"/>
        <v>28</v>
      </c>
      <c r="G82" s="126">
        <f t="shared" si="20"/>
        <v>27.9837037037037</v>
      </c>
      <c r="H82" s="126">
        <f t="shared" si="20"/>
        <v>28.9837037037037</v>
      </c>
      <c r="I82" s="126">
        <f t="shared" si="20"/>
        <v>30</v>
      </c>
      <c r="J82" s="126">
        <f t="shared" si="20"/>
        <v>30</v>
      </c>
      <c r="K82" s="126">
        <f t="shared" si="20"/>
        <v>30</v>
      </c>
      <c r="L82" s="126">
        <f t="shared" si="20"/>
        <v>29.984000000000002</v>
      </c>
      <c r="M82" s="126">
        <f t="shared" si="20"/>
        <v>29.484000000000002</v>
      </c>
      <c r="N82" s="126">
        <f t="shared" si="20"/>
        <v>29</v>
      </c>
      <c r="O82" s="126">
        <f t="shared" si="20"/>
        <v>29</v>
      </c>
      <c r="P82" s="71"/>
      <c r="Q82" s="71"/>
      <c r="R82" s="71"/>
      <c r="S82" s="71"/>
      <c r="T82" s="71"/>
      <c r="U82" s="71"/>
    </row>
    <row r="83" spans="1:21">
      <c r="A83" s="64"/>
      <c r="B83" s="103" t="s">
        <v>304</v>
      </c>
      <c r="C83" s="90"/>
      <c r="D83" s="125">
        <f t="shared" si="20"/>
        <v>24938.459090909128</v>
      </c>
      <c r="E83" s="125">
        <f t="shared" si="20"/>
        <v>24961.071590909134</v>
      </c>
      <c r="F83" s="125">
        <f t="shared" si="20"/>
        <v>24984.95643939398</v>
      </c>
      <c r="G83" s="125">
        <f t="shared" si="20"/>
        <v>24978.376127946183</v>
      </c>
      <c r="H83" s="125">
        <f t="shared" si="20"/>
        <v>24983.409461279516</v>
      </c>
      <c r="I83" s="125">
        <f t="shared" si="20"/>
        <v>25048.975757575805</v>
      </c>
      <c r="J83" s="125">
        <f t="shared" si="20"/>
        <v>25079.369696969719</v>
      </c>
      <c r="K83" s="125">
        <f t="shared" si="20"/>
        <v>25029.218939393955</v>
      </c>
      <c r="L83" s="125">
        <f t="shared" si="20"/>
        <v>25000.990818181846</v>
      </c>
      <c r="M83" s="125">
        <f t="shared" si="20"/>
        <v>25004.276424242438</v>
      </c>
      <c r="N83" s="125">
        <f t="shared" si="20"/>
        <v>25004.340000000011</v>
      </c>
      <c r="O83" s="125">
        <f t="shared" si="20"/>
        <v>25219.805396826268</v>
      </c>
      <c r="P83" s="71"/>
      <c r="Q83" s="71"/>
      <c r="R83" s="71"/>
      <c r="S83" s="71"/>
      <c r="T83" s="71"/>
      <c r="U83" s="71"/>
    </row>
    <row r="84" spans="1:21">
      <c r="A84" s="64"/>
      <c r="B84" s="103" t="s">
        <v>305</v>
      </c>
      <c r="C84" s="90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71"/>
      <c r="Q84" s="71"/>
      <c r="R84" s="71"/>
      <c r="S84" s="71"/>
      <c r="T84" s="71"/>
      <c r="U84" s="71"/>
    </row>
    <row r="85" spans="1:21">
      <c r="A85" s="64"/>
      <c r="B85" s="108"/>
      <c r="C85" s="118">
        <v>15</v>
      </c>
      <c r="D85" s="125">
        <f t="shared" si="20"/>
        <v>2600</v>
      </c>
      <c r="E85" s="125">
        <f t="shared" si="20"/>
        <v>2604.5</v>
      </c>
      <c r="F85" s="125">
        <f t="shared" si="20"/>
        <v>2598.5</v>
      </c>
      <c r="G85" s="125">
        <f t="shared" si="20"/>
        <v>2593.5</v>
      </c>
      <c r="H85" s="125">
        <f t="shared" si="20"/>
        <v>2598.5</v>
      </c>
      <c r="I85" s="125">
        <f t="shared" si="20"/>
        <v>2599.5</v>
      </c>
      <c r="J85" s="125">
        <f t="shared" si="20"/>
        <v>2600</v>
      </c>
      <c r="K85" s="125">
        <f t="shared" si="20"/>
        <v>2601</v>
      </c>
      <c r="L85" s="125">
        <f t="shared" si="20"/>
        <v>2602.5</v>
      </c>
      <c r="M85" s="125">
        <f t="shared" si="20"/>
        <v>2602</v>
      </c>
      <c r="N85" s="125">
        <f t="shared" si="20"/>
        <v>2598</v>
      </c>
      <c r="O85" s="125">
        <f t="shared" si="20"/>
        <v>2594.5</v>
      </c>
      <c r="P85" s="71"/>
      <c r="Q85" s="71"/>
      <c r="R85" s="71"/>
      <c r="S85" s="71"/>
      <c r="T85" s="71"/>
      <c r="U85" s="71"/>
    </row>
    <row r="86" spans="1:21">
      <c r="A86" s="64"/>
      <c r="B86" s="108"/>
      <c r="C86" s="118">
        <v>51</v>
      </c>
      <c r="D86" s="125">
        <f t="shared" si="20"/>
        <v>160</v>
      </c>
      <c r="E86" s="125">
        <f t="shared" si="20"/>
        <v>163</v>
      </c>
      <c r="F86" s="125">
        <f t="shared" si="20"/>
        <v>163</v>
      </c>
      <c r="G86" s="125">
        <f t="shared" si="20"/>
        <v>163</v>
      </c>
      <c r="H86" s="125">
        <f t="shared" si="20"/>
        <v>163</v>
      </c>
      <c r="I86" s="125">
        <f t="shared" si="20"/>
        <v>163</v>
      </c>
      <c r="J86" s="125">
        <f t="shared" si="20"/>
        <v>163</v>
      </c>
      <c r="K86" s="125">
        <f t="shared" si="20"/>
        <v>163</v>
      </c>
      <c r="L86" s="125">
        <f t="shared" si="20"/>
        <v>163</v>
      </c>
      <c r="M86" s="125">
        <f t="shared" si="20"/>
        <v>163</v>
      </c>
      <c r="N86" s="125">
        <f t="shared" si="20"/>
        <v>163</v>
      </c>
      <c r="O86" s="125">
        <f t="shared" si="20"/>
        <v>163</v>
      </c>
      <c r="P86" s="71"/>
      <c r="Q86" s="71"/>
      <c r="R86" s="71"/>
      <c r="S86" s="71"/>
      <c r="T86" s="71"/>
      <c r="U86" s="71"/>
    </row>
    <row r="87" spans="1:21">
      <c r="A87" s="64"/>
      <c r="B87" s="108"/>
      <c r="C87" s="118">
        <v>52</v>
      </c>
      <c r="D87" s="125">
        <f t="shared" si="20"/>
        <v>18</v>
      </c>
      <c r="E87" s="125">
        <f t="shared" si="20"/>
        <v>18</v>
      </c>
      <c r="F87" s="125">
        <f t="shared" si="20"/>
        <v>18</v>
      </c>
      <c r="G87" s="125">
        <f t="shared" si="20"/>
        <v>18</v>
      </c>
      <c r="H87" s="125">
        <f t="shared" si="20"/>
        <v>18</v>
      </c>
      <c r="I87" s="125">
        <f t="shared" si="20"/>
        <v>18</v>
      </c>
      <c r="J87" s="125">
        <f t="shared" si="20"/>
        <v>18</v>
      </c>
      <c r="K87" s="125">
        <f t="shared" si="20"/>
        <v>18</v>
      </c>
      <c r="L87" s="125">
        <f t="shared" si="20"/>
        <v>18</v>
      </c>
      <c r="M87" s="125">
        <f t="shared" si="20"/>
        <v>18</v>
      </c>
      <c r="N87" s="125">
        <f t="shared" si="20"/>
        <v>17.5</v>
      </c>
      <c r="O87" s="125">
        <f t="shared" si="20"/>
        <v>17</v>
      </c>
      <c r="P87" s="71"/>
      <c r="Q87" s="71"/>
      <c r="R87" s="177"/>
      <c r="S87" s="71"/>
      <c r="T87" s="71"/>
      <c r="U87" s="71"/>
    </row>
    <row r="88" spans="1:21">
      <c r="A88" s="64"/>
      <c r="B88" s="108"/>
      <c r="C88" s="118">
        <v>53</v>
      </c>
      <c r="D88" s="125">
        <f t="shared" ref="D88:O92" si="21">AVERAGE(D53:E53)</f>
        <v>214</v>
      </c>
      <c r="E88" s="125">
        <f t="shared" si="21"/>
        <v>214</v>
      </c>
      <c r="F88" s="125">
        <f t="shared" si="21"/>
        <v>214</v>
      </c>
      <c r="G88" s="125">
        <f t="shared" si="21"/>
        <v>215.5</v>
      </c>
      <c r="H88" s="125">
        <f t="shared" si="21"/>
        <v>219</v>
      </c>
      <c r="I88" s="125">
        <f t="shared" si="21"/>
        <v>221.5</v>
      </c>
      <c r="J88" s="125">
        <f t="shared" si="21"/>
        <v>222.5</v>
      </c>
      <c r="K88" s="125">
        <f t="shared" si="21"/>
        <v>222.5</v>
      </c>
      <c r="L88" s="125">
        <f t="shared" si="21"/>
        <v>222.5</v>
      </c>
      <c r="M88" s="125">
        <f t="shared" si="21"/>
        <v>223</v>
      </c>
      <c r="N88" s="125">
        <f t="shared" si="21"/>
        <v>223</v>
      </c>
      <c r="O88" s="125">
        <f t="shared" si="21"/>
        <v>223.5</v>
      </c>
      <c r="P88" s="71"/>
      <c r="Q88" s="71"/>
      <c r="R88" s="177"/>
      <c r="S88" s="71"/>
      <c r="T88" s="71"/>
      <c r="U88" s="71"/>
    </row>
    <row r="89" spans="1:21">
      <c r="A89" s="64"/>
      <c r="B89" s="108"/>
      <c r="C89" s="118">
        <v>57</v>
      </c>
      <c r="D89" s="126">
        <f t="shared" si="21"/>
        <v>41</v>
      </c>
      <c r="E89" s="126">
        <f t="shared" si="21"/>
        <v>41</v>
      </c>
      <c r="F89" s="126">
        <f t="shared" si="21"/>
        <v>41</v>
      </c>
      <c r="G89" s="126">
        <f t="shared" si="21"/>
        <v>41</v>
      </c>
      <c r="H89" s="126">
        <f t="shared" si="21"/>
        <v>41</v>
      </c>
      <c r="I89" s="126">
        <f t="shared" si="21"/>
        <v>41</v>
      </c>
      <c r="J89" s="126">
        <f t="shared" si="21"/>
        <v>41</v>
      </c>
      <c r="K89" s="126">
        <f t="shared" si="21"/>
        <v>41</v>
      </c>
      <c r="L89" s="126">
        <f t="shared" si="21"/>
        <v>41.5</v>
      </c>
      <c r="M89" s="126">
        <f t="shared" si="21"/>
        <v>41.5</v>
      </c>
      <c r="N89" s="126">
        <f t="shared" si="21"/>
        <v>41</v>
      </c>
      <c r="O89" s="126">
        <f t="shared" si="21"/>
        <v>41</v>
      </c>
      <c r="P89" s="71"/>
      <c r="Q89" s="71"/>
      <c r="R89" s="177"/>
      <c r="S89" s="71"/>
      <c r="T89" s="71"/>
      <c r="U89" s="71"/>
    </row>
    <row r="90" spans="1:21">
      <c r="A90" s="64"/>
      <c r="B90" s="103" t="s">
        <v>305</v>
      </c>
      <c r="C90" s="108"/>
      <c r="D90" s="125">
        <f t="shared" si="21"/>
        <v>3033</v>
      </c>
      <c r="E90" s="125">
        <f t="shared" si="21"/>
        <v>3040.5</v>
      </c>
      <c r="F90" s="125">
        <f t="shared" si="21"/>
        <v>3034.5</v>
      </c>
      <c r="G90" s="125">
        <f t="shared" si="21"/>
        <v>3031</v>
      </c>
      <c r="H90" s="125">
        <f t="shared" si="21"/>
        <v>3039.5</v>
      </c>
      <c r="I90" s="125">
        <f t="shared" si="21"/>
        <v>3043</v>
      </c>
      <c r="J90" s="125">
        <f t="shared" si="21"/>
        <v>3044.5</v>
      </c>
      <c r="K90" s="125">
        <f t="shared" si="21"/>
        <v>3045.5</v>
      </c>
      <c r="L90" s="125">
        <f t="shared" si="21"/>
        <v>3047.5</v>
      </c>
      <c r="M90" s="125">
        <f t="shared" si="21"/>
        <v>3047.5</v>
      </c>
      <c r="N90" s="125">
        <f t="shared" si="21"/>
        <v>3042.5</v>
      </c>
      <c r="O90" s="125">
        <f t="shared" si="21"/>
        <v>3039</v>
      </c>
      <c r="P90" s="71"/>
      <c r="Q90" s="71"/>
      <c r="R90" s="177"/>
      <c r="S90" s="71"/>
      <c r="T90" s="71"/>
      <c r="U90" s="71"/>
    </row>
    <row r="91" spans="1:21">
      <c r="A91" s="64"/>
      <c r="B91" s="108"/>
      <c r="C91" s="108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71"/>
      <c r="Q91" s="71"/>
      <c r="R91" s="177"/>
      <c r="S91" s="71"/>
      <c r="T91" s="71"/>
      <c r="U91" s="71"/>
    </row>
    <row r="92" spans="1:21" ht="16.5" thickBot="1">
      <c r="A92" s="64"/>
      <c r="B92" s="53"/>
      <c r="C92" s="120" t="s">
        <v>300</v>
      </c>
      <c r="D92" s="127">
        <f t="shared" si="21"/>
        <v>132033.45909090881</v>
      </c>
      <c r="E92" s="127">
        <f t="shared" si="21"/>
        <v>132210.92159090913</v>
      </c>
      <c r="F92" s="127">
        <f t="shared" si="21"/>
        <v>132265.12310606067</v>
      </c>
      <c r="G92" s="127">
        <f t="shared" si="21"/>
        <v>132200.1261279454</v>
      </c>
      <c r="H92" s="127">
        <f t="shared" si="21"/>
        <v>132271.67612794539</v>
      </c>
      <c r="I92" s="127">
        <f t="shared" si="21"/>
        <v>132676.1257575748</v>
      </c>
      <c r="J92" s="127">
        <f t="shared" si="21"/>
        <v>132837.36969697007</v>
      </c>
      <c r="K92" s="127">
        <f t="shared" si="21"/>
        <v>132521.76893939331</v>
      </c>
      <c r="L92" s="127">
        <f t="shared" si="21"/>
        <v>132313.00748484634</v>
      </c>
      <c r="M92" s="127">
        <f t="shared" si="21"/>
        <v>132280.19309090794</v>
      </c>
      <c r="N92" s="127">
        <f t="shared" si="21"/>
        <v>132189.73999999842</v>
      </c>
      <c r="O92" s="127">
        <f t="shared" si="21"/>
        <v>132381.35539682498</v>
      </c>
      <c r="P92" s="71"/>
      <c r="Q92" s="71"/>
      <c r="R92" s="177"/>
      <c r="S92" s="71"/>
      <c r="T92" s="71"/>
      <c r="U92" s="71"/>
    </row>
    <row r="93" spans="1:21" s="66" customFormat="1" ht="16.5" thickTop="1">
      <c r="A93" s="64"/>
      <c r="B93" s="45"/>
      <c r="C93" s="101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71"/>
      <c r="Q93" s="71"/>
      <c r="R93" s="177"/>
      <c r="S93" s="71"/>
      <c r="T93" s="71"/>
      <c r="U93" s="71"/>
    </row>
    <row r="94" spans="1:21" s="66" customFormat="1">
      <c r="A94" s="64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</row>
    <row r="95" spans="1:21">
      <c r="A95" s="64"/>
      <c r="B95" s="71" t="s">
        <v>309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</row>
    <row r="96" spans="1:21">
      <c r="A96" s="64"/>
      <c r="B96" s="71" t="s">
        <v>310</v>
      </c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</row>
    <row r="97" spans="1:21">
      <c r="A97" s="64"/>
      <c r="B97" s="71" t="s">
        <v>325</v>
      </c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</row>
    <row r="98" spans="1:21">
      <c r="A98" s="64"/>
      <c r="B98" s="71" t="s">
        <v>311</v>
      </c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</row>
    <row r="99" spans="1:21">
      <c r="A99" s="64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</row>
    <row r="100" spans="1:21">
      <c r="A100" s="64"/>
      <c r="B100" s="105" t="s">
        <v>298</v>
      </c>
      <c r="C100" s="105" t="s">
        <v>299</v>
      </c>
      <c r="D100" s="30">
        <v>201107</v>
      </c>
      <c r="E100" s="30">
        <v>201108</v>
      </c>
      <c r="F100" s="30">
        <v>201109</v>
      </c>
      <c r="G100" s="30">
        <v>201110</v>
      </c>
      <c r="H100" s="30">
        <v>201111</v>
      </c>
      <c r="I100" s="30">
        <v>201112</v>
      </c>
      <c r="J100" s="30">
        <v>201201</v>
      </c>
      <c r="K100" s="30">
        <v>201202</v>
      </c>
      <c r="L100" s="30">
        <v>201203</v>
      </c>
      <c r="M100" s="30">
        <v>201204</v>
      </c>
      <c r="N100" s="30">
        <v>201205</v>
      </c>
      <c r="O100" s="30">
        <v>201206</v>
      </c>
      <c r="P100" s="71"/>
      <c r="Q100" s="71"/>
      <c r="R100" s="71"/>
      <c r="S100" s="71"/>
      <c r="T100" s="71"/>
      <c r="U100" s="71"/>
    </row>
    <row r="101" spans="1:21">
      <c r="A101" s="64"/>
      <c r="B101" s="103" t="s">
        <v>302</v>
      </c>
      <c r="C101" s="66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</row>
    <row r="102" spans="1:21">
      <c r="A102" s="64"/>
      <c r="B102" s="108"/>
      <c r="C102" s="109">
        <v>16</v>
      </c>
      <c r="D102" s="128">
        <f t="shared" ref="D102:O102" si="22">+$P36-D71</f>
        <v>-196.00000000030559</v>
      </c>
      <c r="E102" s="128">
        <f t="shared" si="22"/>
        <v>-388.41666666729725</v>
      </c>
      <c r="F102" s="128">
        <f t="shared" si="22"/>
        <v>-458.21666666730016</v>
      </c>
      <c r="G102" s="128">
        <f t="shared" si="22"/>
        <v>-106.49999999985448</v>
      </c>
      <c r="H102" s="128">
        <f t="shared" si="22"/>
        <v>-83.549999999857391</v>
      </c>
      <c r="I102" s="128">
        <f t="shared" si="22"/>
        <v>-714.26666666631354</v>
      </c>
      <c r="J102" s="128">
        <f t="shared" si="22"/>
        <v>-859.48333333429764</v>
      </c>
      <c r="K102" s="128">
        <f t="shared" si="22"/>
        <v>-396.26666666666279</v>
      </c>
      <c r="L102" s="128">
        <f t="shared" si="22"/>
        <v>-16.399999998451676</v>
      </c>
      <c r="M102" s="128">
        <f t="shared" si="22"/>
        <v>100.88333333385526</v>
      </c>
      <c r="N102" s="128">
        <f t="shared" si="22"/>
        <v>147.95000000097207</v>
      </c>
      <c r="O102" s="128">
        <f t="shared" si="22"/>
        <v>80.250000000640284</v>
      </c>
      <c r="P102" s="71"/>
      <c r="Q102" s="71"/>
      <c r="R102" s="71"/>
      <c r="S102" s="71"/>
      <c r="T102" s="71"/>
      <c r="U102" s="71"/>
    </row>
    <row r="103" spans="1:21">
      <c r="A103" s="64"/>
      <c r="B103" s="108"/>
      <c r="C103" s="109">
        <v>17</v>
      </c>
      <c r="D103" s="128">
        <f t="shared" ref="D103:O103" si="23">+$P37-D72</f>
        <v>302.93333333333021</v>
      </c>
      <c r="E103" s="128">
        <f t="shared" si="23"/>
        <v>347.44999999999527</v>
      </c>
      <c r="F103" s="128">
        <f t="shared" si="23"/>
        <v>380.13333333333048</v>
      </c>
      <c r="G103" s="128">
        <f t="shared" si="23"/>
        <v>83.816666666664787</v>
      </c>
      <c r="H103" s="128">
        <f t="shared" si="23"/>
        <v>0.9499999999998181</v>
      </c>
      <c r="I103" s="128">
        <f t="shared" si="23"/>
        <v>294.23333333332994</v>
      </c>
      <c r="J103" s="128">
        <f t="shared" si="23"/>
        <v>311.51666666666006</v>
      </c>
      <c r="K103" s="128">
        <f t="shared" si="23"/>
        <v>115.14999999999509</v>
      </c>
      <c r="L103" s="128">
        <f t="shared" si="23"/>
        <v>-82.483333333339942</v>
      </c>
      <c r="M103" s="128">
        <f t="shared" si="23"/>
        <v>-164.28333333334012</v>
      </c>
      <c r="N103" s="128">
        <f t="shared" si="23"/>
        <v>-126.50000000000546</v>
      </c>
      <c r="O103" s="128">
        <f t="shared" si="23"/>
        <v>-38.733333333335395</v>
      </c>
      <c r="P103" s="71"/>
      <c r="Q103" s="177" t="s">
        <v>477</v>
      </c>
      <c r="R103" s="71"/>
      <c r="S103" s="71"/>
      <c r="T103" s="71"/>
      <c r="U103" s="71"/>
    </row>
    <row r="104" spans="1:21">
      <c r="A104" s="64"/>
      <c r="B104" s="108"/>
      <c r="C104" s="109">
        <v>18</v>
      </c>
      <c r="D104" s="129">
        <f t="shared" ref="D104:O104" si="24">+$P38-D73</f>
        <v>-5.0999999999999517</v>
      </c>
      <c r="E104" s="129">
        <f t="shared" si="24"/>
        <v>-4.5499999999999687</v>
      </c>
      <c r="F104" s="129">
        <f t="shared" si="24"/>
        <v>-3.7499999999999574</v>
      </c>
      <c r="G104" s="129">
        <f t="shared" si="24"/>
        <v>-4.2333333333333059</v>
      </c>
      <c r="H104" s="129">
        <f t="shared" si="24"/>
        <v>-2.3333333333333002</v>
      </c>
      <c r="I104" s="129">
        <f t="shared" si="24"/>
        <v>-0.28333333333331723</v>
      </c>
      <c r="J104" s="129">
        <f t="shared" si="24"/>
        <v>-1.7000000000000028</v>
      </c>
      <c r="K104" s="129">
        <f t="shared" si="24"/>
        <v>-2.1000000000000085</v>
      </c>
      <c r="L104" s="129">
        <f t="shared" si="24"/>
        <v>-1.8000000000000114</v>
      </c>
      <c r="M104" s="129">
        <f t="shared" si="24"/>
        <v>-1.1833333333333087</v>
      </c>
      <c r="N104" s="129">
        <f t="shared" si="24"/>
        <v>-0.51666666666660888</v>
      </c>
      <c r="O104" s="129">
        <f t="shared" si="24"/>
        <v>-0.23333333333330586</v>
      </c>
      <c r="P104" s="71"/>
      <c r="Q104" s="177"/>
      <c r="R104" s="71"/>
      <c r="S104" s="71"/>
      <c r="T104" s="71"/>
      <c r="U104" s="71"/>
    </row>
    <row r="105" spans="1:21">
      <c r="A105" s="64"/>
      <c r="B105" s="103" t="s">
        <v>302</v>
      </c>
      <c r="C105" s="114"/>
      <c r="D105" s="128">
        <f t="shared" ref="D105:O105" si="25">+$P39-D74</f>
        <v>101.83333333300834</v>
      </c>
      <c r="E105" s="128">
        <f t="shared" si="25"/>
        <v>-45.516666667317622</v>
      </c>
      <c r="F105" s="128">
        <f t="shared" si="25"/>
        <v>-81.833333333968767</v>
      </c>
      <c r="G105" s="128">
        <f t="shared" si="25"/>
        <v>-26.916666666525998</v>
      </c>
      <c r="H105" s="128">
        <f t="shared" si="25"/>
        <v>-84.933333333188784</v>
      </c>
      <c r="I105" s="128">
        <f t="shared" si="25"/>
        <v>-420.31666666631645</v>
      </c>
      <c r="J105" s="128">
        <f t="shared" si="25"/>
        <v>-549.66666666766105</v>
      </c>
      <c r="K105" s="128">
        <f t="shared" si="25"/>
        <v>-283.21666666665988</v>
      </c>
      <c r="L105" s="128">
        <f t="shared" si="25"/>
        <v>-100.6833333317918</v>
      </c>
      <c r="M105" s="128">
        <f t="shared" si="25"/>
        <v>-64.583333332804614</v>
      </c>
      <c r="N105" s="128">
        <f t="shared" si="25"/>
        <v>20.93333333429473</v>
      </c>
      <c r="O105" s="128">
        <f t="shared" si="25"/>
        <v>41.283333333980408</v>
      </c>
      <c r="P105" s="71"/>
      <c r="Q105" s="177"/>
      <c r="R105" s="71"/>
      <c r="S105" s="71"/>
      <c r="T105" s="71"/>
      <c r="U105" s="71"/>
    </row>
    <row r="106" spans="1:21">
      <c r="A106" s="64"/>
      <c r="B106" s="103" t="s">
        <v>304</v>
      </c>
      <c r="C106" s="114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71"/>
      <c r="Q106" s="177"/>
      <c r="R106" s="71"/>
      <c r="S106" s="71"/>
      <c r="T106" s="71"/>
      <c r="U106" s="71"/>
    </row>
    <row r="107" spans="1:21">
      <c r="A107" s="64"/>
      <c r="B107" s="108" t="s">
        <v>312</v>
      </c>
      <c r="C107" s="109">
        <v>24</v>
      </c>
      <c r="D107" s="128">
        <f t="shared" ref="D107:O107" si="26">+$P41-D76</f>
        <v>493.93079365245649</v>
      </c>
      <c r="E107" s="128">
        <f t="shared" si="26"/>
        <v>471.48496031911418</v>
      </c>
      <c r="F107" s="128">
        <f t="shared" si="26"/>
        <v>442.98496031911418</v>
      </c>
      <c r="G107" s="128">
        <f t="shared" si="26"/>
        <v>446.6807936524383</v>
      </c>
      <c r="H107" s="128">
        <f t="shared" si="26"/>
        <v>439.78079365243684</v>
      </c>
      <c r="I107" s="128">
        <f t="shared" si="26"/>
        <v>377.71412698577478</v>
      </c>
      <c r="J107" s="128">
        <f t="shared" si="26"/>
        <v>350.03079365246595</v>
      </c>
      <c r="K107" s="128">
        <f t="shared" si="26"/>
        <v>397.8891269858068</v>
      </c>
      <c r="L107" s="128">
        <f t="shared" si="26"/>
        <v>423.58912698580025</v>
      </c>
      <c r="M107" s="128">
        <f t="shared" si="26"/>
        <v>419.78079365247686</v>
      </c>
      <c r="N107" s="128">
        <f t="shared" si="26"/>
        <v>418.44079365247671</v>
      </c>
      <c r="O107" s="128">
        <f t="shared" si="26"/>
        <v>209.27539682622955</v>
      </c>
      <c r="P107" s="71"/>
      <c r="Q107" s="177"/>
      <c r="R107" s="71"/>
      <c r="S107" s="71"/>
      <c r="T107" s="71"/>
      <c r="U107" s="71"/>
    </row>
    <row r="108" spans="1:21">
      <c r="A108" s="64"/>
      <c r="B108" s="108"/>
      <c r="C108" s="109">
        <v>33</v>
      </c>
      <c r="D108" s="128">
        <f t="shared" ref="D108:O108" si="27">+$P42-D77</f>
        <v>0</v>
      </c>
      <c r="E108" s="128">
        <f t="shared" si="27"/>
        <v>0</v>
      </c>
      <c r="F108" s="128">
        <f t="shared" si="27"/>
        <v>0</v>
      </c>
      <c r="G108" s="128">
        <f t="shared" si="27"/>
        <v>0</v>
      </c>
      <c r="H108" s="128">
        <f t="shared" si="27"/>
        <v>0</v>
      </c>
      <c r="I108" s="128">
        <f t="shared" si="27"/>
        <v>0</v>
      </c>
      <c r="J108" s="128">
        <f t="shared" si="27"/>
        <v>0</v>
      </c>
      <c r="K108" s="128">
        <f t="shared" si="27"/>
        <v>0</v>
      </c>
      <c r="L108" s="128">
        <f t="shared" si="27"/>
        <v>0</v>
      </c>
      <c r="M108" s="128">
        <f t="shared" si="27"/>
        <v>0</v>
      </c>
      <c r="N108" s="128">
        <f t="shared" si="27"/>
        <v>0</v>
      </c>
      <c r="O108" s="128">
        <f t="shared" si="27"/>
        <v>0</v>
      </c>
      <c r="P108" s="71"/>
      <c r="Q108" s="177"/>
      <c r="R108" s="71"/>
      <c r="S108" s="71"/>
      <c r="T108" s="71"/>
      <c r="U108" s="71"/>
    </row>
    <row r="109" spans="1:21">
      <c r="A109" s="64"/>
      <c r="B109" s="108" t="s">
        <v>313</v>
      </c>
      <c r="C109" s="109">
        <v>36</v>
      </c>
      <c r="D109" s="128">
        <f t="shared" ref="D109:O109" si="28">+$P43-D78</f>
        <v>2.2500000000047748</v>
      </c>
      <c r="E109" s="128">
        <f t="shared" si="28"/>
        <v>7.5833333333398514</v>
      </c>
      <c r="F109" s="128">
        <f t="shared" si="28"/>
        <v>12.516666666674837</v>
      </c>
      <c r="G109" s="128">
        <f t="shared" si="28"/>
        <v>15.900000000004866</v>
      </c>
      <c r="H109" s="128">
        <f t="shared" si="28"/>
        <v>19.600000000004911</v>
      </c>
      <c r="I109" s="128">
        <f t="shared" si="28"/>
        <v>16.616666666674973</v>
      </c>
      <c r="J109" s="128">
        <f t="shared" si="28"/>
        <v>12.96666666667511</v>
      </c>
      <c r="K109" s="128">
        <f t="shared" si="28"/>
        <v>15.350000000004911</v>
      </c>
      <c r="L109" s="128">
        <f t="shared" si="28"/>
        <v>18.316666666670017</v>
      </c>
      <c r="M109" s="128">
        <f t="shared" si="28"/>
        <v>18.233333333339942</v>
      </c>
      <c r="N109" s="128">
        <f t="shared" si="28"/>
        <v>18.616666666674746</v>
      </c>
      <c r="O109" s="128">
        <f t="shared" si="28"/>
        <v>10.316666666670017</v>
      </c>
      <c r="P109" s="71"/>
      <c r="Q109" s="177"/>
      <c r="R109" s="71"/>
      <c r="S109" s="71"/>
      <c r="T109" s="71"/>
      <c r="U109" s="71"/>
    </row>
    <row r="110" spans="1:21">
      <c r="A110" s="64"/>
      <c r="B110" s="108"/>
      <c r="C110" s="109">
        <v>40</v>
      </c>
      <c r="D110" s="128">
        <f t="shared" ref="D110:O110" si="29">+$P44-D79</f>
        <v>4.5</v>
      </c>
      <c r="E110" s="128">
        <f t="shared" si="29"/>
        <v>0</v>
      </c>
      <c r="F110" s="128">
        <f t="shared" si="29"/>
        <v>0</v>
      </c>
      <c r="G110" s="128">
        <f t="shared" si="29"/>
        <v>0</v>
      </c>
      <c r="H110" s="128">
        <f t="shared" si="29"/>
        <v>0</v>
      </c>
      <c r="I110" s="128">
        <f t="shared" si="29"/>
        <v>0</v>
      </c>
      <c r="J110" s="128">
        <f t="shared" si="29"/>
        <v>0</v>
      </c>
      <c r="K110" s="128">
        <f t="shared" si="29"/>
        <v>0</v>
      </c>
      <c r="L110" s="128">
        <f t="shared" si="29"/>
        <v>0</v>
      </c>
      <c r="M110" s="128">
        <f t="shared" si="29"/>
        <v>0</v>
      </c>
      <c r="N110" s="128">
        <f t="shared" si="29"/>
        <v>0</v>
      </c>
      <c r="O110" s="128">
        <f t="shared" si="29"/>
        <v>0</v>
      </c>
      <c r="P110" s="71"/>
      <c r="Q110" s="177"/>
      <c r="R110" s="71"/>
      <c r="S110" s="71"/>
      <c r="T110" s="71"/>
      <c r="U110" s="71"/>
    </row>
    <row r="111" spans="1:21">
      <c r="A111" s="64"/>
      <c r="B111" s="108"/>
      <c r="C111" s="109">
        <v>47</v>
      </c>
      <c r="D111" s="128">
        <f t="shared" ref="D111:O111" si="30">+$P45-D80</f>
        <v>0</v>
      </c>
      <c r="E111" s="128">
        <f t="shared" si="30"/>
        <v>0</v>
      </c>
      <c r="F111" s="128">
        <f t="shared" si="30"/>
        <v>0</v>
      </c>
      <c r="G111" s="128">
        <f t="shared" si="30"/>
        <v>0</v>
      </c>
      <c r="H111" s="128">
        <f t="shared" si="30"/>
        <v>0</v>
      </c>
      <c r="I111" s="128">
        <f t="shared" si="30"/>
        <v>0</v>
      </c>
      <c r="J111" s="128">
        <f t="shared" si="30"/>
        <v>0</v>
      </c>
      <c r="K111" s="128">
        <f t="shared" si="30"/>
        <v>0</v>
      </c>
      <c r="L111" s="128">
        <f t="shared" si="30"/>
        <v>0</v>
      </c>
      <c r="M111" s="128">
        <f t="shared" si="30"/>
        <v>0</v>
      </c>
      <c r="N111" s="128">
        <f t="shared" si="30"/>
        <v>0</v>
      </c>
      <c r="O111" s="128">
        <f t="shared" si="30"/>
        <v>0</v>
      </c>
      <c r="P111" s="71"/>
      <c r="Q111" s="177"/>
      <c r="R111" s="71"/>
      <c r="S111" s="71"/>
      <c r="T111" s="71"/>
      <c r="U111" s="71"/>
    </row>
    <row r="112" spans="1:21">
      <c r="A112" s="64"/>
      <c r="B112" s="108" t="s">
        <v>314</v>
      </c>
      <c r="C112" s="109">
        <v>48</v>
      </c>
      <c r="D112" s="128">
        <f t="shared" ref="D112:O112" si="31">+$P46-D81</f>
        <v>-2.7424242424242493</v>
      </c>
      <c r="E112" s="128">
        <f t="shared" si="31"/>
        <v>-3.7424242424242493</v>
      </c>
      <c r="F112" s="128">
        <f t="shared" si="31"/>
        <v>-4.0606060606060481</v>
      </c>
      <c r="G112" s="128">
        <f t="shared" si="31"/>
        <v>-4.5757575757575495</v>
      </c>
      <c r="H112" s="128">
        <f t="shared" si="31"/>
        <v>-5.4090909090909065</v>
      </c>
      <c r="I112" s="128">
        <f t="shared" si="31"/>
        <v>-4.9090909090909065</v>
      </c>
      <c r="J112" s="128">
        <f t="shared" si="31"/>
        <v>-3.9696969696969546</v>
      </c>
      <c r="K112" s="128">
        <f t="shared" si="31"/>
        <v>-4.0606060606060481</v>
      </c>
      <c r="L112" s="128">
        <f t="shared" si="31"/>
        <v>-4.5151515151515014</v>
      </c>
      <c r="M112" s="128">
        <f t="shared" si="31"/>
        <v>-4.4090909090908994</v>
      </c>
      <c r="N112" s="128">
        <f t="shared" si="31"/>
        <v>-4</v>
      </c>
      <c r="O112" s="128">
        <f t="shared" si="31"/>
        <v>-2</v>
      </c>
      <c r="P112" s="71"/>
      <c r="Q112" s="177"/>
      <c r="R112" s="71"/>
      <c r="S112" s="71"/>
      <c r="T112" s="71"/>
      <c r="U112" s="71"/>
    </row>
    <row r="113" spans="1:21">
      <c r="A113" s="64"/>
      <c r="B113" s="108"/>
      <c r="C113" s="109">
        <v>54</v>
      </c>
      <c r="D113" s="129">
        <f t="shared" ref="D113:O113" si="32">+$P47-D82</f>
        <v>1</v>
      </c>
      <c r="E113" s="129">
        <f t="shared" si="32"/>
        <v>1</v>
      </c>
      <c r="F113" s="129">
        <f t="shared" si="32"/>
        <v>1</v>
      </c>
      <c r="G113" s="129">
        <f t="shared" si="32"/>
        <v>1.0162962962963</v>
      </c>
      <c r="H113" s="129">
        <f t="shared" si="32"/>
        <v>1.6296296296300028E-2</v>
      </c>
      <c r="I113" s="129">
        <f t="shared" si="32"/>
        <v>-1</v>
      </c>
      <c r="J113" s="129">
        <f t="shared" si="32"/>
        <v>-1</v>
      </c>
      <c r="K113" s="129">
        <f t="shared" si="32"/>
        <v>-1</v>
      </c>
      <c r="L113" s="129">
        <f t="shared" si="32"/>
        <v>-0.98400000000000176</v>
      </c>
      <c r="M113" s="129">
        <f t="shared" si="32"/>
        <v>-0.48400000000000176</v>
      </c>
      <c r="N113" s="129">
        <f t="shared" si="32"/>
        <v>0</v>
      </c>
      <c r="O113" s="129">
        <f t="shared" si="32"/>
        <v>0</v>
      </c>
      <c r="P113" s="71"/>
      <c r="Q113" s="177"/>
      <c r="R113" s="71"/>
      <c r="S113" s="71"/>
      <c r="T113" s="71"/>
      <c r="U113" s="71"/>
    </row>
    <row r="114" spans="1:21">
      <c r="A114" s="64"/>
      <c r="B114" s="103" t="s">
        <v>304</v>
      </c>
      <c r="C114" s="90"/>
      <c r="D114" s="128">
        <f t="shared" ref="D114:O114" si="33">+$P48-D83</f>
        <v>498.9383694100361</v>
      </c>
      <c r="E114" s="128">
        <f t="shared" si="33"/>
        <v>476.32586941002955</v>
      </c>
      <c r="F114" s="128">
        <f t="shared" si="33"/>
        <v>452.44102092518369</v>
      </c>
      <c r="G114" s="128">
        <f t="shared" si="33"/>
        <v>459.0213323729804</v>
      </c>
      <c r="H114" s="128">
        <f t="shared" si="33"/>
        <v>453.98799903964755</v>
      </c>
      <c r="I114" s="128">
        <f t="shared" si="33"/>
        <v>388.42170274335876</v>
      </c>
      <c r="J114" s="128">
        <f t="shared" si="33"/>
        <v>358.02776334944429</v>
      </c>
      <c r="K114" s="128">
        <f t="shared" si="33"/>
        <v>408.17852092520843</v>
      </c>
      <c r="L114" s="128">
        <f t="shared" si="33"/>
        <v>436.40664213731725</v>
      </c>
      <c r="M114" s="128">
        <f t="shared" si="33"/>
        <v>433.12103607672543</v>
      </c>
      <c r="N114" s="128">
        <f t="shared" si="33"/>
        <v>433.0574603191526</v>
      </c>
      <c r="O114" s="128">
        <f t="shared" si="33"/>
        <v>217.59206349289525</v>
      </c>
      <c r="P114" s="71"/>
      <c r="Q114" s="177"/>
      <c r="R114" s="71"/>
      <c r="S114" s="71"/>
      <c r="T114" s="71"/>
      <c r="U114" s="71"/>
    </row>
    <row r="115" spans="1:21">
      <c r="A115" s="64"/>
      <c r="B115" s="103" t="s">
        <v>305</v>
      </c>
      <c r="C115" s="90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71"/>
      <c r="Q115" s="177"/>
      <c r="R115" s="71"/>
      <c r="S115" s="71"/>
      <c r="T115" s="71"/>
      <c r="U115" s="71"/>
    </row>
    <row r="116" spans="1:21">
      <c r="A116" s="64"/>
      <c r="B116" s="108"/>
      <c r="C116" s="118">
        <v>15</v>
      </c>
      <c r="D116" s="128">
        <f t="shared" ref="D116:O116" si="34">+$P50-D85</f>
        <v>-10</v>
      </c>
      <c r="E116" s="128">
        <f t="shared" si="34"/>
        <v>-14.5</v>
      </c>
      <c r="F116" s="128">
        <f t="shared" si="34"/>
        <v>-8.5</v>
      </c>
      <c r="G116" s="128">
        <f t="shared" si="34"/>
        <v>-3.5</v>
      </c>
      <c r="H116" s="128">
        <f t="shared" si="34"/>
        <v>-8.5</v>
      </c>
      <c r="I116" s="128">
        <f t="shared" si="34"/>
        <v>-9.5</v>
      </c>
      <c r="J116" s="128">
        <f t="shared" si="34"/>
        <v>-10</v>
      </c>
      <c r="K116" s="128">
        <f t="shared" si="34"/>
        <v>-11</v>
      </c>
      <c r="L116" s="128">
        <f t="shared" si="34"/>
        <v>-12.5</v>
      </c>
      <c r="M116" s="128">
        <f t="shared" si="34"/>
        <v>-12</v>
      </c>
      <c r="N116" s="128">
        <f t="shared" si="34"/>
        <v>-8</v>
      </c>
      <c r="O116" s="128">
        <f t="shared" si="34"/>
        <v>-4.5</v>
      </c>
      <c r="P116" s="71"/>
      <c r="Q116" s="177"/>
      <c r="R116" s="71"/>
      <c r="S116" s="71"/>
      <c r="T116" s="71"/>
      <c r="U116" s="71"/>
    </row>
    <row r="117" spans="1:21">
      <c r="A117" s="64"/>
      <c r="B117" s="108"/>
      <c r="C117" s="118">
        <v>51</v>
      </c>
      <c r="D117" s="128">
        <f t="shared" ref="D117:O117" si="35">+$P51-D86</f>
        <v>3</v>
      </c>
      <c r="E117" s="128">
        <f t="shared" si="35"/>
        <v>0</v>
      </c>
      <c r="F117" s="128">
        <f t="shared" si="35"/>
        <v>0</v>
      </c>
      <c r="G117" s="128">
        <f t="shared" si="35"/>
        <v>0</v>
      </c>
      <c r="H117" s="128">
        <f t="shared" si="35"/>
        <v>0</v>
      </c>
      <c r="I117" s="128">
        <f t="shared" si="35"/>
        <v>0</v>
      </c>
      <c r="J117" s="128">
        <f t="shared" si="35"/>
        <v>0</v>
      </c>
      <c r="K117" s="128">
        <f t="shared" si="35"/>
        <v>0</v>
      </c>
      <c r="L117" s="128">
        <f t="shared" si="35"/>
        <v>0</v>
      </c>
      <c r="M117" s="128">
        <f t="shared" si="35"/>
        <v>0</v>
      </c>
      <c r="N117" s="128">
        <f t="shared" si="35"/>
        <v>0</v>
      </c>
      <c r="O117" s="128">
        <f t="shared" si="35"/>
        <v>0</v>
      </c>
      <c r="P117" s="71"/>
      <c r="Q117" s="177"/>
      <c r="R117" s="71"/>
      <c r="S117" s="71"/>
      <c r="T117" s="71"/>
      <c r="U117" s="71"/>
    </row>
    <row r="118" spans="1:21">
      <c r="A118" s="64"/>
      <c r="B118" s="108"/>
      <c r="C118" s="118">
        <v>52</v>
      </c>
      <c r="D118" s="128">
        <f t="shared" ref="D118:O118" si="36">+$P52-D87</f>
        <v>-1</v>
      </c>
      <c r="E118" s="128">
        <f t="shared" si="36"/>
        <v>-1</v>
      </c>
      <c r="F118" s="128">
        <f t="shared" si="36"/>
        <v>-1</v>
      </c>
      <c r="G118" s="128">
        <f t="shared" si="36"/>
        <v>-1</v>
      </c>
      <c r="H118" s="128">
        <f t="shared" si="36"/>
        <v>-1</v>
      </c>
      <c r="I118" s="128">
        <f t="shared" si="36"/>
        <v>-1</v>
      </c>
      <c r="J118" s="128">
        <f t="shared" si="36"/>
        <v>-1</v>
      </c>
      <c r="K118" s="128">
        <f t="shared" si="36"/>
        <v>-1</v>
      </c>
      <c r="L118" s="128">
        <f t="shared" si="36"/>
        <v>-1</v>
      </c>
      <c r="M118" s="128">
        <f t="shared" si="36"/>
        <v>-1</v>
      </c>
      <c r="N118" s="128">
        <f t="shared" si="36"/>
        <v>-0.5</v>
      </c>
      <c r="O118" s="128">
        <f t="shared" si="36"/>
        <v>0</v>
      </c>
      <c r="P118" s="71"/>
      <c r="Q118" s="177"/>
      <c r="R118" s="71"/>
      <c r="S118" s="71"/>
      <c r="T118" s="71"/>
      <c r="U118" s="71"/>
    </row>
    <row r="119" spans="1:21" ht="15.75" customHeight="1">
      <c r="A119" s="64"/>
      <c r="B119" s="108"/>
      <c r="C119" s="118">
        <v>53</v>
      </c>
      <c r="D119" s="128">
        <f t="shared" ref="D119:O119" si="37">+$P53-D88</f>
        <v>10</v>
      </c>
      <c r="E119" s="128">
        <f t="shared" si="37"/>
        <v>10</v>
      </c>
      <c r="F119" s="128">
        <f t="shared" si="37"/>
        <v>10</v>
      </c>
      <c r="G119" s="128">
        <f t="shared" si="37"/>
        <v>8.5</v>
      </c>
      <c r="H119" s="128">
        <f t="shared" si="37"/>
        <v>5</v>
      </c>
      <c r="I119" s="128">
        <f t="shared" si="37"/>
        <v>2.5</v>
      </c>
      <c r="J119" s="128">
        <f t="shared" si="37"/>
        <v>1.5</v>
      </c>
      <c r="K119" s="128">
        <f t="shared" si="37"/>
        <v>1.5</v>
      </c>
      <c r="L119" s="128">
        <f t="shared" si="37"/>
        <v>1.5</v>
      </c>
      <c r="M119" s="128">
        <f t="shared" si="37"/>
        <v>1</v>
      </c>
      <c r="N119" s="128">
        <f t="shared" si="37"/>
        <v>1</v>
      </c>
      <c r="O119" s="128">
        <f t="shared" si="37"/>
        <v>0.5</v>
      </c>
      <c r="P119" s="71"/>
      <c r="Q119" s="177"/>
      <c r="R119" s="71"/>
      <c r="S119" s="71"/>
      <c r="T119" s="71"/>
      <c r="U119" s="71"/>
    </row>
    <row r="120" spans="1:21">
      <c r="A120" s="64"/>
      <c r="B120" s="108"/>
      <c r="C120" s="118">
        <v>57</v>
      </c>
      <c r="D120" s="129">
        <f t="shared" ref="D120:O120" si="38">+$P54-D89</f>
        <v>0</v>
      </c>
      <c r="E120" s="129">
        <f t="shared" si="38"/>
        <v>0</v>
      </c>
      <c r="F120" s="129">
        <f t="shared" si="38"/>
        <v>0</v>
      </c>
      <c r="G120" s="129">
        <f t="shared" si="38"/>
        <v>0</v>
      </c>
      <c r="H120" s="129">
        <f t="shared" si="38"/>
        <v>0</v>
      </c>
      <c r="I120" s="129">
        <f t="shared" si="38"/>
        <v>0</v>
      </c>
      <c r="J120" s="129">
        <f t="shared" si="38"/>
        <v>0</v>
      </c>
      <c r="K120" s="129">
        <f t="shared" si="38"/>
        <v>0</v>
      </c>
      <c r="L120" s="129">
        <f t="shared" si="38"/>
        <v>-0.5</v>
      </c>
      <c r="M120" s="129">
        <f t="shared" si="38"/>
        <v>-0.5</v>
      </c>
      <c r="N120" s="129">
        <f t="shared" si="38"/>
        <v>0</v>
      </c>
      <c r="O120" s="129">
        <f t="shared" si="38"/>
        <v>0</v>
      </c>
      <c r="P120" s="71"/>
      <c r="Q120" s="177"/>
      <c r="R120" s="71"/>
      <c r="S120" s="71"/>
      <c r="T120" s="71"/>
      <c r="U120" s="71"/>
    </row>
    <row r="121" spans="1:21">
      <c r="A121" s="64"/>
      <c r="B121" s="103" t="s">
        <v>305</v>
      </c>
      <c r="C121" s="108"/>
      <c r="D121" s="128">
        <f t="shared" ref="D121:O121" si="39">+$P55-D90</f>
        <v>2</v>
      </c>
      <c r="E121" s="128">
        <f t="shared" si="39"/>
        <v>-5.5</v>
      </c>
      <c r="F121" s="128">
        <f t="shared" si="39"/>
        <v>0.5</v>
      </c>
      <c r="G121" s="128">
        <f t="shared" si="39"/>
        <v>4</v>
      </c>
      <c r="H121" s="128">
        <f t="shared" si="39"/>
        <v>-4.5</v>
      </c>
      <c r="I121" s="128">
        <f t="shared" si="39"/>
        <v>-8</v>
      </c>
      <c r="J121" s="128">
        <f t="shared" si="39"/>
        <v>-9.5</v>
      </c>
      <c r="K121" s="128">
        <f t="shared" si="39"/>
        <v>-10.5</v>
      </c>
      <c r="L121" s="128">
        <f t="shared" si="39"/>
        <v>-12.5</v>
      </c>
      <c r="M121" s="128">
        <f t="shared" si="39"/>
        <v>-12.5</v>
      </c>
      <c r="N121" s="128">
        <f t="shared" si="39"/>
        <v>-7.5</v>
      </c>
      <c r="O121" s="128">
        <f t="shared" si="39"/>
        <v>-4</v>
      </c>
      <c r="P121" s="71"/>
      <c r="Q121" s="177"/>
      <c r="R121" s="71"/>
      <c r="S121" s="71"/>
      <c r="T121" s="71"/>
      <c r="U121" s="71"/>
    </row>
    <row r="122" spans="1:21">
      <c r="A122" s="64"/>
      <c r="B122" s="108"/>
      <c r="C122" s="10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71"/>
      <c r="Q122" s="177"/>
      <c r="R122" s="71"/>
      <c r="S122" s="71"/>
      <c r="T122" s="71"/>
      <c r="U122" s="71"/>
    </row>
    <row r="123" spans="1:21" ht="16.5" thickBot="1">
      <c r="A123" s="64"/>
      <c r="B123" s="45"/>
      <c r="C123" s="101" t="s">
        <v>300</v>
      </c>
      <c r="D123" s="130">
        <f t="shared" ref="D123:O123" si="40">+$P57-D92</f>
        <v>602.77170274301898</v>
      </c>
      <c r="E123" s="130">
        <f t="shared" si="40"/>
        <v>425.30920274270466</v>
      </c>
      <c r="F123" s="130">
        <f t="shared" si="40"/>
        <v>371.10768759116763</v>
      </c>
      <c r="G123" s="130">
        <f t="shared" si="40"/>
        <v>436.10466570642893</v>
      </c>
      <c r="H123" s="130">
        <f t="shared" si="40"/>
        <v>364.55466570644057</v>
      </c>
      <c r="I123" s="130">
        <f t="shared" si="40"/>
        <v>-39.8949639229686</v>
      </c>
      <c r="J123" s="130">
        <f t="shared" si="40"/>
        <v>-201.13890331823495</v>
      </c>
      <c r="K123" s="130">
        <f t="shared" si="40"/>
        <v>114.46185425852309</v>
      </c>
      <c r="L123" s="130">
        <f t="shared" si="40"/>
        <v>323.22330880549271</v>
      </c>
      <c r="M123" s="130">
        <f t="shared" si="40"/>
        <v>356.03770274389535</v>
      </c>
      <c r="N123" s="130">
        <f t="shared" si="40"/>
        <v>446.49079365341458</v>
      </c>
      <c r="O123" s="130">
        <f t="shared" si="40"/>
        <v>254.87539682685747</v>
      </c>
      <c r="P123" s="71"/>
      <c r="Q123" s="177"/>
      <c r="R123" s="71"/>
      <c r="S123" s="71"/>
      <c r="T123" s="71"/>
      <c r="U123" s="71"/>
    </row>
    <row r="124" spans="1:21" s="66" customFormat="1" ht="16.5" thickTop="1">
      <c r="A124" s="64"/>
      <c r="B124" s="45"/>
      <c r="C124" s="101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71"/>
      <c r="Q124" s="165"/>
      <c r="R124" s="71"/>
      <c r="S124" s="71"/>
      <c r="T124" s="71"/>
      <c r="U124" s="71"/>
    </row>
    <row r="125" spans="1:21" s="66" customFormat="1">
      <c r="A125" s="64"/>
      <c r="B125" s="45"/>
      <c r="C125" s="101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71"/>
      <c r="Q125" s="165"/>
      <c r="R125" s="71"/>
      <c r="S125" s="71"/>
      <c r="T125" s="71"/>
      <c r="U125" s="71"/>
    </row>
    <row r="126" spans="1:21" s="66" customFormat="1">
      <c r="A126" s="64"/>
      <c r="B126" s="45"/>
      <c r="C126" s="101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71"/>
      <c r="Q126" s="165"/>
      <c r="R126" s="71"/>
      <c r="S126" s="71"/>
      <c r="T126" s="71"/>
      <c r="U126" s="71"/>
    </row>
    <row r="127" spans="1:21" s="66" customFormat="1">
      <c r="A127" s="64"/>
      <c r="B127" s="45"/>
      <c r="C127" s="101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71"/>
      <c r="Q127" s="165"/>
      <c r="R127" s="71"/>
      <c r="S127" s="71"/>
      <c r="T127" s="71"/>
      <c r="U127" s="71"/>
    </row>
    <row r="128" spans="1:21" s="66" customFormat="1">
      <c r="A128" s="64"/>
      <c r="B128" s="45"/>
      <c r="C128" s="101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71"/>
      <c r="Q128" s="165"/>
      <c r="R128" s="71"/>
      <c r="S128" s="71"/>
      <c r="T128" s="71"/>
      <c r="U128" s="71"/>
    </row>
    <row r="129" spans="1:21">
      <c r="A129" s="64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166"/>
      <c r="R129" s="71"/>
      <c r="S129" s="71"/>
      <c r="T129" s="71"/>
      <c r="U129" s="71"/>
    </row>
    <row r="130" spans="1:21">
      <c r="A130" s="64"/>
      <c r="B130" s="71" t="s">
        <v>315</v>
      </c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</row>
    <row r="131" spans="1:21">
      <c r="A131" s="64"/>
      <c r="B131" s="71" t="s">
        <v>316</v>
      </c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</row>
    <row r="132" spans="1:21">
      <c r="A132" s="64"/>
      <c r="B132" s="71" t="s">
        <v>317</v>
      </c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</row>
    <row r="133" spans="1:21">
      <c r="A133" s="64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</row>
    <row r="134" spans="1:21">
      <c r="A134" s="64"/>
      <c r="B134" s="105" t="s">
        <v>298</v>
      </c>
      <c r="C134" s="105" t="s">
        <v>299</v>
      </c>
      <c r="D134" s="30">
        <v>201107</v>
      </c>
      <c r="E134" s="30">
        <v>201108</v>
      </c>
      <c r="F134" s="30">
        <v>201109</v>
      </c>
      <c r="G134" s="30">
        <v>201110</v>
      </c>
      <c r="H134" s="30">
        <v>201111</v>
      </c>
      <c r="I134" s="30">
        <v>201112</v>
      </c>
      <c r="J134" s="30">
        <v>201201</v>
      </c>
      <c r="K134" s="30">
        <v>201202</v>
      </c>
      <c r="L134" s="30">
        <v>201203</v>
      </c>
      <c r="M134" s="30">
        <v>201204</v>
      </c>
      <c r="N134" s="30">
        <v>201205</v>
      </c>
      <c r="O134" s="30">
        <v>201206</v>
      </c>
      <c r="P134" s="71"/>
      <c r="Q134" s="71"/>
      <c r="R134" s="71"/>
      <c r="S134" s="71"/>
      <c r="T134" s="71"/>
      <c r="U134" s="71"/>
    </row>
    <row r="135" spans="1:21">
      <c r="A135" s="64"/>
      <c r="B135" s="103" t="s">
        <v>302</v>
      </c>
      <c r="C135" s="66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</row>
    <row r="136" spans="1:21">
      <c r="A136" s="64"/>
      <c r="B136" s="108"/>
      <c r="C136" s="109">
        <v>16</v>
      </c>
      <c r="D136" s="131">
        <f t="shared" ref="D136:O136" si="41">+D8/D71</f>
        <v>88.064701294926195</v>
      </c>
      <c r="E136" s="131">
        <f t="shared" si="41"/>
        <v>83.860130146249588</v>
      </c>
      <c r="F136" s="131">
        <f t="shared" si="41"/>
        <v>89.048124282742478</v>
      </c>
      <c r="G136" s="131">
        <f t="shared" si="41"/>
        <v>77.76990057510146</v>
      </c>
      <c r="H136" s="131">
        <f t="shared" si="41"/>
        <v>103.75946457904612</v>
      </c>
      <c r="I136" s="131">
        <f t="shared" si="41"/>
        <v>155.0290536394314</v>
      </c>
      <c r="J136" s="131">
        <f t="shared" si="41"/>
        <v>167.22104660511931</v>
      </c>
      <c r="K136" s="131">
        <f t="shared" si="41"/>
        <v>148.53795637920641</v>
      </c>
      <c r="L136" s="131">
        <f t="shared" si="41"/>
        <v>121.38362725372724</v>
      </c>
      <c r="M136" s="131">
        <f t="shared" si="41"/>
        <v>101.87791763673157</v>
      </c>
      <c r="N136" s="131">
        <f t="shared" si="41"/>
        <v>75.635314727168335</v>
      </c>
      <c r="O136" s="131">
        <f t="shared" si="41"/>
        <v>75.978114790791352</v>
      </c>
      <c r="P136" s="71"/>
      <c r="Q136" s="71"/>
      <c r="R136" s="71"/>
      <c r="S136" s="71"/>
      <c r="T136" s="71"/>
      <c r="U136" s="71"/>
    </row>
    <row r="137" spans="1:21">
      <c r="A137" s="64"/>
      <c r="B137" s="108"/>
      <c r="C137" s="109">
        <v>17</v>
      </c>
      <c r="D137" s="131">
        <f t="shared" ref="D137:O137" si="42">+D9/D72</f>
        <v>69.176792309615962</v>
      </c>
      <c r="E137" s="131">
        <f t="shared" si="42"/>
        <v>76.588912123401002</v>
      </c>
      <c r="F137" s="131">
        <f t="shared" si="42"/>
        <v>78.066421590564886</v>
      </c>
      <c r="G137" s="131">
        <f t="shared" si="42"/>
        <v>77.284053737470714</v>
      </c>
      <c r="H137" s="131">
        <f t="shared" si="42"/>
        <v>99.169791302252435</v>
      </c>
      <c r="I137" s="131">
        <f t="shared" si="42"/>
        <v>160.64323740816144</v>
      </c>
      <c r="J137" s="131">
        <f t="shared" si="42"/>
        <v>183.91961654276992</v>
      </c>
      <c r="K137" s="131">
        <f t="shared" si="42"/>
        <v>169.080797820698</v>
      </c>
      <c r="L137" s="131">
        <f t="shared" si="42"/>
        <v>135.33742849948723</v>
      </c>
      <c r="M137" s="131">
        <f t="shared" si="42"/>
        <v>110.39670474591807</v>
      </c>
      <c r="N137" s="131">
        <f t="shared" si="42"/>
        <v>74.168597501959084</v>
      </c>
      <c r="O137" s="131">
        <f t="shared" si="42"/>
        <v>66.205795438620711</v>
      </c>
      <c r="P137" s="71"/>
      <c r="Q137" s="71"/>
      <c r="R137" s="71"/>
      <c r="S137" s="71"/>
      <c r="T137" s="71"/>
      <c r="U137" s="71"/>
    </row>
    <row r="138" spans="1:21">
      <c r="A138" s="64"/>
      <c r="B138" s="108"/>
      <c r="C138" s="109">
        <v>18</v>
      </c>
      <c r="D138" s="132">
        <f t="shared" ref="D138:O138" si="43">+D10/D73</f>
        <v>192.85044091837804</v>
      </c>
      <c r="E138" s="132">
        <f t="shared" si="43"/>
        <v>194.4378616990254</v>
      </c>
      <c r="F138" s="132">
        <f t="shared" si="43"/>
        <v>199.52823931443749</v>
      </c>
      <c r="G138" s="132">
        <f t="shared" si="43"/>
        <v>163.56732004068078</v>
      </c>
      <c r="H138" s="132">
        <f t="shared" si="43"/>
        <v>172.66331205700155</v>
      </c>
      <c r="I138" s="132">
        <f t="shared" si="43"/>
        <v>242.1914502789688</v>
      </c>
      <c r="J138" s="132">
        <f t="shared" si="43"/>
        <v>258.88685442517823</v>
      </c>
      <c r="K138" s="132">
        <f t="shared" si="43"/>
        <v>226.01985521156024</v>
      </c>
      <c r="L138" s="132">
        <f t="shared" si="43"/>
        <v>192.71919219441949</v>
      </c>
      <c r="M138" s="132">
        <f t="shared" si="43"/>
        <v>173.75414329233277</v>
      </c>
      <c r="N138" s="132">
        <f t="shared" si="43"/>
        <v>157.14567051153799</v>
      </c>
      <c r="O138" s="132">
        <f t="shared" si="43"/>
        <v>168.74796239159556</v>
      </c>
      <c r="P138" s="71"/>
      <c r="Q138" s="71"/>
      <c r="R138" s="71"/>
      <c r="S138" s="71"/>
      <c r="T138" s="71"/>
      <c r="U138" s="71"/>
    </row>
    <row r="139" spans="1:21">
      <c r="A139" s="64"/>
      <c r="B139" s="103" t="s">
        <v>302</v>
      </c>
      <c r="C139" s="114"/>
      <c r="D139" s="131">
        <f t="shared" ref="D139:O139" si="44">+D11/D74</f>
        <v>87.466995861451352</v>
      </c>
      <c r="E139" s="131">
        <f t="shared" si="44"/>
        <v>83.704911061784017</v>
      </c>
      <c r="F139" s="131">
        <f t="shared" si="44"/>
        <v>88.758725993707912</v>
      </c>
      <c r="G139" s="131">
        <f t="shared" si="44"/>
        <v>77.838045944027485</v>
      </c>
      <c r="H139" s="131">
        <f t="shared" si="44"/>
        <v>103.64389366071192</v>
      </c>
      <c r="I139" s="131">
        <f t="shared" si="44"/>
        <v>155.32317012536893</v>
      </c>
      <c r="J139" s="131">
        <f t="shared" si="44"/>
        <v>167.92993322538507</v>
      </c>
      <c r="K139" s="131">
        <f t="shared" si="44"/>
        <v>149.41622740130074</v>
      </c>
      <c r="L139" s="131">
        <f t="shared" si="44"/>
        <v>122.02611899148906</v>
      </c>
      <c r="M139" s="131">
        <f t="shared" si="44"/>
        <v>102.30470078281247</v>
      </c>
      <c r="N139" s="131">
        <f t="shared" si="44"/>
        <v>75.654593786598141</v>
      </c>
      <c r="O139" s="131">
        <f t="shared" si="44"/>
        <v>75.672219409877457</v>
      </c>
      <c r="P139" s="71"/>
      <c r="Q139" s="71"/>
      <c r="R139" s="71"/>
      <c r="S139" s="71"/>
      <c r="T139" s="71"/>
      <c r="U139" s="71"/>
    </row>
    <row r="140" spans="1:21">
      <c r="A140" s="64"/>
      <c r="B140" s="103" t="s">
        <v>304</v>
      </c>
      <c r="C140" s="114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71"/>
      <c r="Q140" s="71"/>
      <c r="R140" s="71"/>
      <c r="S140" s="71"/>
      <c r="T140" s="71"/>
      <c r="U140" s="71"/>
    </row>
    <row r="141" spans="1:21">
      <c r="A141" s="64"/>
      <c r="B141" s="108"/>
      <c r="C141" s="109">
        <v>24</v>
      </c>
      <c r="D141" s="131">
        <f t="shared" ref="D141:O141" si="45">+D13/D76</f>
        <v>209.51806702002654</v>
      </c>
      <c r="E141" s="131">
        <f t="shared" si="45"/>
        <v>196.56529514538607</v>
      </c>
      <c r="F141" s="131">
        <f t="shared" si="45"/>
        <v>207.07564809031643</v>
      </c>
      <c r="G141" s="131">
        <f t="shared" si="45"/>
        <v>203.2650357743743</v>
      </c>
      <c r="H141" s="131">
        <f t="shared" si="45"/>
        <v>195.51182462916009</v>
      </c>
      <c r="I141" s="131">
        <f t="shared" si="45"/>
        <v>219.24764518078908</v>
      </c>
      <c r="J141" s="131">
        <f t="shared" si="45"/>
        <v>225.30757265474023</v>
      </c>
      <c r="K141" s="131">
        <f t="shared" si="45"/>
        <v>217.13925471185001</v>
      </c>
      <c r="L141" s="131">
        <f t="shared" si="45"/>
        <v>197.58596063517535</v>
      </c>
      <c r="M141" s="131">
        <f t="shared" si="45"/>
        <v>187.01019194352219</v>
      </c>
      <c r="N141" s="131">
        <f t="shared" si="45"/>
        <v>181.46639240087907</v>
      </c>
      <c r="O141" s="131">
        <f t="shared" si="45"/>
        <v>190.31237386361744</v>
      </c>
      <c r="P141" s="71"/>
      <c r="Q141" s="71"/>
      <c r="R141" s="71"/>
      <c r="S141" s="71"/>
      <c r="T141" s="71"/>
      <c r="U141" s="71"/>
    </row>
    <row r="142" spans="1:21">
      <c r="A142" s="64"/>
      <c r="B142" s="108"/>
      <c r="C142" s="109">
        <v>33</v>
      </c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71"/>
      <c r="Q142" s="71"/>
      <c r="R142" s="71"/>
      <c r="S142" s="71"/>
      <c r="T142" s="71"/>
      <c r="U142" s="71"/>
    </row>
    <row r="143" spans="1:21">
      <c r="A143" s="64"/>
      <c r="B143" s="108"/>
      <c r="C143" s="109">
        <v>36</v>
      </c>
      <c r="D143" s="131">
        <f t="shared" ref="D143:O143" si="46">+D15/D78</f>
        <v>4674.0262173795945</v>
      </c>
      <c r="E143" s="131">
        <f t="shared" si="46"/>
        <v>4846.9130754651223</v>
      </c>
      <c r="F143" s="131">
        <f t="shared" si="46"/>
        <v>5254.4301220775333</v>
      </c>
      <c r="G143" s="131">
        <f t="shared" si="46"/>
        <v>5427.2458186465428</v>
      </c>
      <c r="H143" s="131">
        <f t="shared" si="46"/>
        <v>5377.2018347839421</v>
      </c>
      <c r="I143" s="131">
        <f t="shared" si="46"/>
        <v>5399.1031852912774</v>
      </c>
      <c r="J143" s="131">
        <f t="shared" si="46"/>
        <v>5079.5305277847619</v>
      </c>
      <c r="K143" s="131">
        <f t="shared" si="46"/>
        <v>4708.9406067783984</v>
      </c>
      <c r="L143" s="131">
        <f t="shared" si="46"/>
        <v>4562.0059395131184</v>
      </c>
      <c r="M143" s="131">
        <f t="shared" si="46"/>
        <v>4431.6951693928568</v>
      </c>
      <c r="N143" s="131">
        <f t="shared" si="46"/>
        <v>4436.2342154438829</v>
      </c>
      <c r="O143" s="131">
        <f t="shared" si="46"/>
        <v>4490.7703733642747</v>
      </c>
      <c r="P143" s="71"/>
      <c r="Q143" s="71"/>
      <c r="R143" s="71"/>
      <c r="S143" s="71"/>
      <c r="T143" s="71"/>
      <c r="U143" s="71"/>
    </row>
    <row r="144" spans="1:21">
      <c r="A144" s="64"/>
      <c r="B144" s="108"/>
      <c r="C144" s="109">
        <v>40</v>
      </c>
      <c r="D144" s="131">
        <f t="shared" ref="D144:O144" si="47">+D16/D79</f>
        <v>393.59019157719615</v>
      </c>
      <c r="E144" s="131">
        <f t="shared" si="47"/>
        <v>385.70538291284794</v>
      </c>
      <c r="F144" s="131">
        <f t="shared" si="47"/>
        <v>303.09886849544256</v>
      </c>
      <c r="G144" s="131">
        <f t="shared" si="47"/>
        <v>180.51721064386791</v>
      </c>
      <c r="H144" s="131">
        <f t="shared" si="47"/>
        <v>463.69205911066035</v>
      </c>
      <c r="I144" s="131">
        <f t="shared" si="47"/>
        <v>7.584308853158003</v>
      </c>
      <c r="J144" s="131">
        <f t="shared" si="47"/>
        <v>6.9397261224520559</v>
      </c>
      <c r="K144" s="131">
        <f t="shared" si="47"/>
        <v>6.8084354235272393</v>
      </c>
      <c r="L144" s="131">
        <f t="shared" si="47"/>
        <v>12.806376795211547</v>
      </c>
      <c r="M144" s="131">
        <f t="shared" si="47"/>
        <v>67.117020051247835</v>
      </c>
      <c r="N144" s="131">
        <f t="shared" si="47"/>
        <v>204.23081790283277</v>
      </c>
      <c r="O144" s="131">
        <f t="shared" si="47"/>
        <v>306.68182424642367</v>
      </c>
      <c r="P144" s="71"/>
      <c r="Q144" s="71"/>
      <c r="R144" s="71"/>
      <c r="S144" s="71"/>
      <c r="T144" s="71"/>
      <c r="U144" s="71"/>
    </row>
    <row r="145" spans="1:21">
      <c r="A145" s="64"/>
      <c r="B145" s="108"/>
      <c r="C145" s="109">
        <v>47</v>
      </c>
      <c r="D145" s="131">
        <f t="shared" ref="D145:O145" si="48">+D17/D80</f>
        <v>22587.080932769695</v>
      </c>
      <c r="E145" s="131">
        <f t="shared" si="48"/>
        <v>21633.905170348316</v>
      </c>
      <c r="F145" s="131">
        <f t="shared" si="48"/>
        <v>26078.129587200456</v>
      </c>
      <c r="G145" s="131">
        <f t="shared" si="48"/>
        <v>19879.408175191766</v>
      </c>
      <c r="H145" s="131">
        <f t="shared" si="48"/>
        <v>19978.503823846735</v>
      </c>
      <c r="I145" s="131">
        <f t="shared" si="48"/>
        <v>53314.438043820068</v>
      </c>
      <c r="J145" s="131">
        <f t="shared" si="48"/>
        <v>23322.799057658638</v>
      </c>
      <c r="K145" s="131">
        <f t="shared" si="48"/>
        <v>25237.726949140524</v>
      </c>
      <c r="L145" s="131">
        <f t="shared" si="48"/>
        <v>18155.009755846946</v>
      </c>
      <c r="M145" s="131">
        <f t="shared" si="48"/>
        <v>19261.889454030734</v>
      </c>
      <c r="N145" s="131">
        <f t="shared" si="48"/>
        <v>21152.287311073211</v>
      </c>
      <c r="O145" s="131">
        <f t="shared" si="48"/>
        <v>19959.725239072905</v>
      </c>
      <c r="P145" s="71"/>
      <c r="Q145" s="71"/>
      <c r="R145" s="71"/>
      <c r="S145" s="71"/>
      <c r="T145" s="71"/>
      <c r="U145" s="71"/>
    </row>
    <row r="146" spans="1:21">
      <c r="A146" s="64"/>
      <c r="B146" s="108"/>
      <c r="C146" s="109">
        <v>48</v>
      </c>
      <c r="D146" s="131">
        <f t="shared" ref="D146:O146" si="49">+D18/D81</f>
        <v>68813.463610269318</v>
      </c>
      <c r="E146" s="131">
        <f t="shared" si="49"/>
        <v>69897.851561172371</v>
      </c>
      <c r="F146" s="131">
        <f t="shared" si="49"/>
        <v>69945.66643254571</v>
      </c>
      <c r="G146" s="131">
        <f t="shared" si="49"/>
        <v>69346.27979619203</v>
      </c>
      <c r="H146" s="131">
        <f t="shared" si="49"/>
        <v>71393.441053392497</v>
      </c>
      <c r="I146" s="131">
        <f t="shared" si="49"/>
        <v>67398.7471605717</v>
      </c>
      <c r="J146" s="131">
        <f t="shared" si="49"/>
        <v>68617.02646617961</v>
      </c>
      <c r="K146" s="131">
        <f t="shared" si="49"/>
        <v>67236.030013617608</v>
      </c>
      <c r="L146" s="131">
        <f t="shared" si="49"/>
        <v>64736.201893832469</v>
      </c>
      <c r="M146" s="131">
        <f t="shared" si="49"/>
        <v>66165.085469831844</v>
      </c>
      <c r="N146" s="131">
        <f t="shared" si="49"/>
        <v>61791.053683771577</v>
      </c>
      <c r="O146" s="131">
        <f t="shared" si="49"/>
        <v>69976.023881544243</v>
      </c>
      <c r="P146" s="71"/>
      <c r="Q146" s="71"/>
      <c r="R146" s="71"/>
      <c r="S146" s="71"/>
      <c r="T146" s="71"/>
      <c r="U146" s="71"/>
    </row>
    <row r="147" spans="1:21">
      <c r="A147" s="64"/>
      <c r="B147" s="108"/>
      <c r="C147" s="109">
        <v>54</v>
      </c>
      <c r="D147" s="132">
        <f t="shared" ref="D147:O147" si="50">+D19/D82</f>
        <v>86.206906858568473</v>
      </c>
      <c r="E147" s="132">
        <f t="shared" si="50"/>
        <v>73.443693133843539</v>
      </c>
      <c r="F147" s="132">
        <f t="shared" si="50"/>
        <v>55.016604751009147</v>
      </c>
      <c r="G147" s="132">
        <f t="shared" si="50"/>
        <v>90.055322265144355</v>
      </c>
      <c r="H147" s="132">
        <f t="shared" si="50"/>
        <v>96.354516592907203</v>
      </c>
      <c r="I147" s="132">
        <f t="shared" si="50"/>
        <v>64.424201802909934</v>
      </c>
      <c r="J147" s="132">
        <f t="shared" si="50"/>
        <v>44.767100456757397</v>
      </c>
      <c r="K147" s="132">
        <f t="shared" si="50"/>
        <v>40.958065322073701</v>
      </c>
      <c r="L147" s="132">
        <f t="shared" si="50"/>
        <v>94.066558448405686</v>
      </c>
      <c r="M147" s="132">
        <f t="shared" si="50"/>
        <v>88.295056454622838</v>
      </c>
      <c r="N147" s="132">
        <f t="shared" si="50"/>
        <v>53.351517104105064</v>
      </c>
      <c r="O147" s="132">
        <f t="shared" si="50"/>
        <v>66.433136415036486</v>
      </c>
      <c r="P147" s="71"/>
      <c r="Q147" s="71"/>
      <c r="R147" s="71"/>
      <c r="S147" s="71"/>
      <c r="T147" s="71"/>
      <c r="U147" s="71"/>
    </row>
    <row r="148" spans="1:21">
      <c r="A148" s="64"/>
      <c r="B148" s="103" t="s">
        <v>304</v>
      </c>
      <c r="C148" s="90"/>
      <c r="D148" s="131">
        <f t="shared" ref="D148:O148" si="51">+D20/D83</f>
        <v>597.0103152292271</v>
      </c>
      <c r="E148" s="131">
        <f t="shared" si="51"/>
        <v>596.97167545977982</v>
      </c>
      <c r="F148" s="131">
        <f t="shared" si="51"/>
        <v>604.31932166003617</v>
      </c>
      <c r="G148" s="131">
        <f t="shared" si="51"/>
        <v>582.10465648236618</v>
      </c>
      <c r="H148" s="131">
        <f t="shared" si="51"/>
        <v>640.28577553554567</v>
      </c>
      <c r="I148" s="131">
        <f t="shared" si="51"/>
        <v>552.86375710297466</v>
      </c>
      <c r="J148" s="131">
        <f t="shared" si="51"/>
        <v>543.3984638450039</v>
      </c>
      <c r="K148" s="131">
        <f t="shared" si="51"/>
        <v>519.08010527159331</v>
      </c>
      <c r="L148" s="131">
        <f t="shared" si="51"/>
        <v>494.52942376572815</v>
      </c>
      <c r="M148" s="131">
        <f t="shared" si="51"/>
        <v>495.7961532441139</v>
      </c>
      <c r="N148" s="131">
        <f t="shared" si="51"/>
        <v>509.27212491954089</v>
      </c>
      <c r="O148" s="131">
        <f t="shared" si="51"/>
        <v>551.69016349771459</v>
      </c>
      <c r="P148" s="71"/>
      <c r="Q148" s="71"/>
      <c r="R148" s="71"/>
      <c r="S148" s="71"/>
      <c r="T148" s="71"/>
      <c r="U148" s="71"/>
    </row>
    <row r="149" spans="1:21">
      <c r="A149" s="64"/>
      <c r="B149" s="103" t="s">
        <v>305</v>
      </c>
      <c r="C149" s="90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71"/>
      <c r="Q149" s="71"/>
      <c r="R149" s="71"/>
      <c r="S149" s="71"/>
      <c r="T149" s="71"/>
      <c r="U149" s="71"/>
    </row>
    <row r="150" spans="1:21">
      <c r="A150" s="64"/>
      <c r="B150" s="108"/>
      <c r="C150" s="118">
        <v>15</v>
      </c>
      <c r="D150" s="131">
        <f t="shared" ref="D150:O150" si="52">+D22/D85</f>
        <v>15.54298398560773</v>
      </c>
      <c r="E150" s="131">
        <f t="shared" si="52"/>
        <v>15.483150456411103</v>
      </c>
      <c r="F150" s="131">
        <f t="shared" si="52"/>
        <v>15.501825213432671</v>
      </c>
      <c r="G150" s="131">
        <f t="shared" si="52"/>
        <v>15.535128950429266</v>
      </c>
      <c r="H150" s="131">
        <f t="shared" si="52"/>
        <v>15.534676343889171</v>
      </c>
      <c r="I150" s="131">
        <f t="shared" si="52"/>
        <v>15.578852947626476</v>
      </c>
      <c r="J150" s="131">
        <f t="shared" si="52"/>
        <v>15.569850256504655</v>
      </c>
      <c r="K150" s="131">
        <f t="shared" si="52"/>
        <v>15.501187886098968</v>
      </c>
      <c r="L150" s="131">
        <f t="shared" si="52"/>
        <v>15.449532634734586</v>
      </c>
      <c r="M150" s="131">
        <f t="shared" si="52"/>
        <v>15.468764343762343</v>
      </c>
      <c r="N150" s="131">
        <f t="shared" si="52"/>
        <v>15.481284393467773</v>
      </c>
      <c r="O150" s="131">
        <f t="shared" si="52"/>
        <v>15.469116127469871</v>
      </c>
      <c r="P150" s="71"/>
      <c r="Q150" s="71"/>
      <c r="R150" s="71"/>
      <c r="S150" s="71"/>
      <c r="T150" s="71"/>
      <c r="U150" s="71"/>
    </row>
    <row r="151" spans="1:21">
      <c r="A151" s="64"/>
      <c r="B151" s="108"/>
      <c r="C151" s="118">
        <v>51</v>
      </c>
      <c r="D151" s="131">
        <f t="shared" ref="D151:O151" si="53">+D23/D86</f>
        <v>311.00632857442656</v>
      </c>
      <c r="E151" s="131">
        <f t="shared" si="53"/>
        <v>304.98928685831942</v>
      </c>
      <c r="F151" s="131">
        <f t="shared" si="53"/>
        <v>304.88129358110046</v>
      </c>
      <c r="G151" s="131">
        <f t="shared" si="53"/>
        <v>305.28436888600396</v>
      </c>
      <c r="H151" s="131">
        <f t="shared" si="53"/>
        <v>306.13619483429073</v>
      </c>
      <c r="I151" s="131">
        <f t="shared" si="53"/>
        <v>306.40633226116194</v>
      </c>
      <c r="J151" s="131">
        <f t="shared" si="53"/>
        <v>307.25482284739707</v>
      </c>
      <c r="K151" s="131">
        <f t="shared" si="53"/>
        <v>307.61228543248887</v>
      </c>
      <c r="L151" s="131">
        <f t="shared" si="53"/>
        <v>307.77185185758083</v>
      </c>
      <c r="M151" s="131">
        <f t="shared" si="53"/>
        <v>309.44381578675768</v>
      </c>
      <c r="N151" s="131">
        <f t="shared" si="53"/>
        <v>309.32615660407276</v>
      </c>
      <c r="O151" s="131">
        <f t="shared" si="53"/>
        <v>309.39176699024256</v>
      </c>
      <c r="P151" s="71"/>
      <c r="Q151" s="71"/>
      <c r="R151" s="71"/>
      <c r="S151" s="71"/>
      <c r="T151" s="71"/>
      <c r="U151" s="71"/>
    </row>
    <row r="152" spans="1:21">
      <c r="A152" s="64"/>
      <c r="B152" s="108"/>
      <c r="C152" s="118">
        <v>52</v>
      </c>
      <c r="D152" s="131">
        <f t="shared" ref="D152:O152" si="54">+D24/D87</f>
        <v>221.86890911088051</v>
      </c>
      <c r="E152" s="131">
        <f t="shared" si="54"/>
        <v>221.30490907076097</v>
      </c>
      <c r="F152" s="131">
        <f t="shared" si="54"/>
        <v>221.30490907076097</v>
      </c>
      <c r="G152" s="131">
        <f t="shared" si="54"/>
        <v>221.30490907076097</v>
      </c>
      <c r="H152" s="131">
        <f t="shared" si="54"/>
        <v>221.30490907076097</v>
      </c>
      <c r="I152" s="131">
        <f t="shared" si="54"/>
        <v>221.27766436643822</v>
      </c>
      <c r="J152" s="131">
        <f t="shared" si="54"/>
        <v>219.11906161566463</v>
      </c>
      <c r="K152" s="131">
        <f t="shared" si="54"/>
        <v>212.98986167963938</v>
      </c>
      <c r="L152" s="131">
        <f t="shared" si="54"/>
        <v>212.74536849773364</v>
      </c>
      <c r="M152" s="131">
        <f t="shared" si="54"/>
        <v>208.93304927770305</v>
      </c>
      <c r="N152" s="131">
        <f t="shared" si="54"/>
        <v>209.97469576013785</v>
      </c>
      <c r="O152" s="131">
        <f t="shared" si="54"/>
        <v>216.00384936994868</v>
      </c>
      <c r="P152" s="71"/>
      <c r="Q152" s="71"/>
      <c r="R152" s="177"/>
      <c r="S152" s="71"/>
      <c r="T152" s="71"/>
      <c r="U152" s="71"/>
    </row>
    <row r="153" spans="1:21">
      <c r="A153" s="64"/>
      <c r="B153" s="108"/>
      <c r="C153" s="118">
        <v>53</v>
      </c>
      <c r="D153" s="131">
        <f t="shared" ref="D153:O153" si="55">+D25/D88</f>
        <v>105.90826192357329</v>
      </c>
      <c r="E153" s="131">
        <f t="shared" si="55"/>
        <v>107.65433068650634</v>
      </c>
      <c r="F153" s="131">
        <f t="shared" si="55"/>
        <v>110.73966276664</v>
      </c>
      <c r="G153" s="131">
        <f t="shared" si="55"/>
        <v>113.70575671577967</v>
      </c>
      <c r="H153" s="131">
        <f t="shared" si="55"/>
        <v>117.3819947019596</v>
      </c>
      <c r="I153" s="131">
        <f t="shared" si="55"/>
        <v>121.72329499007394</v>
      </c>
      <c r="J153" s="131">
        <f t="shared" si="55"/>
        <v>121.81414309881978</v>
      </c>
      <c r="K153" s="131">
        <f t="shared" si="55"/>
        <v>116.64509553900527</v>
      </c>
      <c r="L153" s="131">
        <f t="shared" si="55"/>
        <v>113.33937520390322</v>
      </c>
      <c r="M153" s="131">
        <f t="shared" si="55"/>
        <v>109.96496532295035</v>
      </c>
      <c r="N153" s="131">
        <f t="shared" si="55"/>
        <v>106.60898468237117</v>
      </c>
      <c r="O153" s="131">
        <f t="shared" si="55"/>
        <v>103.56348786996674</v>
      </c>
      <c r="P153" s="71"/>
      <c r="Q153" s="71"/>
      <c r="R153" s="177"/>
      <c r="S153" s="71"/>
      <c r="T153" s="71"/>
      <c r="U153" s="71"/>
    </row>
    <row r="154" spans="1:21">
      <c r="A154" s="64"/>
      <c r="B154" s="108"/>
      <c r="C154" s="118">
        <v>57</v>
      </c>
      <c r="D154" s="132">
        <f t="shared" ref="D154:O154" si="56">+D26/D89</f>
        <v>445.35757022468687</v>
      </c>
      <c r="E154" s="132">
        <f t="shared" si="56"/>
        <v>445.35757022468687</v>
      </c>
      <c r="F154" s="132">
        <f t="shared" si="56"/>
        <v>445.35757022468687</v>
      </c>
      <c r="G154" s="132">
        <f t="shared" si="56"/>
        <v>445.35757022468687</v>
      </c>
      <c r="H154" s="132">
        <f t="shared" si="56"/>
        <v>445.35757022468687</v>
      </c>
      <c r="I154" s="132">
        <f t="shared" si="56"/>
        <v>444.72733849648142</v>
      </c>
      <c r="J154" s="132">
        <f t="shared" si="56"/>
        <v>444.30056112959306</v>
      </c>
      <c r="K154" s="132">
        <f t="shared" si="56"/>
        <v>443.79078498680167</v>
      </c>
      <c r="L154" s="132">
        <f t="shared" si="56"/>
        <v>438.24775875852532</v>
      </c>
      <c r="M154" s="132">
        <f t="shared" si="56"/>
        <v>438.21704190403369</v>
      </c>
      <c r="N154" s="132">
        <f t="shared" si="56"/>
        <v>443.26231767266262</v>
      </c>
      <c r="O154" s="132">
        <f t="shared" si="56"/>
        <v>443.24712535443194</v>
      </c>
      <c r="P154" s="71"/>
      <c r="Q154" s="71"/>
      <c r="R154" s="177"/>
      <c r="S154" s="71"/>
      <c r="T154" s="71"/>
      <c r="U154" s="71"/>
    </row>
    <row r="155" spans="1:21">
      <c r="A155" s="64"/>
      <c r="B155" s="103" t="s">
        <v>305</v>
      </c>
      <c r="C155" s="108"/>
      <c r="D155" s="131">
        <f t="shared" ref="D155:O155" si="57">+D27/D90</f>
        <v>44.540204328829873</v>
      </c>
      <c r="E155" s="131">
        <f t="shared" si="57"/>
        <v>44.505934757778988</v>
      </c>
      <c r="F155" s="131">
        <f t="shared" si="57"/>
        <v>44.791095813271042</v>
      </c>
      <c r="G155" s="131">
        <f t="shared" si="57"/>
        <v>45.133107349420442</v>
      </c>
      <c r="H155" s="131">
        <f t="shared" si="57"/>
        <v>45.473552169699104</v>
      </c>
      <c r="I155" s="131">
        <f t="shared" si="57"/>
        <v>45.882349350370504</v>
      </c>
      <c r="J155" s="131">
        <f t="shared" si="57"/>
        <v>45.928152322522749</v>
      </c>
      <c r="K155" s="131">
        <f t="shared" si="57"/>
        <v>45.457943086310998</v>
      </c>
      <c r="L155" s="131">
        <f t="shared" si="57"/>
        <v>45.154694057092343</v>
      </c>
      <c r="M155" s="131">
        <f t="shared" si="57"/>
        <v>45.00674526291882</v>
      </c>
      <c r="N155" s="131">
        <f t="shared" si="57"/>
        <v>44.786411229332288</v>
      </c>
      <c r="O155" s="131">
        <f t="shared" si="57"/>
        <v>44.605829855178847</v>
      </c>
      <c r="P155" s="71"/>
      <c r="Q155" s="71"/>
      <c r="R155" s="177"/>
      <c r="S155" s="71"/>
      <c r="T155" s="71"/>
      <c r="U155" s="71"/>
    </row>
    <row r="156" spans="1:21">
      <c r="A156" s="64"/>
      <c r="B156" s="108"/>
      <c r="C156" s="10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71"/>
      <c r="Q156" s="71"/>
      <c r="R156" s="177"/>
      <c r="S156" s="71"/>
      <c r="T156" s="71"/>
      <c r="U156" s="71"/>
    </row>
    <row r="157" spans="1:21">
      <c r="A157" s="64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</row>
    <row r="158" spans="1:21">
      <c r="A158" s="64"/>
      <c r="B158" s="71" t="s">
        <v>318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</row>
    <row r="159" spans="1:21">
      <c r="A159" s="64"/>
      <c r="B159" s="71" t="s">
        <v>319</v>
      </c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</row>
    <row r="160" spans="1:21">
      <c r="A160" s="64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</row>
    <row r="161" spans="1:22">
      <c r="A161" s="64"/>
      <c r="B161" s="105" t="s">
        <v>298</v>
      </c>
      <c r="C161" s="105" t="s">
        <v>299</v>
      </c>
      <c r="D161" s="30">
        <v>201107</v>
      </c>
      <c r="E161" s="30">
        <v>201108</v>
      </c>
      <c r="F161" s="30">
        <v>201109</v>
      </c>
      <c r="G161" s="30">
        <v>201110</v>
      </c>
      <c r="H161" s="30">
        <v>201111</v>
      </c>
      <c r="I161" s="30">
        <v>201112</v>
      </c>
      <c r="J161" s="30">
        <v>201201</v>
      </c>
      <c r="K161" s="30">
        <v>201202</v>
      </c>
      <c r="L161" s="30">
        <v>201203</v>
      </c>
      <c r="M161" s="30">
        <v>201204</v>
      </c>
      <c r="N161" s="30">
        <v>201205</v>
      </c>
      <c r="O161" s="30">
        <v>201206</v>
      </c>
      <c r="P161" s="71"/>
      <c r="R161" s="71"/>
      <c r="S161" s="71"/>
      <c r="T161" s="71"/>
      <c r="U161" s="71"/>
      <c r="V161" s="71"/>
    </row>
    <row r="162" spans="1:22">
      <c r="A162" s="64"/>
      <c r="B162" s="103" t="s">
        <v>302</v>
      </c>
      <c r="C162" s="66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R162" s="71"/>
      <c r="S162" s="71"/>
      <c r="T162" s="71"/>
      <c r="U162" s="71"/>
      <c r="V162" s="71"/>
    </row>
    <row r="163" spans="1:22">
      <c r="A163" s="64"/>
      <c r="B163" s="108"/>
      <c r="C163" s="109">
        <v>16</v>
      </c>
      <c r="D163" s="131">
        <f t="shared" ref="D163:O163" si="58">+D102*D136</f>
        <v>-17260.681453832447</v>
      </c>
      <c r="E163" s="131">
        <f t="shared" si="58"/>
        <v>-32572.67221769199</v>
      </c>
      <c r="F163" s="131">
        <f t="shared" si="58"/>
        <v>-40803.334681813729</v>
      </c>
      <c r="G163" s="131">
        <f t="shared" si="58"/>
        <v>-8282.4944112369885</v>
      </c>
      <c r="H163" s="131">
        <f t="shared" si="58"/>
        <v>-8669.1032655645067</v>
      </c>
      <c r="I163" s="131">
        <f t="shared" si="58"/>
        <v>-110732.08537946979</v>
      </c>
      <c r="J163" s="131">
        <f t="shared" si="58"/>
        <v>-143723.7025398179</v>
      </c>
      <c r="K163" s="131">
        <f t="shared" si="58"/>
        <v>-58860.640847866285</v>
      </c>
      <c r="L163" s="131">
        <f t="shared" si="58"/>
        <v>-1990.6914867731855</v>
      </c>
      <c r="M163" s="131">
        <f t="shared" si="58"/>
        <v>10277.783924305442</v>
      </c>
      <c r="N163" s="131">
        <f t="shared" si="58"/>
        <v>11190.244813958077</v>
      </c>
      <c r="O163" s="131">
        <f t="shared" si="58"/>
        <v>6097.2437120096538</v>
      </c>
      <c r="P163" s="133">
        <f t="shared" ref="P163:P165" si="59">SUM(D163:O163)</f>
        <v>-395330.13383379369</v>
      </c>
      <c r="R163" s="71"/>
      <c r="S163" s="71"/>
      <c r="T163" s="71"/>
      <c r="U163" s="71"/>
      <c r="V163" s="71"/>
    </row>
    <row r="164" spans="1:22">
      <c r="A164" s="64"/>
      <c r="B164" s="108"/>
      <c r="C164" s="109">
        <v>17</v>
      </c>
      <c r="D164" s="131">
        <f t="shared" ref="D164:O164" si="60">+D103*D137</f>
        <v>20955.956283659445</v>
      </c>
      <c r="E164" s="131">
        <f t="shared" si="60"/>
        <v>26610.817517275314</v>
      </c>
      <c r="F164" s="131">
        <f t="shared" si="60"/>
        <v>29675.649060626511</v>
      </c>
      <c r="G164" s="131">
        <f t="shared" si="60"/>
        <v>6477.6917707621915</v>
      </c>
      <c r="H164" s="131">
        <f t="shared" si="60"/>
        <v>94.211301737121772</v>
      </c>
      <c r="I164" s="131">
        <f t="shared" si="60"/>
        <v>47266.595220060823</v>
      </c>
      <c r="J164" s="131">
        <f t="shared" si="60"/>
        <v>57294.025880013993</v>
      </c>
      <c r="K164" s="131">
        <f t="shared" si="60"/>
        <v>19469.653869052545</v>
      </c>
      <c r="L164" s="131">
        <f t="shared" si="60"/>
        <v>-11163.082227400266</v>
      </c>
      <c r="M164" s="131">
        <f t="shared" si="60"/>
        <v>-18136.338644675991</v>
      </c>
      <c r="N164" s="131">
        <f t="shared" si="60"/>
        <v>-9382.3275839982289</v>
      </c>
      <c r="O164" s="131">
        <f t="shared" si="60"/>
        <v>-2564.3711433227122</v>
      </c>
      <c r="P164" s="133">
        <f t="shared" si="59"/>
        <v>166598.48130379073</v>
      </c>
      <c r="R164" s="71"/>
      <c r="S164" s="71"/>
      <c r="T164" s="71"/>
      <c r="U164" s="71"/>
      <c r="V164" s="71"/>
    </row>
    <row r="165" spans="1:22">
      <c r="A165" s="64"/>
      <c r="B165" s="108"/>
      <c r="C165" s="109">
        <v>18</v>
      </c>
      <c r="D165" s="132">
        <f t="shared" ref="D165:O165" si="61">+D104*D138</f>
        <v>-983.53724868371864</v>
      </c>
      <c r="E165" s="132">
        <f t="shared" si="61"/>
        <v>-884.69227073055947</v>
      </c>
      <c r="F165" s="132">
        <f t="shared" si="61"/>
        <v>-748.23089742913203</v>
      </c>
      <c r="G165" s="132">
        <f t="shared" si="61"/>
        <v>-692.43498817221086</v>
      </c>
      <c r="H165" s="132">
        <f t="shared" si="61"/>
        <v>-402.88106146633123</v>
      </c>
      <c r="I165" s="132">
        <f t="shared" si="61"/>
        <v>-68.62091091237059</v>
      </c>
      <c r="J165" s="132">
        <f t="shared" si="61"/>
        <v>-440.10765252280373</v>
      </c>
      <c r="K165" s="132">
        <f t="shared" si="61"/>
        <v>-474.64169594427841</v>
      </c>
      <c r="L165" s="132">
        <f t="shared" si="61"/>
        <v>-346.89454594995726</v>
      </c>
      <c r="M165" s="132">
        <f t="shared" si="61"/>
        <v>-205.6090695625895</v>
      </c>
      <c r="N165" s="132">
        <f t="shared" si="61"/>
        <v>-81.191929764285547</v>
      </c>
      <c r="O165" s="132">
        <f t="shared" si="61"/>
        <v>-39.374524558034331</v>
      </c>
      <c r="P165" s="134">
        <f t="shared" si="59"/>
        <v>-5368.2167956962712</v>
      </c>
      <c r="R165" s="177" t="s">
        <v>478</v>
      </c>
      <c r="S165" s="71"/>
      <c r="T165" s="71"/>
      <c r="U165" s="71"/>
      <c r="V165" s="71"/>
    </row>
    <row r="166" spans="1:22">
      <c r="A166" s="64"/>
      <c r="B166" s="103" t="s">
        <v>302</v>
      </c>
      <c r="C166" s="114"/>
      <c r="D166" s="131">
        <f>SUM(D163:D165)</f>
        <v>2711.7375811432794</v>
      </c>
      <c r="E166" s="131">
        <f t="shared" ref="E166:O166" si="62">SUM(E163:E165)</f>
        <v>-6846.5469711472351</v>
      </c>
      <c r="F166" s="131">
        <f t="shared" si="62"/>
        <v>-11875.91651861635</v>
      </c>
      <c r="G166" s="131">
        <f t="shared" si="62"/>
        <v>-2497.237628647008</v>
      </c>
      <c r="H166" s="131">
        <f t="shared" si="62"/>
        <v>-8977.7730252937163</v>
      </c>
      <c r="I166" s="131">
        <f t="shared" si="62"/>
        <v>-63534.111070321342</v>
      </c>
      <c r="J166" s="131">
        <f t="shared" si="62"/>
        <v>-86869.784312326694</v>
      </c>
      <c r="K166" s="131">
        <f t="shared" si="62"/>
        <v>-39865.628674758023</v>
      </c>
      <c r="L166" s="131">
        <f t="shared" si="62"/>
        <v>-13500.668260123408</v>
      </c>
      <c r="M166" s="131">
        <f t="shared" si="62"/>
        <v>-8064.1637899331381</v>
      </c>
      <c r="N166" s="131">
        <f t="shared" si="62"/>
        <v>1726.725300195563</v>
      </c>
      <c r="O166" s="131">
        <f t="shared" si="62"/>
        <v>3493.4980441289072</v>
      </c>
      <c r="P166" s="133">
        <f>SUM(D166:O166)</f>
        <v>-234099.86932569914</v>
      </c>
      <c r="R166" s="177"/>
      <c r="S166" s="71"/>
      <c r="T166" s="71"/>
      <c r="U166" s="71"/>
      <c r="V166" s="135">
        <f>+W11</f>
        <v>-352286.43442997336</v>
      </c>
    </row>
    <row r="167" spans="1:22">
      <c r="A167" s="64"/>
      <c r="B167" s="103" t="s">
        <v>304</v>
      </c>
      <c r="C167" s="114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71"/>
      <c r="R167" s="177"/>
      <c r="S167" s="71"/>
      <c r="T167" s="71"/>
      <c r="U167" s="71"/>
      <c r="V167" s="71"/>
    </row>
    <row r="168" spans="1:22">
      <c r="A168" s="64"/>
      <c r="B168" s="108"/>
      <c r="C168" s="109">
        <v>24</v>
      </c>
      <c r="D168" s="131">
        <f t="shared" ref="D168:O168" si="63">+D107*D141</f>
        <v>103487.42512773027</v>
      </c>
      <c r="E168" s="131">
        <f t="shared" si="63"/>
        <v>92677.580381737323</v>
      </c>
      <c r="F168" s="131">
        <f t="shared" si="63"/>
        <v>91731.397752343677</v>
      </c>
      <c r="G168" s="131">
        <f t="shared" si="63"/>
        <v>90794.587501488772</v>
      </c>
      <c r="H168" s="131">
        <f t="shared" si="63"/>
        <v>85982.34540384807</v>
      </c>
      <c r="I168" s="131">
        <f t="shared" si="63"/>
        <v>82812.932893148653</v>
      </c>
      <c r="J168" s="131">
        <f t="shared" si="63"/>
        <v>78864.58847224935</v>
      </c>
      <c r="K168" s="131">
        <f t="shared" si="63"/>
        <v>86397.348491646742</v>
      </c>
      <c r="L168" s="131">
        <f t="shared" si="63"/>
        <v>83695.264570104628</v>
      </c>
      <c r="M168" s="131">
        <f t="shared" si="63"/>
        <v>78503.286795153777</v>
      </c>
      <c r="N168" s="131">
        <f t="shared" si="63"/>
        <v>75932.941257475613</v>
      </c>
      <c r="O168" s="131">
        <f t="shared" si="63"/>
        <v>39827.697561250294</v>
      </c>
      <c r="P168" s="133">
        <f t="shared" ref="P168:P174" si="64">SUM(D168:O168)</f>
        <v>990707.39620817709</v>
      </c>
      <c r="R168" s="177"/>
      <c r="S168" s="71"/>
      <c r="T168" s="71"/>
      <c r="U168" s="71"/>
      <c r="V168" s="135">
        <f t="shared" ref="V168:V184" si="65">+W13</f>
        <v>-857988.58950899541</v>
      </c>
    </row>
    <row r="169" spans="1:22">
      <c r="A169" s="64"/>
      <c r="B169" s="108"/>
      <c r="C169" s="109">
        <v>33</v>
      </c>
      <c r="D169" s="131">
        <f t="shared" ref="D169:O169" si="66">+D108*D142</f>
        <v>0</v>
      </c>
      <c r="E169" s="131">
        <f t="shared" si="66"/>
        <v>0</v>
      </c>
      <c r="F169" s="131">
        <f t="shared" si="66"/>
        <v>0</v>
      </c>
      <c r="G169" s="131">
        <f t="shared" si="66"/>
        <v>0</v>
      </c>
      <c r="H169" s="131">
        <f t="shared" si="66"/>
        <v>0</v>
      </c>
      <c r="I169" s="131">
        <f t="shared" si="66"/>
        <v>0</v>
      </c>
      <c r="J169" s="131">
        <f t="shared" si="66"/>
        <v>0</v>
      </c>
      <c r="K169" s="131">
        <f t="shared" si="66"/>
        <v>0</v>
      </c>
      <c r="L169" s="131">
        <f t="shared" si="66"/>
        <v>0</v>
      </c>
      <c r="M169" s="131">
        <f t="shared" si="66"/>
        <v>0</v>
      </c>
      <c r="N169" s="131">
        <f t="shared" si="66"/>
        <v>0</v>
      </c>
      <c r="O169" s="131">
        <f t="shared" si="66"/>
        <v>0</v>
      </c>
      <c r="P169" s="133">
        <f t="shared" si="64"/>
        <v>0</v>
      </c>
      <c r="R169" s="177"/>
      <c r="S169" s="71"/>
      <c r="T169" s="71"/>
      <c r="U169" s="71"/>
      <c r="V169" s="135">
        <f t="shared" si="65"/>
        <v>0</v>
      </c>
    </row>
    <row r="170" spans="1:22">
      <c r="A170" s="64"/>
      <c r="B170" s="108"/>
      <c r="C170" s="109">
        <v>36</v>
      </c>
      <c r="D170" s="131">
        <f t="shared" ref="D170:O170" si="67">+D109*D143</f>
        <v>10516.558989126406</v>
      </c>
      <c r="E170" s="131">
        <f t="shared" si="67"/>
        <v>36755.75748897544</v>
      </c>
      <c r="F170" s="131">
        <f t="shared" si="67"/>
        <v>65767.950361380048</v>
      </c>
      <c r="G170" s="131">
        <f t="shared" si="67"/>
        <v>86293.208516506435</v>
      </c>
      <c r="H170" s="131">
        <f t="shared" si="67"/>
        <v>105393.15596179168</v>
      </c>
      <c r="I170" s="131">
        <f t="shared" si="67"/>
        <v>89715.097928968244</v>
      </c>
      <c r="J170" s="131">
        <f t="shared" si="67"/>
        <v>65864.579176985295</v>
      </c>
      <c r="K170" s="131">
        <f t="shared" si="67"/>
        <v>72282.238314071539</v>
      </c>
      <c r="L170" s="131">
        <f t="shared" si="67"/>
        <v>83560.742125430566</v>
      </c>
      <c r="M170" s="131">
        <f t="shared" si="67"/>
        <v>80804.57525529238</v>
      </c>
      <c r="N170" s="131">
        <f t="shared" si="67"/>
        <v>82587.893644216136</v>
      </c>
      <c r="O170" s="131">
        <f t="shared" si="67"/>
        <v>46329.781018556481</v>
      </c>
      <c r="P170" s="133">
        <f t="shared" si="64"/>
        <v>825871.53878130065</v>
      </c>
      <c r="R170" s="177"/>
      <c r="S170" s="71"/>
      <c r="T170" s="71"/>
      <c r="U170" s="71"/>
      <c r="V170" s="135">
        <f t="shared" si="65"/>
        <v>535352.50343035161</v>
      </c>
    </row>
    <row r="171" spans="1:22">
      <c r="A171" s="64"/>
      <c r="B171" s="108"/>
      <c r="C171" s="109">
        <v>40</v>
      </c>
      <c r="D171" s="131">
        <f t="shared" ref="D171:O171" si="68">+D110*D144</f>
        <v>1771.1558620973826</v>
      </c>
      <c r="E171" s="131">
        <f t="shared" si="68"/>
        <v>0</v>
      </c>
      <c r="F171" s="131">
        <f t="shared" si="68"/>
        <v>0</v>
      </c>
      <c r="G171" s="131">
        <f t="shared" si="68"/>
        <v>0</v>
      </c>
      <c r="H171" s="131">
        <f t="shared" si="68"/>
        <v>0</v>
      </c>
      <c r="I171" s="131">
        <f t="shared" si="68"/>
        <v>0</v>
      </c>
      <c r="J171" s="131">
        <f t="shared" si="68"/>
        <v>0</v>
      </c>
      <c r="K171" s="131">
        <f t="shared" si="68"/>
        <v>0</v>
      </c>
      <c r="L171" s="131">
        <f t="shared" si="68"/>
        <v>0</v>
      </c>
      <c r="M171" s="131">
        <f t="shared" si="68"/>
        <v>0</v>
      </c>
      <c r="N171" s="131">
        <f t="shared" si="68"/>
        <v>0</v>
      </c>
      <c r="O171" s="131">
        <f t="shared" si="68"/>
        <v>0</v>
      </c>
      <c r="P171" s="133">
        <f t="shared" si="64"/>
        <v>1771.1558620973826</v>
      </c>
      <c r="R171" s="177"/>
      <c r="S171" s="71"/>
      <c r="T171" s="71"/>
      <c r="U171" s="71"/>
      <c r="V171" s="135">
        <f t="shared" si="65"/>
        <v>376966.26743268967</v>
      </c>
    </row>
    <row r="172" spans="1:22">
      <c r="A172" s="64"/>
      <c r="B172" s="108"/>
      <c r="C172" s="109">
        <v>47</v>
      </c>
      <c r="D172" s="131">
        <f t="shared" ref="D172:O172" si="69">+D111*D145</f>
        <v>0</v>
      </c>
      <c r="E172" s="131">
        <f t="shared" si="69"/>
        <v>0</v>
      </c>
      <c r="F172" s="131">
        <f t="shared" si="69"/>
        <v>0</v>
      </c>
      <c r="G172" s="131">
        <f t="shared" si="69"/>
        <v>0</v>
      </c>
      <c r="H172" s="131">
        <f t="shared" si="69"/>
        <v>0</v>
      </c>
      <c r="I172" s="131">
        <f t="shared" si="69"/>
        <v>0</v>
      </c>
      <c r="J172" s="131">
        <f t="shared" si="69"/>
        <v>0</v>
      </c>
      <c r="K172" s="131">
        <f t="shared" si="69"/>
        <v>0</v>
      </c>
      <c r="L172" s="131">
        <f t="shared" si="69"/>
        <v>0</v>
      </c>
      <c r="M172" s="131">
        <f t="shared" si="69"/>
        <v>0</v>
      </c>
      <c r="N172" s="131">
        <f t="shared" si="69"/>
        <v>0</v>
      </c>
      <c r="O172" s="131">
        <f t="shared" si="69"/>
        <v>0</v>
      </c>
      <c r="P172" s="133">
        <f t="shared" si="64"/>
        <v>0</v>
      </c>
      <c r="R172" s="177"/>
      <c r="S172" s="71"/>
      <c r="T172" s="71"/>
      <c r="U172" s="71"/>
      <c r="V172" s="135">
        <f t="shared" si="65"/>
        <v>-27396.903500000015</v>
      </c>
    </row>
    <row r="173" spans="1:22">
      <c r="A173" s="64"/>
      <c r="B173" s="108"/>
      <c r="C173" s="109">
        <v>48</v>
      </c>
      <c r="D173" s="131">
        <f t="shared" ref="D173:O173" si="70">+D112*D146</f>
        <v>-188715.71080998148</v>
      </c>
      <c r="E173" s="131">
        <f t="shared" si="70"/>
        <v>-261587.41417590313</v>
      </c>
      <c r="F173" s="131">
        <f t="shared" si="70"/>
        <v>-284021.79702912411</v>
      </c>
      <c r="G173" s="131">
        <f t="shared" si="70"/>
        <v>-317311.76512802835</v>
      </c>
      <c r="H173" s="131">
        <f t="shared" si="70"/>
        <v>-386173.61297062284</v>
      </c>
      <c r="I173" s="131">
        <f t="shared" si="70"/>
        <v>-330866.5769700791</v>
      </c>
      <c r="J173" s="131">
        <f t="shared" si="70"/>
        <v>-272388.80203240894</v>
      </c>
      <c r="K173" s="131">
        <f t="shared" si="70"/>
        <v>-273019.03096438583</v>
      </c>
      <c r="L173" s="131">
        <f t="shared" si="70"/>
        <v>-292293.76006609114</v>
      </c>
      <c r="M173" s="131">
        <f t="shared" si="70"/>
        <v>-291727.87684425793</v>
      </c>
      <c r="N173" s="131">
        <f t="shared" si="70"/>
        <v>-247164.21473508631</v>
      </c>
      <c r="O173" s="131">
        <f t="shared" si="70"/>
        <v>-139952.04776308849</v>
      </c>
      <c r="P173" s="133">
        <f t="shared" si="64"/>
        <v>-3285222.6094890581</v>
      </c>
      <c r="R173" s="177"/>
      <c r="S173" s="71"/>
      <c r="T173" s="71"/>
      <c r="U173" s="71"/>
      <c r="V173" s="135">
        <f t="shared" si="65"/>
        <v>-3297800.5157497078</v>
      </c>
    </row>
    <row r="174" spans="1:22">
      <c r="A174" s="64"/>
      <c r="B174" s="108"/>
      <c r="C174" s="109">
        <v>54</v>
      </c>
      <c r="D174" s="132">
        <f t="shared" ref="D174:O174" si="71">+D113*D147</f>
        <v>86.206906858568473</v>
      </c>
      <c r="E174" s="132">
        <f t="shared" si="71"/>
        <v>73.443693133843539</v>
      </c>
      <c r="F174" s="132">
        <f t="shared" si="71"/>
        <v>55.016604751009147</v>
      </c>
      <c r="G174" s="132">
        <f t="shared" si="71"/>
        <v>91.522890479835937</v>
      </c>
      <c r="H174" s="132">
        <f t="shared" si="71"/>
        <v>1.5702217518847732</v>
      </c>
      <c r="I174" s="132">
        <f t="shared" si="71"/>
        <v>-64.424201802909934</v>
      </c>
      <c r="J174" s="132">
        <f t="shared" si="71"/>
        <v>-44.767100456757397</v>
      </c>
      <c r="K174" s="132">
        <f t="shared" si="71"/>
        <v>-40.958065322073701</v>
      </c>
      <c r="L174" s="132">
        <f t="shared" si="71"/>
        <v>-92.561493513231355</v>
      </c>
      <c r="M174" s="132">
        <f t="shared" si="71"/>
        <v>-42.734807324037611</v>
      </c>
      <c r="N174" s="132">
        <f t="shared" si="71"/>
        <v>0</v>
      </c>
      <c r="O174" s="132">
        <f t="shared" si="71"/>
        <v>0</v>
      </c>
      <c r="P174" s="134">
        <f t="shared" si="64"/>
        <v>22.314648556131921</v>
      </c>
      <c r="R174" s="177"/>
      <c r="S174" s="71"/>
      <c r="T174" s="71"/>
      <c r="U174" s="71"/>
      <c r="V174" s="136">
        <f t="shared" si="65"/>
        <v>-2551.4930599999971</v>
      </c>
    </row>
    <row r="175" spans="1:22">
      <c r="A175" s="64"/>
      <c r="B175" s="103" t="s">
        <v>304</v>
      </c>
      <c r="C175" s="90"/>
      <c r="D175" s="131">
        <f>SUM(D168:D174)</f>
        <v>-72854.363924168851</v>
      </c>
      <c r="E175" s="131">
        <f t="shared" ref="E175:O175" si="72">SUM(E168:E174)</f>
        <v>-132080.63261205651</v>
      </c>
      <c r="F175" s="131">
        <f t="shared" si="72"/>
        <v>-126467.43231064935</v>
      </c>
      <c r="G175" s="131">
        <f t="shared" si="72"/>
        <v>-140132.4462195533</v>
      </c>
      <c r="H175" s="131">
        <f t="shared" si="72"/>
        <v>-194796.5413832312</v>
      </c>
      <c r="I175" s="131">
        <f t="shared" si="72"/>
        <v>-158402.97034976512</v>
      </c>
      <c r="J175" s="131">
        <f t="shared" si="72"/>
        <v>-127704.40148363105</v>
      </c>
      <c r="K175" s="131">
        <f t="shared" si="72"/>
        <v>-114380.40222398963</v>
      </c>
      <c r="L175" s="131">
        <f t="shared" si="72"/>
        <v>-125130.31486406917</v>
      </c>
      <c r="M175" s="131">
        <f t="shared" si="72"/>
        <v>-132462.74960113582</v>
      </c>
      <c r="N175" s="131">
        <f t="shared" si="72"/>
        <v>-88643.379833394545</v>
      </c>
      <c r="O175" s="131">
        <f t="shared" si="72"/>
        <v>-53794.56918328171</v>
      </c>
      <c r="P175" s="133">
        <f>SUM(D175:O175)</f>
        <v>-1466850.203988926</v>
      </c>
      <c r="R175" s="177"/>
      <c r="S175" s="71"/>
      <c r="T175" s="71"/>
      <c r="U175" s="71"/>
      <c r="V175" s="135">
        <f t="shared" si="65"/>
        <v>-3273418.7309556617</v>
      </c>
    </row>
    <row r="176" spans="1:22">
      <c r="A176" s="64"/>
      <c r="B176" s="103" t="s">
        <v>305</v>
      </c>
      <c r="C176" s="90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71"/>
      <c r="R176" s="177"/>
      <c r="S176" s="71"/>
      <c r="T176" s="71"/>
      <c r="U176" s="71"/>
      <c r="V176" s="135">
        <f t="shared" si="65"/>
        <v>0</v>
      </c>
    </row>
    <row r="177" spans="1:22">
      <c r="A177" s="64"/>
      <c r="B177" s="108"/>
      <c r="C177" s="118">
        <v>15</v>
      </c>
      <c r="D177" s="131">
        <f t="shared" ref="D177:O177" si="73">+D116*D150</f>
        <v>-155.42983985607731</v>
      </c>
      <c r="E177" s="131">
        <f t="shared" si="73"/>
        <v>-224.50568161796099</v>
      </c>
      <c r="F177" s="131">
        <f t="shared" si="73"/>
        <v>-131.76551431417769</v>
      </c>
      <c r="G177" s="131">
        <f t="shared" si="73"/>
        <v>-54.372951326502431</v>
      </c>
      <c r="H177" s="131">
        <f t="shared" si="73"/>
        <v>-132.04474892305794</v>
      </c>
      <c r="I177" s="131">
        <f t="shared" si="73"/>
        <v>-147.99910300245153</v>
      </c>
      <c r="J177" s="131">
        <f t="shared" si="73"/>
        <v>-155.69850256504654</v>
      </c>
      <c r="K177" s="131">
        <f t="shared" si="73"/>
        <v>-170.51306674708866</v>
      </c>
      <c r="L177" s="131">
        <f t="shared" si="73"/>
        <v>-193.11915793418234</v>
      </c>
      <c r="M177" s="131">
        <f t="shared" si="73"/>
        <v>-185.62517212514811</v>
      </c>
      <c r="N177" s="131">
        <f t="shared" si="73"/>
        <v>-123.85027514774218</v>
      </c>
      <c r="O177" s="131">
        <f t="shared" si="73"/>
        <v>-69.61102257361442</v>
      </c>
      <c r="P177" s="133">
        <f t="shared" ref="P177:P181" si="74">SUM(D177:O177)</f>
        <v>-1744.5350361330502</v>
      </c>
      <c r="R177" s="177"/>
      <c r="S177" s="71"/>
      <c r="T177" s="71"/>
      <c r="U177" s="71"/>
      <c r="V177" s="135">
        <f t="shared" si="65"/>
        <v>2736.1092967313016</v>
      </c>
    </row>
    <row r="178" spans="1:22">
      <c r="A178" s="64"/>
      <c r="B178" s="108"/>
      <c r="C178" s="118">
        <v>51</v>
      </c>
      <c r="D178" s="131">
        <f t="shared" ref="D178:O178" si="75">+D117*D151</f>
        <v>933.01898572327968</v>
      </c>
      <c r="E178" s="131">
        <f t="shared" si="75"/>
        <v>0</v>
      </c>
      <c r="F178" s="131">
        <f t="shared" si="75"/>
        <v>0</v>
      </c>
      <c r="G178" s="131">
        <f t="shared" si="75"/>
        <v>0</v>
      </c>
      <c r="H178" s="131">
        <f t="shared" si="75"/>
        <v>0</v>
      </c>
      <c r="I178" s="131">
        <f t="shared" si="75"/>
        <v>0</v>
      </c>
      <c r="J178" s="131">
        <f t="shared" si="75"/>
        <v>0</v>
      </c>
      <c r="K178" s="131">
        <f t="shared" si="75"/>
        <v>0</v>
      </c>
      <c r="L178" s="131">
        <f t="shared" si="75"/>
        <v>0</v>
      </c>
      <c r="M178" s="131">
        <f t="shared" si="75"/>
        <v>0</v>
      </c>
      <c r="N178" s="131">
        <f t="shared" si="75"/>
        <v>0</v>
      </c>
      <c r="O178" s="131">
        <f t="shared" si="75"/>
        <v>0</v>
      </c>
      <c r="P178" s="133">
        <f t="shared" si="74"/>
        <v>933.01898572327968</v>
      </c>
      <c r="R178" s="177"/>
      <c r="S178" s="71"/>
      <c r="T178" s="71"/>
      <c r="U178" s="71"/>
      <c r="V178" s="135">
        <f t="shared" si="65"/>
        <v>63441.784749966813</v>
      </c>
    </row>
    <row r="179" spans="1:22">
      <c r="A179" s="64"/>
      <c r="B179" s="108"/>
      <c r="C179" s="118">
        <v>52</v>
      </c>
      <c r="D179" s="131">
        <f t="shared" ref="D179:O179" si="76">+D118*D152</f>
        <v>-221.86890911088051</v>
      </c>
      <c r="E179" s="131">
        <f t="shared" si="76"/>
        <v>-221.30490907076097</v>
      </c>
      <c r="F179" s="131">
        <f t="shared" si="76"/>
        <v>-221.30490907076097</v>
      </c>
      <c r="G179" s="131">
        <f t="shared" si="76"/>
        <v>-221.30490907076097</v>
      </c>
      <c r="H179" s="131">
        <f t="shared" si="76"/>
        <v>-221.30490907076097</v>
      </c>
      <c r="I179" s="131">
        <f t="shared" si="76"/>
        <v>-221.27766436643822</v>
      </c>
      <c r="J179" s="131">
        <f t="shared" si="76"/>
        <v>-219.11906161566463</v>
      </c>
      <c r="K179" s="131">
        <f t="shared" si="76"/>
        <v>-212.98986167963938</v>
      </c>
      <c r="L179" s="131">
        <f t="shared" si="76"/>
        <v>-212.74536849773364</v>
      </c>
      <c r="M179" s="131">
        <f t="shared" si="76"/>
        <v>-208.93304927770305</v>
      </c>
      <c r="N179" s="131">
        <f t="shared" si="76"/>
        <v>-104.98734788006892</v>
      </c>
      <c r="O179" s="131">
        <f t="shared" si="76"/>
        <v>0</v>
      </c>
      <c r="P179" s="133">
        <f t="shared" si="74"/>
        <v>-2287.1408987111722</v>
      </c>
      <c r="R179" s="177"/>
      <c r="S179" s="71"/>
      <c r="T179" s="71"/>
      <c r="U179" s="71"/>
      <c r="V179" s="135">
        <f t="shared" si="65"/>
        <v>5709.6134699485992</v>
      </c>
    </row>
    <row r="180" spans="1:22" ht="15.75" customHeight="1">
      <c r="A180" s="64"/>
      <c r="B180" s="108"/>
      <c r="C180" s="118">
        <v>53</v>
      </c>
      <c r="D180" s="131">
        <f t="shared" ref="D180:O180" si="77">+D119*D153</f>
        <v>1059.0826192357329</v>
      </c>
      <c r="E180" s="131">
        <f t="shared" si="77"/>
        <v>1076.5433068650634</v>
      </c>
      <c r="F180" s="131">
        <f t="shared" si="77"/>
        <v>1107.3966276664</v>
      </c>
      <c r="G180" s="131">
        <f t="shared" si="77"/>
        <v>966.4989320841272</v>
      </c>
      <c r="H180" s="131">
        <f t="shared" si="77"/>
        <v>586.90997350979796</v>
      </c>
      <c r="I180" s="131">
        <f t="shared" si="77"/>
        <v>304.30823747518485</v>
      </c>
      <c r="J180" s="131">
        <f t="shared" si="77"/>
        <v>182.72121464822968</v>
      </c>
      <c r="K180" s="131">
        <f t="shared" si="77"/>
        <v>174.96764330850789</v>
      </c>
      <c r="L180" s="131">
        <f t="shared" si="77"/>
        <v>170.00906280585482</v>
      </c>
      <c r="M180" s="131">
        <f t="shared" si="77"/>
        <v>109.96496532295035</v>
      </c>
      <c r="N180" s="131">
        <f t="shared" si="77"/>
        <v>106.60898468237117</v>
      </c>
      <c r="O180" s="131">
        <f t="shared" si="77"/>
        <v>51.781743934983368</v>
      </c>
      <c r="P180" s="133">
        <f t="shared" si="74"/>
        <v>5896.7933115392052</v>
      </c>
      <c r="R180" s="177"/>
      <c r="S180" s="71"/>
      <c r="T180" s="71"/>
      <c r="U180" s="71"/>
      <c r="V180" s="135">
        <f t="shared" si="65"/>
        <v>341.73812719213311</v>
      </c>
    </row>
    <row r="181" spans="1:22">
      <c r="A181" s="64"/>
      <c r="B181" s="108"/>
      <c r="C181" s="118">
        <v>57</v>
      </c>
      <c r="D181" s="132">
        <f t="shared" ref="D181:O181" si="78">+D120*D154</f>
        <v>0</v>
      </c>
      <c r="E181" s="132">
        <f t="shared" si="78"/>
        <v>0</v>
      </c>
      <c r="F181" s="132">
        <f t="shared" si="78"/>
        <v>0</v>
      </c>
      <c r="G181" s="132">
        <f t="shared" si="78"/>
        <v>0</v>
      </c>
      <c r="H181" s="132">
        <f t="shared" si="78"/>
        <v>0</v>
      </c>
      <c r="I181" s="132">
        <f t="shared" si="78"/>
        <v>0</v>
      </c>
      <c r="J181" s="132">
        <f t="shared" si="78"/>
        <v>0</v>
      </c>
      <c r="K181" s="132">
        <f t="shared" si="78"/>
        <v>0</v>
      </c>
      <c r="L181" s="132">
        <f t="shared" si="78"/>
        <v>-219.12387937926266</v>
      </c>
      <c r="M181" s="132">
        <f t="shared" si="78"/>
        <v>-219.10852095201685</v>
      </c>
      <c r="N181" s="132">
        <f t="shared" si="78"/>
        <v>0</v>
      </c>
      <c r="O181" s="132">
        <f t="shared" si="78"/>
        <v>0</v>
      </c>
      <c r="P181" s="134">
        <f t="shared" si="74"/>
        <v>-438.23240033127951</v>
      </c>
      <c r="R181" s="177"/>
      <c r="S181" s="71"/>
      <c r="T181" s="71"/>
      <c r="U181" s="71"/>
      <c r="V181" s="136">
        <f t="shared" si="65"/>
        <v>19777.955643204186</v>
      </c>
    </row>
    <row r="182" spans="1:22">
      <c r="A182" s="64"/>
      <c r="B182" s="103" t="s">
        <v>305</v>
      </c>
      <c r="C182" s="108"/>
      <c r="D182" s="131">
        <f>SUM(D177:D181)</f>
        <v>1614.8028559920549</v>
      </c>
      <c r="E182" s="131">
        <f t="shared" ref="E182:O182" si="79">SUM(E177:E181)</f>
        <v>630.73271617634146</v>
      </c>
      <c r="F182" s="131">
        <f t="shared" si="79"/>
        <v>754.3262042814614</v>
      </c>
      <c r="G182" s="131">
        <f t="shared" si="79"/>
        <v>690.82107168686377</v>
      </c>
      <c r="H182" s="131">
        <f t="shared" si="79"/>
        <v>233.56031551597903</v>
      </c>
      <c r="I182" s="131">
        <f t="shared" si="79"/>
        <v>-64.968529893704897</v>
      </c>
      <c r="J182" s="131">
        <f t="shared" si="79"/>
        <v>-192.09634953248153</v>
      </c>
      <c r="K182" s="131">
        <f t="shared" si="79"/>
        <v>-208.53528511822014</v>
      </c>
      <c r="L182" s="131">
        <f t="shared" si="79"/>
        <v>-454.97934300532381</v>
      </c>
      <c r="M182" s="131">
        <f t="shared" si="79"/>
        <v>-503.70177703191769</v>
      </c>
      <c r="N182" s="131">
        <f t="shared" si="79"/>
        <v>-122.22863834543993</v>
      </c>
      <c r="O182" s="131">
        <f t="shared" si="79"/>
        <v>-17.829278638631052</v>
      </c>
      <c r="P182" s="133">
        <f>SUM(D182:O182)</f>
        <v>2359.9039620869826</v>
      </c>
      <c r="R182" s="177"/>
      <c r="S182" s="71"/>
      <c r="T182" s="71"/>
      <c r="U182" s="71"/>
      <c r="V182" s="135">
        <f t="shared" si="65"/>
        <v>92007.201287043034</v>
      </c>
    </row>
    <row r="183" spans="1:22">
      <c r="A183" s="64"/>
      <c r="B183" s="108"/>
      <c r="C183" s="108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71"/>
      <c r="R183" s="177"/>
      <c r="S183" s="71"/>
      <c r="T183" s="71"/>
      <c r="U183" s="71"/>
      <c r="V183" s="135">
        <f t="shared" si="65"/>
        <v>0</v>
      </c>
    </row>
    <row r="184" spans="1:22">
      <c r="A184" s="64"/>
      <c r="B184" s="71" t="s">
        <v>320</v>
      </c>
      <c r="C184" s="71"/>
      <c r="D184" s="131">
        <f>+D166+D175+D182</f>
        <v>-68527.823487033515</v>
      </c>
      <c r="E184" s="131">
        <f t="shared" ref="E184:O184" si="80">+E166+E175+E182</f>
        <v>-138296.44686702741</v>
      </c>
      <c r="F184" s="131">
        <f t="shared" si="80"/>
        <v>-137589.02262498424</v>
      </c>
      <c r="G184" s="131">
        <f t="shared" si="80"/>
        <v>-141938.86277651344</v>
      </c>
      <c r="H184" s="131">
        <f t="shared" si="80"/>
        <v>-203540.75409300893</v>
      </c>
      <c r="I184" s="131">
        <f t="shared" si="80"/>
        <v>-222002.04994998017</v>
      </c>
      <c r="J184" s="131">
        <f t="shared" si="80"/>
        <v>-214766.28214549023</v>
      </c>
      <c r="K184" s="131">
        <f t="shared" si="80"/>
        <v>-154454.56618386586</v>
      </c>
      <c r="L184" s="131">
        <f t="shared" si="80"/>
        <v>-139085.96246719788</v>
      </c>
      <c r="M184" s="131">
        <f t="shared" si="80"/>
        <v>-141030.61516810086</v>
      </c>
      <c r="N184" s="131">
        <f t="shared" si="80"/>
        <v>-87038.88317154441</v>
      </c>
      <c r="O184" s="131">
        <f t="shared" si="80"/>
        <v>-50318.900417791432</v>
      </c>
      <c r="P184" s="133">
        <f>SUM(D184:O184)</f>
        <v>-1698590.1693525382</v>
      </c>
      <c r="R184" s="177"/>
      <c r="S184" s="71"/>
      <c r="T184" s="71"/>
      <c r="U184" s="71"/>
      <c r="V184" s="135">
        <f t="shared" si="65"/>
        <v>-3533697.9640985923</v>
      </c>
    </row>
    <row r="185" spans="1:22">
      <c r="A185" s="64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R185" s="165"/>
      <c r="S185" s="71"/>
      <c r="T185" s="71"/>
      <c r="U185" s="71"/>
      <c r="V185" s="71"/>
    </row>
    <row r="186" spans="1:22">
      <c r="A186" s="64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5"/>
      <c r="N186" s="75"/>
      <c r="O186" s="75"/>
      <c r="P186" s="162"/>
      <c r="R186" s="165"/>
      <c r="S186" s="71"/>
      <c r="T186" s="71"/>
      <c r="U186" s="71"/>
      <c r="V186" s="137">
        <f>+V184/$P$29</f>
        <v>-1.1642411467967958E-2</v>
      </c>
    </row>
    <row r="187" spans="1:22">
      <c r="A187" s="64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5"/>
      <c r="N187" s="75"/>
      <c r="O187" s="75"/>
      <c r="P187" s="75"/>
      <c r="Q187" s="71"/>
      <c r="R187" s="165"/>
      <c r="S187" s="71"/>
      <c r="T187" s="71"/>
      <c r="U187" s="71"/>
    </row>
    <row r="188" spans="1:22">
      <c r="A188" s="64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5"/>
      <c r="N188" s="75"/>
      <c r="O188" s="75"/>
      <c r="P188" s="163"/>
      <c r="Q188" s="71"/>
      <c r="R188" s="165"/>
      <c r="S188" s="71"/>
      <c r="T188" s="71"/>
      <c r="U188" s="71"/>
    </row>
    <row r="189" spans="1:22">
      <c r="A189" s="64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5"/>
      <c r="N189" s="75"/>
      <c r="O189" s="75"/>
      <c r="P189" s="75"/>
      <c r="Q189" s="71"/>
      <c r="R189" s="165"/>
      <c r="S189" s="71"/>
      <c r="T189" s="71"/>
      <c r="U189" s="71"/>
    </row>
    <row r="190" spans="1:22">
      <c r="A190" s="64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5"/>
      <c r="N190" s="75"/>
      <c r="O190" s="75"/>
      <c r="P190" s="154"/>
      <c r="Q190" s="71"/>
      <c r="R190" s="165"/>
      <c r="S190" s="71"/>
      <c r="T190" s="71"/>
      <c r="U190" s="71"/>
    </row>
    <row r="191" spans="1:22">
      <c r="A191" s="64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5"/>
      <c r="N191" s="75"/>
      <c r="O191" s="75"/>
      <c r="P191" s="75"/>
      <c r="Q191" s="71"/>
      <c r="R191" s="165"/>
      <c r="S191" s="71"/>
      <c r="T191" s="71"/>
      <c r="U191" s="71"/>
    </row>
    <row r="192" spans="1:22">
      <c r="A192" s="64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5"/>
      <c r="N192" s="75"/>
      <c r="O192" s="75"/>
      <c r="P192" s="164"/>
      <c r="Q192" s="71"/>
      <c r="R192" s="165"/>
      <c r="S192" s="71"/>
      <c r="T192" s="71"/>
      <c r="U192" s="71"/>
    </row>
    <row r="193" spans="1:21">
      <c r="A193" s="64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5"/>
      <c r="N193" s="75"/>
      <c r="O193" s="75"/>
      <c r="P193" s="75"/>
      <c r="Q193" s="71"/>
      <c r="R193" s="165"/>
      <c r="S193" s="71"/>
      <c r="T193" s="71"/>
      <c r="U193" s="71"/>
    </row>
    <row r="194" spans="1:21">
      <c r="A194" s="64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5"/>
      <c r="N194" s="75"/>
      <c r="O194" s="75"/>
      <c r="P194" s="154"/>
      <c r="Q194" s="71"/>
      <c r="R194" s="165"/>
      <c r="S194" s="71"/>
      <c r="T194" s="71"/>
      <c r="U194" s="71"/>
    </row>
    <row r="195" spans="1:21">
      <c r="A195" s="64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5"/>
      <c r="N195" s="75"/>
      <c r="O195" s="75"/>
      <c r="P195" s="75"/>
      <c r="Q195" s="71"/>
      <c r="R195" s="71"/>
      <c r="S195" s="71"/>
      <c r="T195" s="71"/>
      <c r="U195" s="71"/>
    </row>
    <row r="196" spans="1:21">
      <c r="A196" s="64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5"/>
      <c r="N196" s="75"/>
      <c r="O196" s="75"/>
      <c r="P196" s="75"/>
      <c r="Q196" s="71"/>
      <c r="R196" s="71"/>
      <c r="S196" s="71"/>
      <c r="T196" s="71"/>
      <c r="U196" s="71"/>
    </row>
    <row r="197" spans="1:21">
      <c r="A197" s="64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</row>
    <row r="198" spans="1:21">
      <c r="A198" s="64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</row>
    <row r="199" spans="1:21">
      <c r="A199" s="64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</row>
    <row r="200" spans="1:21">
      <c r="A200" s="64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</row>
    <row r="201" spans="1:21">
      <c r="A201" s="64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</row>
    <row r="202" spans="1:21">
      <c r="A202" s="64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</row>
    <row r="203" spans="1:21">
      <c r="A203" s="64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</row>
    <row r="204" spans="1:21">
      <c r="A204" s="64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</row>
    <row r="205" spans="1:21">
      <c r="A205" s="64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</row>
    <row r="206" spans="1:21">
      <c r="A206" s="64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</row>
    <row r="207" spans="1:21">
      <c r="A207" s="64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</row>
  </sheetData>
  <mergeCells count="6">
    <mergeCell ref="R38:R57"/>
    <mergeCell ref="Q103:Q123"/>
    <mergeCell ref="R165:R184"/>
    <mergeCell ref="R152:R156"/>
    <mergeCell ref="R27:R31"/>
    <mergeCell ref="R87:R93"/>
  </mergeCells>
  <pageMargins left="0.7" right="0.7" top="0.75" bottom="0.75" header="0.3" footer="0.3"/>
  <pageSetup scale="52" fitToHeight="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58"/>
  <sheetViews>
    <sheetView workbookViewId="0">
      <selection activeCell="G32" sqref="G32"/>
    </sheetView>
  </sheetViews>
  <sheetFormatPr defaultRowHeight="15.75"/>
  <cols>
    <col min="2" max="2" width="5.625" customWidth="1"/>
    <col min="3" max="3" width="2.625" customWidth="1"/>
    <col min="4" max="4" width="43.5" customWidth="1"/>
    <col min="5" max="5" width="2.625" customWidth="1"/>
    <col min="6" max="6" width="17.625" bestFit="1" customWidth="1"/>
    <col min="7" max="7" width="2.625" customWidth="1"/>
    <col min="8" max="8" width="14.375" bestFit="1" customWidth="1"/>
  </cols>
  <sheetData>
    <row r="1" spans="2:9">
      <c r="H1" s="33" t="s">
        <v>114</v>
      </c>
    </row>
    <row r="2" spans="2:9">
      <c r="H2" s="33" t="s">
        <v>486</v>
      </c>
    </row>
    <row r="3" spans="2:9">
      <c r="H3" s="33" t="s">
        <v>475</v>
      </c>
    </row>
    <row r="4" spans="2:9">
      <c r="H4" s="33" t="s">
        <v>408</v>
      </c>
    </row>
    <row r="5" spans="2:9">
      <c r="H5" s="33" t="s">
        <v>404</v>
      </c>
    </row>
    <row r="9" spans="2:9">
      <c r="D9" s="176" t="s">
        <v>171</v>
      </c>
      <c r="E9" s="176"/>
      <c r="F9" s="176"/>
      <c r="G9" s="176"/>
      <c r="H9" s="176"/>
    </row>
    <row r="10" spans="2:9">
      <c r="D10" s="176" t="s">
        <v>226</v>
      </c>
      <c r="E10" s="176"/>
      <c r="F10" s="176"/>
      <c r="G10" s="176"/>
      <c r="H10" s="176"/>
    </row>
    <row r="11" spans="2:9">
      <c r="D11" s="176" t="s">
        <v>449</v>
      </c>
      <c r="E11" s="176"/>
      <c r="F11" s="176"/>
      <c r="G11" s="176"/>
      <c r="H11" s="176"/>
    </row>
    <row r="13" spans="2:9">
      <c r="F13" s="43"/>
      <c r="G13" s="43"/>
      <c r="H13" s="43"/>
    </row>
    <row r="14" spans="2:9">
      <c r="B14" s="30" t="s">
        <v>103</v>
      </c>
      <c r="D14" s="30" t="s">
        <v>145</v>
      </c>
      <c r="F14" s="30" t="s">
        <v>146</v>
      </c>
      <c r="G14" s="43"/>
      <c r="H14" s="30" t="s">
        <v>147</v>
      </c>
    </row>
    <row r="16" spans="2:9">
      <c r="B16" s="43">
        <v>1</v>
      </c>
      <c r="D16" s="45" t="s">
        <v>227</v>
      </c>
      <c r="E16" s="45"/>
      <c r="F16" s="35" t="s">
        <v>229</v>
      </c>
      <c r="G16" s="45"/>
      <c r="H16" s="45"/>
      <c r="I16" s="45"/>
    </row>
    <row r="17" spans="2:18">
      <c r="B17" s="43">
        <v>2</v>
      </c>
      <c r="D17" s="45" t="s">
        <v>228</v>
      </c>
      <c r="E17" s="45"/>
      <c r="F17" s="35" t="s">
        <v>230</v>
      </c>
      <c r="G17" s="45"/>
      <c r="H17" s="46">
        <f>-212356</f>
        <v>-212356</v>
      </c>
      <c r="I17" s="45"/>
    </row>
    <row r="18" spans="2:18">
      <c r="B18" s="43"/>
      <c r="D18" s="45"/>
      <c r="E18" s="45"/>
      <c r="F18" s="35"/>
      <c r="G18" s="45"/>
      <c r="H18" s="46"/>
      <c r="I18" s="45"/>
    </row>
    <row r="19" spans="2:18">
      <c r="B19" s="43">
        <v>3</v>
      </c>
      <c r="D19" s="49" t="s">
        <v>451</v>
      </c>
      <c r="E19" s="45"/>
      <c r="F19" s="35"/>
      <c r="G19" s="45"/>
      <c r="H19" s="46"/>
      <c r="I19" s="45"/>
    </row>
    <row r="20" spans="2:18">
      <c r="B20" s="43">
        <v>4</v>
      </c>
      <c r="D20" s="49" t="s">
        <v>231</v>
      </c>
      <c r="E20" s="45"/>
      <c r="F20" s="35" t="s">
        <v>450</v>
      </c>
      <c r="G20" s="45"/>
      <c r="H20" s="38">
        <f>-41232</f>
        <v>-41232</v>
      </c>
      <c r="I20" s="45"/>
    </row>
    <row r="21" spans="2:18">
      <c r="B21" s="43"/>
      <c r="D21" s="45"/>
      <c r="E21" s="45"/>
      <c r="F21" s="35"/>
      <c r="G21" s="45"/>
      <c r="H21" s="62"/>
      <c r="I21" s="45"/>
    </row>
    <row r="22" spans="2:18">
      <c r="B22" s="43">
        <v>5</v>
      </c>
      <c r="D22" s="49" t="s">
        <v>232</v>
      </c>
      <c r="E22" s="45"/>
      <c r="F22" s="35"/>
      <c r="G22" s="45"/>
      <c r="H22" s="62"/>
      <c r="I22" s="45"/>
    </row>
    <row r="23" spans="2:18">
      <c r="B23" s="43">
        <v>6</v>
      </c>
      <c r="D23" s="49" t="s">
        <v>233</v>
      </c>
      <c r="E23" s="45"/>
      <c r="F23" s="35" t="s">
        <v>159</v>
      </c>
      <c r="G23" s="45"/>
      <c r="H23" s="47">
        <f>+H17+H20</f>
        <v>-253588</v>
      </c>
      <c r="I23" s="45"/>
    </row>
    <row r="24" spans="2:18">
      <c r="B24" s="43"/>
      <c r="D24" s="45"/>
      <c r="E24" s="45"/>
      <c r="F24" s="35"/>
      <c r="G24" s="45"/>
      <c r="H24" s="45"/>
      <c r="I24" s="45"/>
    </row>
    <row r="25" spans="2:18">
      <c r="B25" s="43">
        <v>7</v>
      </c>
      <c r="D25" s="49" t="s">
        <v>238</v>
      </c>
      <c r="E25" s="45"/>
      <c r="F25" s="35" t="s">
        <v>425</v>
      </c>
      <c r="G25" s="45"/>
      <c r="H25" s="47"/>
      <c r="I25" s="45"/>
    </row>
    <row r="26" spans="2:18">
      <c r="B26" s="43">
        <v>8</v>
      </c>
      <c r="D26" s="49" t="s">
        <v>237</v>
      </c>
      <c r="E26" s="45"/>
      <c r="F26" s="35" t="s">
        <v>426</v>
      </c>
      <c r="G26" s="45"/>
      <c r="H26" s="47"/>
      <c r="I26" s="45"/>
    </row>
    <row r="27" spans="2:18">
      <c r="B27" s="43">
        <v>9</v>
      </c>
      <c r="D27" s="49" t="s">
        <v>236</v>
      </c>
      <c r="E27" s="45"/>
      <c r="F27" s="35" t="s">
        <v>427</v>
      </c>
      <c r="G27" s="45"/>
      <c r="H27" s="47">
        <f>-502881</f>
        <v>-502881</v>
      </c>
      <c r="I27" s="45"/>
    </row>
    <row r="28" spans="2:18">
      <c r="B28" s="43"/>
      <c r="D28" s="45"/>
      <c r="E28" s="45"/>
      <c r="F28" s="35"/>
      <c r="G28" s="45"/>
      <c r="H28" s="47"/>
      <c r="I28" s="45"/>
    </row>
    <row r="29" spans="2:18">
      <c r="B29" s="43">
        <v>10</v>
      </c>
      <c r="D29" s="49" t="s">
        <v>239</v>
      </c>
      <c r="E29" s="45"/>
      <c r="F29" s="35" t="s">
        <v>425</v>
      </c>
      <c r="G29" s="45"/>
      <c r="H29" s="47"/>
      <c r="I29" s="45"/>
    </row>
    <row r="30" spans="2:18">
      <c r="B30" s="43">
        <v>11</v>
      </c>
      <c r="D30" s="49" t="s">
        <v>237</v>
      </c>
      <c r="E30" s="45"/>
      <c r="F30" s="35" t="s">
        <v>426</v>
      </c>
      <c r="G30" s="45"/>
      <c r="H30" s="47"/>
      <c r="I30" s="45"/>
    </row>
    <row r="31" spans="2:18">
      <c r="B31" s="43">
        <v>12</v>
      </c>
      <c r="D31" s="49" t="s">
        <v>236</v>
      </c>
      <c r="E31" s="45"/>
      <c r="F31" s="35" t="s">
        <v>427</v>
      </c>
      <c r="G31" s="45"/>
      <c r="H31" s="47">
        <v>106386</v>
      </c>
      <c r="I31" s="45"/>
    </row>
    <row r="32" spans="2:18">
      <c r="B32" s="43"/>
      <c r="D32" s="45"/>
      <c r="E32" s="45"/>
      <c r="F32" s="35"/>
      <c r="G32" s="45"/>
      <c r="H32" s="47"/>
      <c r="I32" s="45"/>
      <c r="N32" s="108"/>
      <c r="O32" s="108"/>
      <c r="P32" s="108"/>
      <c r="Q32" s="108"/>
      <c r="R32" s="108"/>
    </row>
    <row r="33" spans="2:9">
      <c r="B33" s="43">
        <v>13</v>
      </c>
      <c r="D33" s="49" t="s">
        <v>451</v>
      </c>
      <c r="E33" s="45"/>
      <c r="F33" s="35"/>
      <c r="G33" s="45"/>
      <c r="H33" s="46"/>
      <c r="I33" s="45"/>
    </row>
    <row r="34" spans="2:9">
      <c r="B34" s="43">
        <v>14</v>
      </c>
      <c r="D34" s="49" t="s">
        <v>231</v>
      </c>
      <c r="E34" s="45"/>
      <c r="F34" s="35" t="s">
        <v>253</v>
      </c>
      <c r="G34" s="45"/>
      <c r="H34" s="38">
        <f>-H20</f>
        <v>41232</v>
      </c>
      <c r="I34" s="45"/>
    </row>
    <row r="35" spans="2:9">
      <c r="D35" s="45"/>
      <c r="E35" s="45"/>
      <c r="F35" s="45"/>
      <c r="G35" s="45"/>
      <c r="H35" s="47"/>
      <c r="I35" s="45"/>
    </row>
    <row r="36" spans="2:9">
      <c r="B36" s="43">
        <v>15</v>
      </c>
      <c r="D36" s="49" t="s">
        <v>245</v>
      </c>
      <c r="E36" s="45"/>
      <c r="F36" s="45"/>
      <c r="G36" s="45"/>
      <c r="H36" s="45"/>
      <c r="I36" s="45"/>
    </row>
    <row r="37" spans="2:9">
      <c r="B37" s="43">
        <v>16</v>
      </c>
      <c r="D37" s="49" t="s">
        <v>240</v>
      </c>
    </row>
    <row r="38" spans="2:9">
      <c r="B38" s="43">
        <v>17</v>
      </c>
      <c r="D38" s="49" t="s">
        <v>241</v>
      </c>
    </row>
    <row r="39" spans="2:9">
      <c r="B39" s="43">
        <v>18</v>
      </c>
      <c r="D39" s="49" t="s">
        <v>242</v>
      </c>
    </row>
    <row r="40" spans="2:9">
      <c r="B40" s="43">
        <v>19</v>
      </c>
      <c r="D40" s="49" t="s">
        <v>243</v>
      </c>
    </row>
    <row r="41" spans="2:9">
      <c r="B41" s="43">
        <v>20</v>
      </c>
      <c r="D41" s="49" t="s">
        <v>244</v>
      </c>
      <c r="F41" s="43" t="s">
        <v>254</v>
      </c>
    </row>
    <row r="42" spans="2:9">
      <c r="B42" s="43">
        <v>21</v>
      </c>
      <c r="D42" s="49" t="s">
        <v>428</v>
      </c>
      <c r="F42" s="43" t="s">
        <v>255</v>
      </c>
      <c r="H42" s="39">
        <f>+H27+H31+H34</f>
        <v>-355263</v>
      </c>
    </row>
    <row r="44" spans="2:9">
      <c r="B44" s="43">
        <v>22</v>
      </c>
      <c r="D44" s="66" t="s">
        <v>246</v>
      </c>
    </row>
    <row r="45" spans="2:9">
      <c r="B45" s="43">
        <v>23</v>
      </c>
      <c r="D45" t="s">
        <v>247</v>
      </c>
      <c r="F45" s="43" t="s">
        <v>256</v>
      </c>
    </row>
    <row r="46" spans="2:9">
      <c r="B46" s="43">
        <v>24</v>
      </c>
      <c r="D46" t="s">
        <v>248</v>
      </c>
      <c r="F46" s="43" t="s">
        <v>257</v>
      </c>
      <c r="H46" s="36">
        <f>+H42*0.35</f>
        <v>-124342.04999999999</v>
      </c>
    </row>
    <row r="48" spans="2:9">
      <c r="B48" s="43">
        <v>25</v>
      </c>
      <c r="D48" s="49" t="s">
        <v>234</v>
      </c>
      <c r="E48" s="45"/>
      <c r="F48" s="35" t="s">
        <v>229</v>
      </c>
      <c r="G48" s="45"/>
      <c r="H48" s="61"/>
    </row>
    <row r="49" spans="2:10">
      <c r="B49" s="43">
        <v>26</v>
      </c>
      <c r="D49" s="49" t="s">
        <v>235</v>
      </c>
      <c r="E49" s="45"/>
      <c r="F49" s="35" t="s">
        <v>230</v>
      </c>
      <c r="G49" s="45"/>
      <c r="H49" s="38">
        <v>476558</v>
      </c>
    </row>
    <row r="51" spans="2:10">
      <c r="B51" s="43">
        <v>27</v>
      </c>
      <c r="D51" s="49" t="s">
        <v>249</v>
      </c>
    </row>
    <row r="52" spans="2:10">
      <c r="B52" s="43">
        <v>28</v>
      </c>
      <c r="D52" s="49" t="s">
        <v>233</v>
      </c>
    </row>
    <row r="53" spans="2:10">
      <c r="B53" s="43">
        <v>29</v>
      </c>
      <c r="D53" s="49" t="s">
        <v>250</v>
      </c>
      <c r="F53" t="s">
        <v>258</v>
      </c>
      <c r="H53" s="63">
        <f>+H46+H49</f>
        <v>352215.95</v>
      </c>
      <c r="J53" s="39"/>
    </row>
    <row r="54" spans="2:10">
      <c r="J54" s="39"/>
    </row>
    <row r="55" spans="2:10">
      <c r="B55" s="43">
        <v>30</v>
      </c>
      <c r="D55" t="s">
        <v>251</v>
      </c>
    </row>
    <row r="56" spans="2:10">
      <c r="B56" s="43">
        <v>31</v>
      </c>
      <c r="D56" t="s">
        <v>252</v>
      </c>
    </row>
    <row r="57" spans="2:10" ht="16.5" thickBot="1">
      <c r="B57" s="43">
        <v>32</v>
      </c>
      <c r="D57" t="s">
        <v>236</v>
      </c>
      <c r="F57" t="s">
        <v>259</v>
      </c>
      <c r="H57" s="42">
        <f>-H23-H53</f>
        <v>-98627.950000000012</v>
      </c>
    </row>
    <row r="58" spans="2:10" ht="16.5" thickTop="1"/>
  </sheetData>
  <mergeCells count="3">
    <mergeCell ref="D9:H9"/>
    <mergeCell ref="D10:H10"/>
    <mergeCell ref="D11:H11"/>
  </mergeCells>
  <pageMargins left="0.7" right="0.7" top="0.75" bottom="0.75" header="0.3" footer="0.3"/>
  <pageSetup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41"/>
  <sheetViews>
    <sheetView workbookViewId="0">
      <selection activeCell="H2" sqref="H2"/>
    </sheetView>
  </sheetViews>
  <sheetFormatPr defaultRowHeight="15.75"/>
  <cols>
    <col min="2" max="2" width="5.625" customWidth="1"/>
    <col min="3" max="3" width="2.625" customWidth="1"/>
    <col min="4" max="4" width="43.5" customWidth="1"/>
    <col min="5" max="5" width="2.625" customWidth="1"/>
    <col min="6" max="6" width="17.625" bestFit="1" customWidth="1"/>
    <col min="7" max="7" width="2.625" customWidth="1"/>
    <col min="8" max="8" width="14.375" bestFit="1" customWidth="1"/>
  </cols>
  <sheetData>
    <row r="1" spans="2:9">
      <c r="H1" s="33" t="s">
        <v>114</v>
      </c>
    </row>
    <row r="2" spans="2:9">
      <c r="H2" s="33" t="s">
        <v>486</v>
      </c>
    </row>
    <row r="3" spans="2:9">
      <c r="H3" s="33" t="s">
        <v>474</v>
      </c>
    </row>
    <row r="4" spans="2:9">
      <c r="H4" s="33" t="s">
        <v>409</v>
      </c>
    </row>
    <row r="5" spans="2:9">
      <c r="H5" s="33" t="s">
        <v>405</v>
      </c>
    </row>
    <row r="9" spans="2:9">
      <c r="D9" s="176" t="s">
        <v>171</v>
      </c>
      <c r="E9" s="176"/>
      <c r="F9" s="176"/>
      <c r="G9" s="176"/>
      <c r="H9" s="176"/>
    </row>
    <row r="10" spans="2:9">
      <c r="D10" s="176" t="s">
        <v>172</v>
      </c>
      <c r="E10" s="176"/>
      <c r="F10" s="176"/>
      <c r="G10" s="176"/>
      <c r="H10" s="176"/>
    </row>
    <row r="11" spans="2:9">
      <c r="D11" s="176" t="s">
        <v>449</v>
      </c>
      <c r="E11" s="176"/>
      <c r="F11" s="176"/>
      <c r="G11" s="176"/>
      <c r="H11" s="176"/>
    </row>
    <row r="13" spans="2:9">
      <c r="F13" s="29"/>
      <c r="G13" s="29"/>
      <c r="H13" s="29"/>
    </row>
    <row r="14" spans="2:9">
      <c r="B14" s="30" t="s">
        <v>103</v>
      </c>
      <c r="D14" s="30" t="s">
        <v>145</v>
      </c>
      <c r="F14" s="30" t="s">
        <v>146</v>
      </c>
      <c r="G14" s="29"/>
      <c r="H14" s="30" t="s">
        <v>147</v>
      </c>
    </row>
    <row r="16" spans="2:9">
      <c r="B16" s="29">
        <v>1</v>
      </c>
      <c r="D16" s="45" t="s">
        <v>173</v>
      </c>
      <c r="E16" s="45"/>
      <c r="F16" s="43" t="s">
        <v>452</v>
      </c>
      <c r="G16" s="45"/>
      <c r="H16" s="45"/>
      <c r="I16" s="45"/>
    </row>
    <row r="17" spans="2:18">
      <c r="B17" s="29">
        <v>2</v>
      </c>
      <c r="D17" s="45" t="s">
        <v>174</v>
      </c>
      <c r="E17" s="45"/>
      <c r="F17" s="43" t="s">
        <v>453</v>
      </c>
      <c r="G17" s="45"/>
      <c r="H17" s="46">
        <v>2008106</v>
      </c>
      <c r="I17" s="45"/>
    </row>
    <row r="18" spans="2:18">
      <c r="B18" s="29"/>
      <c r="D18" s="45"/>
      <c r="E18" s="45"/>
      <c r="F18" s="29"/>
      <c r="G18" s="45"/>
      <c r="H18" s="46"/>
      <c r="I18" s="45"/>
    </row>
    <row r="19" spans="2:18">
      <c r="B19" s="29">
        <v>3</v>
      </c>
      <c r="D19" s="45"/>
      <c r="E19" s="45"/>
      <c r="F19" s="29" t="s">
        <v>148</v>
      </c>
      <c r="G19" s="45"/>
      <c r="H19" s="46"/>
      <c r="I19" s="45"/>
    </row>
    <row r="20" spans="2:18">
      <c r="B20" s="29">
        <v>4</v>
      </c>
      <c r="D20" s="49" t="s">
        <v>175</v>
      </c>
      <c r="E20" s="45"/>
      <c r="F20" s="29" t="s">
        <v>176</v>
      </c>
      <c r="G20" s="45"/>
      <c r="H20" s="52">
        <v>2117450</v>
      </c>
      <c r="I20" s="45"/>
    </row>
    <row r="21" spans="2:18">
      <c r="B21" s="29"/>
      <c r="D21" s="45"/>
      <c r="E21" s="45"/>
      <c r="F21" s="35"/>
      <c r="G21" s="45"/>
      <c r="H21" s="45"/>
      <c r="I21" s="45"/>
    </row>
    <row r="22" spans="2:18">
      <c r="B22" s="29">
        <v>5</v>
      </c>
      <c r="D22" s="49" t="s">
        <v>429</v>
      </c>
      <c r="E22" s="45"/>
      <c r="F22" s="35"/>
      <c r="G22" s="45"/>
      <c r="H22" s="45"/>
      <c r="I22" s="45"/>
    </row>
    <row r="23" spans="2:18" ht="16.5" thickBot="1">
      <c r="B23" s="29">
        <v>6</v>
      </c>
      <c r="D23" s="49" t="s">
        <v>430</v>
      </c>
      <c r="E23" s="45"/>
      <c r="F23" s="35" t="s">
        <v>177</v>
      </c>
      <c r="G23" s="45"/>
      <c r="H23" s="60">
        <f>+H17-H20</f>
        <v>-109344</v>
      </c>
      <c r="I23" s="45"/>
    </row>
    <row r="24" spans="2:18" ht="16.5" thickTop="1">
      <c r="B24" s="35"/>
      <c r="C24" s="45"/>
      <c r="D24" s="45"/>
      <c r="E24" s="45"/>
      <c r="F24" s="35"/>
      <c r="G24" s="45"/>
      <c r="H24" s="45"/>
      <c r="I24" s="45"/>
    </row>
    <row r="25" spans="2:18">
      <c r="B25" s="35"/>
      <c r="C25" s="167" t="s">
        <v>431</v>
      </c>
      <c r="D25" s="49" t="s">
        <v>432</v>
      </c>
      <c r="E25" s="45"/>
      <c r="F25" s="35"/>
      <c r="G25" s="45"/>
      <c r="H25" s="61"/>
      <c r="I25" s="45"/>
    </row>
    <row r="26" spans="2:18">
      <c r="B26" s="35"/>
      <c r="C26" s="45"/>
      <c r="D26" s="49" t="s">
        <v>435</v>
      </c>
      <c r="E26" s="45"/>
      <c r="F26" s="35"/>
      <c r="G26" s="45"/>
      <c r="H26" s="45"/>
      <c r="I26" s="45"/>
    </row>
    <row r="27" spans="2:18">
      <c r="B27" s="35"/>
      <c r="C27" s="45"/>
      <c r="D27" s="49" t="s">
        <v>436</v>
      </c>
      <c r="E27" s="45"/>
      <c r="F27" s="35"/>
      <c r="G27" s="45"/>
      <c r="H27" s="47"/>
      <c r="I27" s="45"/>
    </row>
    <row r="28" spans="2:18">
      <c r="B28" s="35"/>
      <c r="C28" s="45"/>
      <c r="D28" s="49" t="s">
        <v>433</v>
      </c>
      <c r="E28" s="45"/>
      <c r="F28" s="35"/>
      <c r="G28" s="45"/>
      <c r="H28" s="45"/>
      <c r="I28" s="45"/>
    </row>
    <row r="29" spans="2:18">
      <c r="B29" s="35"/>
      <c r="C29" s="45"/>
      <c r="D29" s="49" t="s">
        <v>434</v>
      </c>
      <c r="E29" s="45"/>
      <c r="F29" s="35"/>
      <c r="G29" s="45"/>
      <c r="H29" s="45"/>
      <c r="I29" s="45"/>
    </row>
    <row r="30" spans="2:18">
      <c r="B30" s="35"/>
      <c r="C30" s="45"/>
      <c r="D30" s="45"/>
      <c r="E30" s="45"/>
      <c r="F30" s="35"/>
      <c r="G30" s="45"/>
      <c r="H30" s="48"/>
      <c r="I30" s="45"/>
    </row>
    <row r="31" spans="2:18">
      <c r="B31" s="35"/>
      <c r="C31" s="45"/>
      <c r="D31" s="45"/>
      <c r="E31" s="45"/>
      <c r="F31" s="35"/>
      <c r="G31" s="45"/>
      <c r="H31" s="45"/>
      <c r="I31" s="45"/>
    </row>
    <row r="32" spans="2:18">
      <c r="B32" s="35"/>
      <c r="C32" s="45"/>
      <c r="D32" s="45"/>
      <c r="E32" s="45"/>
      <c r="F32" s="35"/>
      <c r="G32" s="45"/>
      <c r="H32" s="47"/>
      <c r="I32" s="45"/>
      <c r="N32" s="108"/>
      <c r="O32" s="108"/>
      <c r="P32" s="108"/>
      <c r="Q32" s="108"/>
      <c r="R32" s="108"/>
    </row>
    <row r="33" spans="2:9">
      <c r="B33" s="29"/>
      <c r="D33" s="45"/>
      <c r="E33" s="45"/>
      <c r="F33" s="35"/>
      <c r="G33" s="45"/>
      <c r="H33" s="45"/>
      <c r="I33" s="45"/>
    </row>
    <row r="34" spans="2:9">
      <c r="B34" s="29"/>
      <c r="D34" s="45"/>
      <c r="E34" s="45"/>
      <c r="F34" s="35"/>
      <c r="G34" s="45"/>
      <c r="H34" s="45"/>
      <c r="I34" s="45"/>
    </row>
    <row r="35" spans="2:9">
      <c r="B35" s="29"/>
      <c r="D35" s="45"/>
      <c r="E35" s="45"/>
      <c r="F35" s="35"/>
      <c r="G35" s="45"/>
      <c r="H35" s="48"/>
      <c r="I35" s="45"/>
    </row>
    <row r="36" spans="2:9">
      <c r="B36" s="29"/>
      <c r="D36" s="45"/>
      <c r="E36" s="45"/>
      <c r="F36" s="35"/>
      <c r="G36" s="45"/>
      <c r="H36" s="45"/>
      <c r="I36" s="45"/>
    </row>
    <row r="37" spans="2:9">
      <c r="B37" s="29"/>
      <c r="D37" s="45"/>
      <c r="E37" s="45"/>
      <c r="F37" s="45"/>
      <c r="G37" s="45"/>
      <c r="H37" s="45"/>
      <c r="I37" s="45"/>
    </row>
    <row r="38" spans="2:9">
      <c r="D38" s="45"/>
      <c r="E38" s="45"/>
      <c r="F38" s="45"/>
      <c r="G38" s="45"/>
      <c r="H38" s="45"/>
      <c r="I38" s="45"/>
    </row>
    <row r="39" spans="2:9">
      <c r="D39" s="45"/>
      <c r="E39" s="45"/>
      <c r="F39" s="45"/>
      <c r="G39" s="45"/>
      <c r="H39" s="45"/>
      <c r="I39" s="45"/>
    </row>
    <row r="40" spans="2:9">
      <c r="D40" s="45"/>
      <c r="E40" s="45"/>
      <c r="F40" s="45"/>
      <c r="G40" s="45"/>
      <c r="H40" s="45"/>
      <c r="I40" s="45"/>
    </row>
    <row r="41" spans="2:9">
      <c r="D41" s="45"/>
      <c r="E41" s="45"/>
      <c r="F41" s="45"/>
      <c r="G41" s="45"/>
      <c r="H41" s="45"/>
      <c r="I41" s="45"/>
    </row>
  </sheetData>
  <mergeCells count="3">
    <mergeCell ref="D9:H9"/>
    <mergeCell ref="D10:H10"/>
    <mergeCell ref="D11:H11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32"/>
  <sheetViews>
    <sheetView workbookViewId="0">
      <selection activeCell="H2" sqref="H2"/>
    </sheetView>
  </sheetViews>
  <sheetFormatPr defaultRowHeight="15.75"/>
  <cols>
    <col min="2" max="2" width="5.625" customWidth="1"/>
    <col min="3" max="3" width="2.625" customWidth="1"/>
    <col min="4" max="4" width="45.625" customWidth="1"/>
    <col min="5" max="5" width="2.625" customWidth="1"/>
    <col min="6" max="6" width="17.625" bestFit="1" customWidth="1"/>
    <col min="7" max="7" width="2.625" customWidth="1"/>
    <col min="8" max="8" width="14.375" bestFit="1" customWidth="1"/>
  </cols>
  <sheetData>
    <row r="1" spans="2:8">
      <c r="H1" s="33" t="s">
        <v>114</v>
      </c>
    </row>
    <row r="2" spans="2:8">
      <c r="H2" s="33" t="s">
        <v>486</v>
      </c>
    </row>
    <row r="3" spans="2:8">
      <c r="H3" s="33" t="s">
        <v>473</v>
      </c>
    </row>
    <row r="4" spans="2:8">
      <c r="H4" s="33" t="s">
        <v>410</v>
      </c>
    </row>
    <row r="5" spans="2:8">
      <c r="H5" s="33" t="s">
        <v>406</v>
      </c>
    </row>
    <row r="9" spans="2:8">
      <c r="D9" s="176" t="s">
        <v>124</v>
      </c>
      <c r="E9" s="176"/>
      <c r="F9" s="176"/>
      <c r="G9" s="176"/>
      <c r="H9" s="176"/>
    </row>
    <row r="10" spans="2:8">
      <c r="D10" s="176" t="s">
        <v>142</v>
      </c>
      <c r="E10" s="176"/>
      <c r="F10" s="176"/>
      <c r="G10" s="176"/>
      <c r="H10" s="176"/>
    </row>
    <row r="11" spans="2:8">
      <c r="D11" s="176" t="s">
        <v>446</v>
      </c>
      <c r="E11" s="176"/>
      <c r="F11" s="176"/>
      <c r="G11" s="176"/>
      <c r="H11" s="176"/>
    </row>
    <row r="13" spans="2:8">
      <c r="F13" s="29"/>
      <c r="G13" s="29"/>
      <c r="H13" s="29"/>
    </row>
    <row r="14" spans="2:8">
      <c r="B14" s="30" t="s">
        <v>103</v>
      </c>
      <c r="D14" s="30" t="s">
        <v>145</v>
      </c>
      <c r="F14" s="30" t="s">
        <v>146</v>
      </c>
      <c r="G14" s="29"/>
      <c r="H14" s="30" t="s">
        <v>147</v>
      </c>
    </row>
    <row r="16" spans="2:8">
      <c r="B16" s="29">
        <v>1</v>
      </c>
      <c r="D16" s="66" t="s">
        <v>143</v>
      </c>
      <c r="F16" s="29" t="s">
        <v>148</v>
      </c>
    </row>
    <row r="17" spans="2:18">
      <c r="B17" s="29">
        <v>2</v>
      </c>
      <c r="D17" t="s">
        <v>144</v>
      </c>
      <c r="F17" s="29" t="s">
        <v>149</v>
      </c>
      <c r="H17" s="41">
        <f>-789291</f>
        <v>-789291</v>
      </c>
    </row>
    <row r="18" spans="2:18">
      <c r="B18" s="29"/>
    </row>
    <row r="19" spans="2:18">
      <c r="B19" s="29">
        <v>3</v>
      </c>
      <c r="D19" t="s">
        <v>150</v>
      </c>
      <c r="F19" s="43" t="s">
        <v>452</v>
      </c>
    </row>
    <row r="20" spans="2:18">
      <c r="B20" s="29">
        <v>4</v>
      </c>
      <c r="D20" t="s">
        <v>151</v>
      </c>
      <c r="F20" s="43" t="s">
        <v>454</v>
      </c>
      <c r="H20" s="38">
        <f>-256519</f>
        <v>-256519</v>
      </c>
    </row>
    <row r="21" spans="2:18">
      <c r="B21" s="29"/>
    </row>
    <row r="22" spans="2:18">
      <c r="B22" s="29">
        <v>5</v>
      </c>
      <c r="D22" t="s">
        <v>156</v>
      </c>
      <c r="F22" s="29"/>
    </row>
    <row r="23" spans="2:18">
      <c r="B23" s="29">
        <v>6</v>
      </c>
      <c r="D23" t="s">
        <v>155</v>
      </c>
      <c r="F23" s="29" t="s">
        <v>159</v>
      </c>
      <c r="H23" s="39">
        <f>+H17+H20</f>
        <v>-1045810</v>
      </c>
    </row>
    <row r="24" spans="2:18">
      <c r="B24" s="29"/>
      <c r="F24" s="29"/>
    </row>
    <row r="25" spans="2:18">
      <c r="B25" s="29">
        <v>7</v>
      </c>
      <c r="D25" t="s">
        <v>153</v>
      </c>
      <c r="F25" s="29"/>
      <c r="H25" s="44">
        <v>0.35</v>
      </c>
    </row>
    <row r="26" spans="2:18">
      <c r="B26" s="29"/>
      <c r="F26" s="29"/>
    </row>
    <row r="27" spans="2:18">
      <c r="B27" s="29">
        <v>8</v>
      </c>
      <c r="D27" t="s">
        <v>154</v>
      </c>
      <c r="F27" s="29" t="s">
        <v>160</v>
      </c>
      <c r="H27" s="38">
        <f>+H23*-H25</f>
        <v>366033.5</v>
      </c>
    </row>
    <row r="28" spans="2:18">
      <c r="B28" s="29"/>
      <c r="F28" s="29"/>
    </row>
    <row r="29" spans="2:18">
      <c r="B29" s="29">
        <v>9</v>
      </c>
      <c r="D29" t="s">
        <v>157</v>
      </c>
      <c r="F29" s="29"/>
    </row>
    <row r="30" spans="2:18" ht="16.5" thickBot="1">
      <c r="B30" s="29">
        <v>10</v>
      </c>
      <c r="D30" t="s">
        <v>158</v>
      </c>
      <c r="F30" s="29" t="s">
        <v>161</v>
      </c>
      <c r="H30" s="42">
        <f>-H23-H27</f>
        <v>679776.5</v>
      </c>
    </row>
    <row r="31" spans="2:18" ht="16.5" thickTop="1">
      <c r="B31" s="29"/>
      <c r="F31" s="29"/>
    </row>
    <row r="32" spans="2:18">
      <c r="B32" s="29"/>
      <c r="N32" s="108"/>
      <c r="O32" s="108"/>
      <c r="P32" s="108"/>
      <c r="Q32" s="108"/>
      <c r="R32" s="108"/>
    </row>
  </sheetData>
  <mergeCells count="3">
    <mergeCell ref="D9:H9"/>
    <mergeCell ref="D10:H10"/>
    <mergeCell ref="D11:H11"/>
  </mergeCells>
  <pageMargins left="0.7" right="0.7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36"/>
  <sheetViews>
    <sheetView workbookViewId="0">
      <selection activeCell="H3" sqref="H3"/>
    </sheetView>
  </sheetViews>
  <sheetFormatPr defaultRowHeight="15.75"/>
  <cols>
    <col min="2" max="2" width="5.625" customWidth="1"/>
    <col min="3" max="3" width="2.625" customWidth="1"/>
    <col min="4" max="4" width="43.5" customWidth="1"/>
    <col min="5" max="5" width="2.625" customWidth="1"/>
    <col min="6" max="6" width="17.625" bestFit="1" customWidth="1"/>
    <col min="7" max="7" width="2.625" customWidth="1"/>
    <col min="8" max="8" width="14.375" bestFit="1" customWidth="1"/>
  </cols>
  <sheetData>
    <row r="1" spans="2:9">
      <c r="H1" s="33" t="s">
        <v>114</v>
      </c>
    </row>
    <row r="2" spans="2:9">
      <c r="H2" s="33" t="s">
        <v>486</v>
      </c>
    </row>
    <row r="3" spans="2:9">
      <c r="H3" s="33" t="s">
        <v>472</v>
      </c>
    </row>
    <row r="4" spans="2:9">
      <c r="H4" s="33" t="s">
        <v>411</v>
      </c>
    </row>
    <row r="5" spans="2:9">
      <c r="H5" s="33" t="s">
        <v>169</v>
      </c>
    </row>
    <row r="9" spans="2:9">
      <c r="D9" s="176" t="s">
        <v>124</v>
      </c>
      <c r="E9" s="176"/>
      <c r="F9" s="176"/>
      <c r="G9" s="176"/>
      <c r="H9" s="176"/>
    </row>
    <row r="10" spans="2:9">
      <c r="D10" s="176" t="s">
        <v>162</v>
      </c>
      <c r="E10" s="176"/>
      <c r="F10" s="176"/>
      <c r="G10" s="176"/>
      <c r="H10" s="176"/>
    </row>
    <row r="11" spans="2:9">
      <c r="D11" s="176" t="s">
        <v>446</v>
      </c>
      <c r="E11" s="176"/>
      <c r="F11" s="176"/>
      <c r="G11" s="176"/>
      <c r="H11" s="176"/>
    </row>
    <row r="13" spans="2:9">
      <c r="F13" s="29"/>
      <c r="G13" s="29"/>
      <c r="H13" s="29"/>
    </row>
    <row r="14" spans="2:9">
      <c r="B14" s="30" t="s">
        <v>103</v>
      </c>
      <c r="D14" s="30" t="s">
        <v>145</v>
      </c>
      <c r="F14" s="30" t="s">
        <v>146</v>
      </c>
      <c r="G14" s="29"/>
      <c r="H14" s="30" t="s">
        <v>147</v>
      </c>
    </row>
    <row r="16" spans="2:9">
      <c r="B16" s="29">
        <v>1</v>
      </c>
      <c r="D16" s="45" t="s">
        <v>163</v>
      </c>
      <c r="E16" s="45"/>
      <c r="F16" s="35"/>
      <c r="G16" s="45"/>
      <c r="H16" s="45"/>
      <c r="I16" s="45"/>
    </row>
    <row r="17" spans="2:18">
      <c r="B17" s="29">
        <v>2</v>
      </c>
      <c r="D17" s="45" t="s">
        <v>164</v>
      </c>
      <c r="E17" s="45"/>
      <c r="F17" s="43" t="s">
        <v>452</v>
      </c>
      <c r="G17" s="45"/>
      <c r="H17" s="46"/>
      <c r="I17" s="45"/>
    </row>
    <row r="18" spans="2:18">
      <c r="B18" s="29">
        <v>3</v>
      </c>
      <c r="D18" s="49" t="s">
        <v>461</v>
      </c>
      <c r="E18" s="45"/>
      <c r="F18" s="43" t="s">
        <v>455</v>
      </c>
      <c r="G18" s="45"/>
      <c r="H18" s="46">
        <f>-65079</f>
        <v>-65079</v>
      </c>
      <c r="I18" s="45"/>
    </row>
    <row r="19" spans="2:18">
      <c r="B19" s="29"/>
      <c r="D19" s="45"/>
      <c r="E19" s="45"/>
      <c r="F19" s="35"/>
      <c r="G19" s="45"/>
      <c r="H19" s="45"/>
      <c r="I19" s="45"/>
    </row>
    <row r="20" spans="2:18">
      <c r="B20" s="29">
        <v>4</v>
      </c>
      <c r="D20" t="s">
        <v>153</v>
      </c>
      <c r="F20" s="29"/>
      <c r="H20" s="44">
        <v>0.35</v>
      </c>
      <c r="I20" s="45"/>
    </row>
    <row r="21" spans="2:18">
      <c r="B21" s="29"/>
      <c r="F21" s="29"/>
      <c r="I21" s="45"/>
    </row>
    <row r="22" spans="2:18">
      <c r="B22" s="29">
        <v>5</v>
      </c>
      <c r="D22" t="s">
        <v>154</v>
      </c>
      <c r="F22" s="29" t="s">
        <v>166</v>
      </c>
      <c r="H22" s="38">
        <f>+H18*-H20</f>
        <v>22777.649999999998</v>
      </c>
      <c r="I22" s="45"/>
    </row>
    <row r="23" spans="2:18">
      <c r="B23" s="29"/>
      <c r="F23" s="29"/>
      <c r="I23" s="45"/>
    </row>
    <row r="24" spans="2:18">
      <c r="B24" s="29">
        <v>6</v>
      </c>
      <c r="D24" t="s">
        <v>157</v>
      </c>
      <c r="F24" s="29"/>
      <c r="I24" s="45"/>
    </row>
    <row r="25" spans="2:18" ht="16.5" thickBot="1">
      <c r="B25" s="29">
        <v>7</v>
      </c>
      <c r="D25" t="s">
        <v>165</v>
      </c>
      <c r="F25" s="29" t="s">
        <v>167</v>
      </c>
      <c r="H25" s="42">
        <f>-H18-H22</f>
        <v>42301.350000000006</v>
      </c>
      <c r="I25" s="45"/>
    </row>
    <row r="26" spans="2:18" ht="16.5" thickTop="1">
      <c r="B26" s="29"/>
      <c r="F26" s="29"/>
      <c r="I26" s="45"/>
    </row>
    <row r="27" spans="2:18">
      <c r="B27" s="29"/>
      <c r="D27" s="45"/>
      <c r="E27" s="45"/>
      <c r="F27" s="35"/>
      <c r="G27" s="45"/>
      <c r="H27" s="47"/>
      <c r="I27" s="45"/>
    </row>
    <row r="28" spans="2:18">
      <c r="B28" s="29"/>
      <c r="D28" s="45"/>
      <c r="E28" s="45"/>
      <c r="F28" s="35"/>
      <c r="G28" s="45"/>
      <c r="H28" s="45"/>
      <c r="I28" s="45"/>
    </row>
    <row r="29" spans="2:18">
      <c r="B29" s="29"/>
      <c r="D29" s="45"/>
      <c r="E29" s="45"/>
      <c r="F29" s="35"/>
      <c r="G29" s="45"/>
      <c r="H29" s="45"/>
      <c r="I29" s="45"/>
    </row>
    <row r="30" spans="2:18">
      <c r="B30" s="29"/>
      <c r="D30" s="45"/>
      <c r="E30" s="45"/>
      <c r="F30" s="35"/>
      <c r="G30" s="45"/>
      <c r="H30" s="48"/>
      <c r="I30" s="45"/>
    </row>
    <row r="31" spans="2:18">
      <c r="B31" s="29"/>
      <c r="D31" s="45"/>
      <c r="E31" s="45"/>
      <c r="F31" s="35"/>
      <c r="G31" s="45"/>
      <c r="H31" s="45"/>
      <c r="I31" s="45"/>
    </row>
    <row r="32" spans="2:18">
      <c r="B32" s="29"/>
      <c r="D32" s="45"/>
      <c r="E32" s="45"/>
      <c r="F32" s="45"/>
      <c r="G32" s="45"/>
      <c r="H32" s="45"/>
      <c r="I32" s="45"/>
      <c r="N32" s="108"/>
      <c r="O32" s="108"/>
      <c r="P32" s="108"/>
      <c r="Q32" s="108"/>
      <c r="R32" s="108"/>
    </row>
    <row r="33" spans="4:9">
      <c r="D33" s="45"/>
      <c r="E33" s="45"/>
      <c r="F33" s="45"/>
      <c r="G33" s="45"/>
      <c r="H33" s="45"/>
      <c r="I33" s="45"/>
    </row>
    <row r="34" spans="4:9">
      <c r="D34" s="45"/>
      <c r="E34" s="45"/>
      <c r="F34" s="45"/>
      <c r="G34" s="45"/>
      <c r="H34" s="45"/>
      <c r="I34" s="45"/>
    </row>
    <row r="35" spans="4:9">
      <c r="D35" s="45"/>
      <c r="E35" s="45"/>
      <c r="F35" s="45"/>
      <c r="G35" s="45"/>
      <c r="H35" s="45"/>
      <c r="I35" s="45"/>
    </row>
    <row r="36" spans="4:9">
      <c r="D36" s="45"/>
      <c r="E36" s="45"/>
      <c r="F36" s="45"/>
      <c r="G36" s="45"/>
      <c r="H36" s="45"/>
      <c r="I36" s="45"/>
    </row>
  </sheetData>
  <mergeCells count="3">
    <mergeCell ref="D9:H9"/>
    <mergeCell ref="D10:H10"/>
    <mergeCell ref="D11:H11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2"/>
  <sheetViews>
    <sheetView workbookViewId="0">
      <selection activeCell="D23" sqref="D23"/>
    </sheetView>
  </sheetViews>
  <sheetFormatPr defaultRowHeight="15.75"/>
  <cols>
    <col min="2" max="2" width="5.625" customWidth="1"/>
    <col min="3" max="3" width="2.625" customWidth="1"/>
    <col min="4" max="4" width="43.5" customWidth="1"/>
    <col min="5" max="5" width="2.625" customWidth="1"/>
    <col min="6" max="6" width="17.625" bestFit="1" customWidth="1"/>
    <col min="7" max="7" width="2.625" customWidth="1"/>
    <col min="8" max="8" width="14.375" bestFit="1" customWidth="1"/>
  </cols>
  <sheetData>
    <row r="1" spans="1:9">
      <c r="A1" s="66"/>
      <c r="B1" s="66"/>
      <c r="C1" s="66"/>
      <c r="D1" s="66"/>
      <c r="E1" s="66"/>
      <c r="F1" s="66"/>
      <c r="G1" s="66"/>
      <c r="H1" s="33" t="s">
        <v>114</v>
      </c>
      <c r="I1" s="66"/>
    </row>
    <row r="2" spans="1:9">
      <c r="A2" s="66"/>
      <c r="B2" s="66"/>
      <c r="C2" s="66"/>
      <c r="D2" s="66"/>
      <c r="E2" s="66"/>
      <c r="F2" s="66"/>
      <c r="G2" s="66"/>
      <c r="H2" s="33" t="s">
        <v>486</v>
      </c>
      <c r="I2" s="66"/>
    </row>
    <row r="3" spans="1:9">
      <c r="A3" s="66"/>
      <c r="B3" s="66"/>
      <c r="C3" s="66"/>
      <c r="D3" s="66"/>
      <c r="E3" s="66"/>
      <c r="F3" s="66"/>
      <c r="G3" s="66"/>
      <c r="H3" s="33" t="s">
        <v>471</v>
      </c>
      <c r="I3" s="66"/>
    </row>
    <row r="4" spans="1:9">
      <c r="A4" s="66"/>
      <c r="B4" s="66"/>
      <c r="C4" s="66"/>
      <c r="D4" s="66"/>
      <c r="E4" s="66"/>
      <c r="F4" s="66"/>
      <c r="G4" s="66"/>
      <c r="H4" s="33" t="s">
        <v>412</v>
      </c>
      <c r="I4" s="66"/>
    </row>
    <row r="5" spans="1:9">
      <c r="A5" s="66"/>
      <c r="B5" s="66"/>
      <c r="C5" s="66"/>
      <c r="D5" s="66"/>
      <c r="E5" s="66"/>
      <c r="F5" s="66"/>
      <c r="G5" s="66"/>
      <c r="H5" s="33" t="s">
        <v>330</v>
      </c>
      <c r="I5" s="66"/>
    </row>
    <row r="6" spans="1:9">
      <c r="A6" s="66"/>
      <c r="B6" s="66"/>
      <c r="C6" s="66"/>
      <c r="D6" s="66"/>
      <c r="E6" s="66"/>
      <c r="F6" s="66"/>
      <c r="G6" s="66"/>
      <c r="H6" s="66"/>
      <c r="I6" s="66"/>
    </row>
    <row r="7" spans="1:9">
      <c r="A7" s="66"/>
      <c r="B7" s="66"/>
      <c r="C7" s="66"/>
      <c r="D7" s="66"/>
      <c r="E7" s="66"/>
      <c r="F7" s="66"/>
      <c r="G7" s="66"/>
      <c r="H7" s="66"/>
      <c r="I7" s="66"/>
    </row>
    <row r="8" spans="1:9">
      <c r="A8" s="66"/>
      <c r="B8" s="66"/>
      <c r="C8" s="66"/>
      <c r="D8" s="66"/>
      <c r="E8" s="66"/>
      <c r="F8" s="66"/>
      <c r="G8" s="66"/>
      <c r="H8" s="66"/>
      <c r="I8" s="66"/>
    </row>
    <row r="9" spans="1:9">
      <c r="A9" s="66"/>
      <c r="B9" s="66"/>
      <c r="C9" s="66"/>
      <c r="D9" s="176" t="s">
        <v>124</v>
      </c>
      <c r="E9" s="176"/>
      <c r="F9" s="176"/>
      <c r="G9" s="176"/>
      <c r="H9" s="176"/>
      <c r="I9" s="66"/>
    </row>
    <row r="10" spans="1:9">
      <c r="A10" s="66"/>
      <c r="B10" s="66"/>
      <c r="C10" s="66"/>
      <c r="D10" s="176" t="s">
        <v>327</v>
      </c>
      <c r="E10" s="176"/>
      <c r="F10" s="176"/>
      <c r="G10" s="176"/>
      <c r="H10" s="176"/>
      <c r="I10" s="66"/>
    </row>
    <row r="11" spans="1:9">
      <c r="A11" s="66"/>
      <c r="B11" s="66"/>
      <c r="C11" s="66"/>
      <c r="D11" s="176" t="s">
        <v>446</v>
      </c>
      <c r="E11" s="176"/>
      <c r="F11" s="176"/>
      <c r="G11" s="176"/>
      <c r="H11" s="176"/>
      <c r="I11" s="66"/>
    </row>
    <row r="12" spans="1:9">
      <c r="A12" s="66"/>
      <c r="B12" s="66"/>
      <c r="C12" s="66"/>
      <c r="D12" s="66"/>
      <c r="E12" s="66"/>
      <c r="F12" s="66"/>
      <c r="G12" s="66"/>
      <c r="H12" s="66"/>
      <c r="I12" s="66"/>
    </row>
    <row r="13" spans="1:9">
      <c r="A13" s="66"/>
      <c r="B13" s="66"/>
      <c r="C13" s="66"/>
      <c r="D13" s="66"/>
      <c r="E13" s="66"/>
      <c r="F13" s="43"/>
      <c r="G13" s="43"/>
      <c r="H13" s="43"/>
      <c r="I13" s="66"/>
    </row>
    <row r="14" spans="1:9">
      <c r="A14" s="66"/>
      <c r="B14" s="30" t="s">
        <v>103</v>
      </c>
      <c r="C14" s="66"/>
      <c r="D14" s="30" t="s">
        <v>145</v>
      </c>
      <c r="E14" s="66"/>
      <c r="F14" s="30" t="s">
        <v>146</v>
      </c>
      <c r="G14" s="43"/>
      <c r="H14" s="30" t="s">
        <v>147</v>
      </c>
      <c r="I14" s="66"/>
    </row>
    <row r="15" spans="1:9">
      <c r="A15" s="66"/>
      <c r="B15" s="66"/>
      <c r="C15" s="66"/>
      <c r="D15" s="66"/>
      <c r="E15" s="66"/>
      <c r="F15" s="66"/>
      <c r="G15" s="66"/>
      <c r="H15" s="66"/>
      <c r="I15" s="66"/>
    </row>
    <row r="16" spans="1:9">
      <c r="A16" s="66"/>
      <c r="B16" s="43">
        <v>1</v>
      </c>
      <c r="C16" s="66"/>
      <c r="D16" s="45" t="s">
        <v>163</v>
      </c>
      <c r="E16" s="45"/>
      <c r="F16" s="35"/>
      <c r="G16" s="45"/>
      <c r="H16" s="45"/>
      <c r="I16" s="45"/>
    </row>
    <row r="17" spans="1:18">
      <c r="A17" s="66"/>
      <c r="B17" s="43">
        <v>2</v>
      </c>
      <c r="C17" s="66"/>
      <c r="D17" s="45" t="s">
        <v>328</v>
      </c>
      <c r="E17" s="45"/>
      <c r="G17" s="45"/>
      <c r="H17" s="46"/>
      <c r="I17" s="45"/>
    </row>
    <row r="18" spans="1:18" s="66" customFormat="1">
      <c r="B18" s="43">
        <v>3</v>
      </c>
      <c r="D18" s="49" t="s">
        <v>329</v>
      </c>
      <c r="E18" s="45"/>
      <c r="F18" s="43" t="s">
        <v>152</v>
      </c>
      <c r="G18" s="45"/>
      <c r="H18" s="46"/>
      <c r="I18" s="45"/>
    </row>
    <row r="19" spans="1:18">
      <c r="A19" s="66"/>
      <c r="B19" s="43">
        <v>4</v>
      </c>
      <c r="C19" s="66"/>
      <c r="D19" s="49" t="s">
        <v>461</v>
      </c>
      <c r="E19" s="45"/>
      <c r="F19" s="43" t="s">
        <v>455</v>
      </c>
      <c r="G19" s="45"/>
      <c r="H19" s="46">
        <f>-131493</f>
        <v>-131493</v>
      </c>
      <c r="I19" s="45"/>
    </row>
    <row r="20" spans="1:18">
      <c r="A20" s="66"/>
      <c r="B20" s="43"/>
      <c r="C20" s="66"/>
      <c r="D20" s="45"/>
      <c r="E20" s="45"/>
      <c r="F20" s="35"/>
      <c r="G20" s="45"/>
      <c r="H20" s="45"/>
      <c r="I20" s="45"/>
    </row>
    <row r="21" spans="1:18">
      <c r="A21" s="66"/>
      <c r="B21" s="43">
        <v>5</v>
      </c>
      <c r="C21" s="66"/>
      <c r="D21" s="66" t="s">
        <v>153</v>
      </c>
      <c r="E21" s="66"/>
      <c r="F21" s="43"/>
      <c r="G21" s="66"/>
      <c r="H21" s="69">
        <v>0.35</v>
      </c>
      <c r="I21" s="45"/>
    </row>
    <row r="22" spans="1:18">
      <c r="A22" s="66"/>
      <c r="B22" s="43"/>
      <c r="C22" s="66"/>
      <c r="D22" s="66"/>
      <c r="E22" s="66"/>
      <c r="F22" s="43"/>
      <c r="G22" s="66"/>
      <c r="H22" s="66"/>
      <c r="I22" s="45"/>
    </row>
    <row r="23" spans="1:18">
      <c r="A23" s="66"/>
      <c r="B23" s="43">
        <v>6</v>
      </c>
      <c r="C23" s="66"/>
      <c r="D23" s="66" t="s">
        <v>154</v>
      </c>
      <c r="E23" s="66"/>
      <c r="F23" s="43" t="s">
        <v>166</v>
      </c>
      <c r="G23" s="66"/>
      <c r="H23" s="38">
        <f>+H19*-H21</f>
        <v>46022.549999999996</v>
      </c>
      <c r="I23" s="45"/>
    </row>
    <row r="24" spans="1:18">
      <c r="A24" s="66"/>
      <c r="B24" s="43"/>
      <c r="C24" s="66"/>
      <c r="D24" s="66"/>
      <c r="E24" s="66"/>
      <c r="F24" s="43"/>
      <c r="G24" s="66"/>
      <c r="H24" s="66"/>
      <c r="I24" s="45"/>
    </row>
    <row r="25" spans="1:18">
      <c r="A25" s="66"/>
      <c r="B25" s="43">
        <v>7</v>
      </c>
      <c r="C25" s="66"/>
      <c r="D25" s="66" t="s">
        <v>157</v>
      </c>
      <c r="E25" s="66"/>
      <c r="F25" s="43"/>
      <c r="G25" s="66"/>
      <c r="H25" s="66"/>
      <c r="I25" s="45"/>
    </row>
    <row r="26" spans="1:18" ht="16.5" thickBot="1">
      <c r="A26" s="66"/>
      <c r="B26" s="43">
        <v>8</v>
      </c>
      <c r="C26" s="66"/>
      <c r="D26" s="66" t="s">
        <v>437</v>
      </c>
      <c r="E26" s="66"/>
      <c r="F26" s="43" t="s">
        <v>167</v>
      </c>
      <c r="G26" s="66"/>
      <c r="H26" s="42">
        <f>-H19-H23</f>
        <v>85470.450000000012</v>
      </c>
      <c r="I26" s="45"/>
    </row>
    <row r="27" spans="1:18" ht="16.5" thickTop="1">
      <c r="A27" s="66"/>
      <c r="B27" s="43"/>
      <c r="C27" s="66"/>
      <c r="D27" s="66"/>
      <c r="E27" s="66"/>
      <c r="F27" s="43"/>
      <c r="G27" s="66"/>
      <c r="H27" s="66"/>
      <c r="I27" s="45"/>
    </row>
    <row r="28" spans="1:18">
      <c r="A28" s="66"/>
      <c r="B28" s="43"/>
      <c r="C28" s="66"/>
      <c r="D28" s="45"/>
      <c r="E28" s="45"/>
      <c r="F28" s="35"/>
      <c r="G28" s="45"/>
      <c r="H28" s="47"/>
      <c r="I28" s="45"/>
    </row>
    <row r="32" spans="1:18">
      <c r="N32" s="108"/>
      <c r="O32" s="108"/>
      <c r="P32" s="108"/>
      <c r="Q32" s="108"/>
      <c r="R32" s="108"/>
    </row>
  </sheetData>
  <mergeCells count="3">
    <mergeCell ref="D9:H9"/>
    <mergeCell ref="D10:H10"/>
    <mergeCell ref="D11:H11"/>
  </mergeCells>
  <pageMargins left="0.7" right="0.7" top="0.75" bottom="0.75" header="0.3" footer="0.3"/>
  <pageSetup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2013-06-21T07:00:00+00:00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B00FEE-0134-49EA-81C7-6D0AA4DC61E5}"/>
</file>

<file path=customXml/itemProps2.xml><?xml version="1.0" encoding="utf-8"?>
<ds:datastoreItem xmlns:ds="http://schemas.openxmlformats.org/officeDocument/2006/customXml" ds:itemID="{39B8835A-06B6-4329-BBCE-89B38BAAA093}"/>
</file>

<file path=customXml/itemProps3.xml><?xml version="1.0" encoding="utf-8"?>
<ds:datastoreItem xmlns:ds="http://schemas.openxmlformats.org/officeDocument/2006/customXml" ds:itemID="{3F6A3EC2-63FF-44A7-BAF5-DF726363668D}"/>
</file>

<file path=customXml/itemProps4.xml><?xml version="1.0" encoding="utf-8"?>
<ds:datastoreItem xmlns:ds="http://schemas.openxmlformats.org/officeDocument/2006/customXml" ds:itemID="{7213392D-CC61-4FD4-AA00-58515E5BA8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16</vt:i4>
      </vt:variant>
    </vt:vector>
  </HeadingPairs>
  <TitlesOfParts>
    <vt:vector size="31" baseType="lpstr">
      <vt:lpstr>Sch 1 Summary</vt:lpstr>
      <vt:lpstr>Sch 2 Juris Allocations</vt:lpstr>
      <vt:lpstr>YE Revenues</vt:lpstr>
      <vt:lpstr>YE Rev Calc</vt:lpstr>
      <vt:lpstr>Insur Exp</vt:lpstr>
      <vt:lpstr>Bad Debts</vt:lpstr>
      <vt:lpstr>O&amp;M Efficiency</vt:lpstr>
      <vt:lpstr>Exec Comp</vt:lpstr>
      <vt:lpstr>MEHC Officers</vt:lpstr>
      <vt:lpstr>NPC</vt:lpstr>
      <vt:lpstr>FloThru Tax</vt:lpstr>
      <vt:lpstr>Maj Plt Additions</vt:lpstr>
      <vt:lpstr>TY End PIS</vt:lpstr>
      <vt:lpstr>Work Cap</vt:lpstr>
      <vt:lpstr>Bridger Impairment</vt:lpstr>
      <vt:lpstr>NOIConvert</vt:lpstr>
      <vt:lpstr>'Bad Debts'!Print_Area</vt:lpstr>
      <vt:lpstr>'Bridger Impairment'!Print_Area</vt:lpstr>
      <vt:lpstr>'Exec Comp'!Print_Area</vt:lpstr>
      <vt:lpstr>'FloThru Tax'!Print_Area</vt:lpstr>
      <vt:lpstr>'Insur Exp'!Print_Area</vt:lpstr>
      <vt:lpstr>'Maj Plt Additions'!Print_Area</vt:lpstr>
      <vt:lpstr>'MEHC Officers'!Print_Area</vt:lpstr>
      <vt:lpstr>'O&amp;M Efficiency'!Print_Area</vt:lpstr>
      <vt:lpstr>'Sch 1 Summary'!Print_Area</vt:lpstr>
      <vt:lpstr>'Sch 2 Juris Allocations'!Print_Area</vt:lpstr>
      <vt:lpstr>'TY End PIS'!Print_Area</vt:lpstr>
      <vt:lpstr>'Work Cap'!Print_Area</vt:lpstr>
      <vt:lpstr>'YE Rev Calc'!Print_Area</vt:lpstr>
      <vt:lpstr>'YE Revenues'!Print_Area</vt:lpstr>
      <vt:lpstr>ROR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Dittmer</dc:creator>
  <cp:lastModifiedBy>LisaW4</cp:lastModifiedBy>
  <cp:lastPrinted>2013-06-13T15:49:13Z</cp:lastPrinted>
  <dcterms:created xsi:type="dcterms:W3CDTF">2013-06-07T20:17:19Z</dcterms:created>
  <dcterms:modified xsi:type="dcterms:W3CDTF">2013-06-13T22:29:53Z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