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085" windowHeight="6300" activeTab="1"/>
  </bookViews>
  <sheets>
    <sheet name="WINPC3 - Study Summary" sheetId="1" r:id="rId1"/>
    <sheet name="WINPC3 Output" sheetId="2" r:id="rId2"/>
    <sheet name="Total Product Costs" sheetId="3" r:id="rId3"/>
    <sheet name="Investment Cost Calc" sheetId="4" r:id="rId4"/>
    <sheet name="WINPC3 Investments" sheetId="5" r:id="rId5"/>
    <sheet name="WINPC3 Parameters" sheetId="6" r:id="rId6"/>
    <sheet name="WINPC3 ACF Inputs" sheetId="7" r:id="rId7"/>
    <sheet name="WINPC3 ACF Outputs" sheetId="8" r:id="rId8"/>
    <sheet name="Channel Plug Investments" sheetId="9" r:id="rId9"/>
    <sheet name="Investment CALC  Low Side CH PE" sheetId="10" r:id="rId10"/>
    <sheet name="Investment CALC for CH PE, MUX" sheetId="11" r:id="rId11"/>
    <sheet name="Plug Weighted Investment" sheetId="12" r:id="rId12"/>
    <sheet name="CRIS Billed" sheetId="13" r:id="rId13"/>
    <sheet name="DLC" sheetId="14" r:id="rId14"/>
  </sheets>
  <definedNames>
    <definedName name="_xlnm.Print_Area" localSheetId="0">'WINPC3 - Study Summary'!$A$1:$C$51</definedName>
    <definedName name="_xlnm.Print_Area" localSheetId="7">'WINPC3 ACF Outputs'!$A$1:$M$33,'WINPC3 ACF Outputs'!$A$34:$AC$55</definedName>
    <definedName name="_xlnm.Print_Titles" localSheetId="3">'Investment Cost Calc'!$1:$3</definedName>
    <definedName name="_xlnm.Print_Titles" localSheetId="2">'Total Product Costs'!$A:$D</definedName>
  </definedNames>
  <calcPr fullCalcOnLoad="1"/>
</workbook>
</file>

<file path=xl/comments1.xml><?xml version="1.0" encoding="utf-8"?>
<comments xmlns="http://schemas.openxmlformats.org/spreadsheetml/2006/main">
  <authors>
    <author>Qwest</author>
  </authors>
  <commentList>
    <comment ref="C23" authorId="0">
      <text>
        <r>
          <rPr>
            <sz val="8"/>
            <rFont val="Tahoma"/>
            <family val="0"/>
          </rPr>
          <t>Cost factors:  Factors for 2002 costs from 06/03 factors release using 9.63% COM and prescribed lives.  Loaded with Wholesale (TELRIC) cost factors for WASHINGTON.  Databases created 6/19/2003.</t>
        </r>
      </text>
    </comment>
  </commentList>
</comments>
</file>

<file path=xl/comments5.xml><?xml version="1.0" encoding="utf-8"?>
<comments xmlns="http://schemas.openxmlformats.org/spreadsheetml/2006/main">
  <authors>
    <author>Qwest</author>
  </authors>
  <commentList>
    <comment ref="A1" authorId="0">
      <text>
        <r>
          <rPr>
            <sz val="8"/>
            <rFont val="Tahoma"/>
            <family val="0"/>
          </rPr>
          <t>This is used by the WCP to confirm that the current sheet contains Investment information.</t>
        </r>
      </text>
    </comment>
    <comment ref="A2" authorId="0">
      <text>
        <r>
          <rPr>
            <sz val="8"/>
            <rFont val="Tahoma"/>
            <family val="0"/>
          </rPr>
          <t>The contents of the cell in the next column are to be used as the study name on outputs.</t>
        </r>
      </text>
    </comment>
    <comment ref="B2" authorId="0">
      <text>
        <r>
          <rPr>
            <sz val="8"/>
            <rFont val="Tahoma"/>
            <family val="0"/>
          </rPr>
          <t>Shown as the study name on outputs.</t>
        </r>
      </text>
    </comment>
    <comment ref="A3" authorId="0">
      <text>
        <r>
          <rPr>
            <sz val="8"/>
            <rFont val="Tahoma"/>
            <family val="0"/>
          </rPr>
          <t>Show the date in the next column as the run date on all outputs.</t>
        </r>
      </text>
    </comment>
    <comment ref="B3" authorId="0">
      <text>
        <r>
          <rPr>
            <sz val="8"/>
            <rFont val="Tahoma"/>
            <family val="0"/>
          </rPr>
          <t>Shown as the run date on all outputs.</t>
        </r>
      </text>
    </comment>
    <comment ref="A4" authorId="0">
      <text>
        <r>
          <rPr>
            <sz val="8"/>
            <rFont val="Tahoma"/>
            <family val="0"/>
          </rPr>
          <t>Write cost total for the individual investments listed after the "GROUP" label.</t>
        </r>
      </text>
    </comment>
    <comment ref="B4" authorId="0">
      <text>
        <r>
          <rPr>
            <sz val="8"/>
            <rFont val="Tahoma"/>
            <family val="0"/>
          </rPr>
          <t>Shown as the description of the GROUP on cost output.</t>
        </r>
      </text>
    </comment>
    <comment ref="G4" authorId="0">
      <text>
        <r>
          <rPr>
            <sz val="8"/>
            <rFont val="Tahoma"/>
            <family val="0"/>
          </rPr>
          <t>USOC (Optional)</t>
        </r>
      </text>
    </comment>
    <comment ref="A5" authorId="0">
      <text>
        <r>
          <rPr>
            <sz val="8"/>
            <rFont val="Tahoma"/>
            <family val="0"/>
          </rPr>
          <t>Apply all requested factors to the investment in this row.</t>
        </r>
      </text>
    </comment>
    <comment ref="B5" authorId="0">
      <text>
        <r>
          <rPr>
            <sz val="8"/>
            <rFont val="Tahoma"/>
            <family val="0"/>
          </rPr>
          <t>The state the investment is for.</t>
        </r>
      </text>
    </comment>
    <comment ref="C5" authorId="0">
      <text>
        <r>
          <rPr>
            <sz val="8"/>
            <rFont val="Tahoma"/>
            <family val="0"/>
          </rPr>
          <t>The investment or expense that cost factors will be applied to.</t>
        </r>
      </text>
    </comment>
    <comment ref="F5" authorId="0">
      <text>
        <r>
          <rPr>
            <sz val="8"/>
            <rFont val="Tahoma"/>
            <family val="0"/>
          </rPr>
          <t>Use the factors in the "WINPC3 ACF Outputs" sheet listed for this account.</t>
        </r>
      </text>
    </comment>
    <comment ref="G5" authorId="0">
      <text>
        <r>
          <rPr>
            <sz val="8"/>
            <rFont val="Tahoma"/>
            <family val="0"/>
          </rPr>
          <t>Optional.  If present, will show as description on cost output.</t>
        </r>
      </text>
    </comment>
    <comment ref="A6" authorId="0">
      <text>
        <r>
          <rPr>
            <sz val="8"/>
            <rFont val="Tahoma"/>
            <family val="0"/>
          </rPr>
          <t>Write cost total for the individual investments listed after the "GROUP" label.</t>
        </r>
      </text>
    </comment>
    <comment ref="B6" authorId="0">
      <text>
        <r>
          <rPr>
            <sz val="8"/>
            <rFont val="Tahoma"/>
            <family val="0"/>
          </rPr>
          <t>Shown as the description of the GROUP on cost output.</t>
        </r>
      </text>
    </comment>
    <comment ref="G6" authorId="0">
      <text>
        <r>
          <rPr>
            <sz val="8"/>
            <rFont val="Tahoma"/>
            <family val="0"/>
          </rPr>
          <t>USOC (Optional)</t>
        </r>
      </text>
    </comment>
  </commentList>
</comments>
</file>

<file path=xl/comments6.xml><?xml version="1.0" encoding="utf-8"?>
<comments xmlns="http://schemas.openxmlformats.org/spreadsheetml/2006/main">
  <authors>
    <author>Qwest</author>
  </authors>
  <commentList>
    <comment ref="A1" authorId="0">
      <text>
        <r>
          <rPr>
            <sz val="8"/>
            <rFont val="Tahoma"/>
            <family val="0"/>
          </rPr>
          <t>This is used by the RCP to confirm that the current sheet contains Parameter information.</t>
        </r>
      </text>
    </comment>
    <comment ref="A2" authorId="0">
      <text>
        <r>
          <rPr>
            <sz val="8"/>
            <rFont val="Tahoma"/>
            <family val="0"/>
          </rPr>
          <t>Include Washington in run.</t>
        </r>
      </text>
    </comment>
    <comment ref="A3" authorId="0">
      <text>
        <r>
          <rPr>
            <sz val="8"/>
            <rFont val="Tahoma"/>
            <family val="0"/>
          </rPr>
          <t>Write output using report "ICM Format"</t>
        </r>
      </text>
    </comment>
    <comment ref="A4" authorId="0">
      <text>
        <r>
          <rPr>
            <sz val="8"/>
            <rFont val="Tahoma"/>
            <family val="0"/>
          </rPr>
          <t>Write cost output using  2 decimal places.</t>
        </r>
      </text>
    </comment>
    <comment ref="A5" authorId="0">
      <text>
        <r>
          <rPr>
            <sz val="8"/>
            <rFont val="Tahoma"/>
            <family val="0"/>
          </rPr>
          <t>Calculate costs on Monthly basis.</t>
        </r>
      </text>
    </comment>
    <comment ref="A6" authorId="0">
      <text>
        <r>
          <rPr>
            <sz val="8"/>
            <rFont val="Tahoma"/>
            <family val="0"/>
          </rPr>
          <t>Write cost totals and subtotals for investment groups in the "WINPC3 Investments" sheet.</t>
        </r>
      </text>
    </comment>
    <comment ref="A7" authorId="0">
      <text>
        <r>
          <rPr>
            <sz val="8"/>
            <rFont val="Tahoma"/>
            <family val="0"/>
          </rPr>
          <t>The contents of this cell are no longer used.</t>
        </r>
      </text>
    </comment>
    <comment ref="A9" authorId="0">
      <text>
        <r>
          <rPr>
            <sz val="8"/>
            <rFont val="Tahoma"/>
            <family val="0"/>
          </rPr>
          <t>Include factors for "Interconnection".</t>
        </r>
      </text>
    </comment>
    <comment ref="A10" authorId="0">
      <text>
        <r>
          <rPr>
            <sz val="8"/>
            <rFont val="Tahoma"/>
            <family val="0"/>
          </rPr>
          <t>Study ID</t>
        </r>
      </text>
    </comment>
  </commentList>
</comments>
</file>

<file path=xl/comments7.xml><?xml version="1.0" encoding="utf-8"?>
<comments xmlns="http://schemas.openxmlformats.org/spreadsheetml/2006/main">
  <authors>
    <author>Qwest</author>
  </authors>
  <commentList>
    <comment ref="A2" authorId="0">
      <text>
        <r>
          <rPr>
            <sz val="8"/>
            <rFont val="Tahoma"/>
            <family val="0"/>
          </rPr>
          <t>Cost factors:  Factors for 2002 costs from 06/03 factors release using 9.63% COM and prescribed lives.  Loaded with Wholesale (TELRIC) cost factors for WASHINGTON.  Databases created 6/19/2003.</t>
        </r>
      </text>
    </comment>
  </commentList>
</comments>
</file>

<file path=xl/comments8.xml><?xml version="1.0" encoding="utf-8"?>
<comments xmlns="http://schemas.openxmlformats.org/spreadsheetml/2006/main">
  <authors>
    <author>Qwest</author>
  </authors>
  <commentList>
    <comment ref="A1" authorId="0">
      <text>
        <r>
          <rPr>
            <sz val="8"/>
            <rFont val="Tahoma"/>
            <family val="0"/>
          </rPr>
          <t>This is used by the cost program to confirm that the current sheet contains ACF Output information.</t>
        </r>
      </text>
    </comment>
    <comment ref="B40" authorId="0">
      <text>
        <r>
          <rPr>
            <sz val="8"/>
            <rFont val="Tahoma"/>
            <family val="0"/>
          </rPr>
          <t>Depreciation</t>
        </r>
      </text>
    </comment>
    <comment ref="C40" authorId="0">
      <text>
        <r>
          <rPr>
            <sz val="8"/>
            <rFont val="Tahoma"/>
            <family val="0"/>
          </rPr>
          <t>Cost Of Money</t>
        </r>
      </text>
    </comment>
    <comment ref="D40" authorId="0">
      <text>
        <r>
          <rPr>
            <sz val="8"/>
            <rFont val="Tahoma"/>
            <family val="0"/>
          </rPr>
          <t>Income Tax Expense</t>
        </r>
      </text>
    </comment>
    <comment ref="E40" authorId="0">
      <text>
        <r>
          <rPr>
            <sz val="8"/>
            <rFont val="Tahoma"/>
            <family val="0"/>
          </rPr>
          <t>Maintenance</t>
        </r>
      </text>
    </comment>
    <comment ref="F40" authorId="0">
      <text>
        <r>
          <rPr>
            <sz val="8"/>
            <rFont val="Tahoma"/>
            <family val="0"/>
          </rPr>
          <t>Property Taxes</t>
        </r>
      </text>
    </comment>
    <comment ref="G40" authorId="0">
      <text>
        <r>
          <rPr>
            <sz val="8"/>
            <rFont val="Tahoma"/>
            <family val="0"/>
          </rPr>
          <t>Building</t>
        </r>
      </text>
    </comment>
    <comment ref="H40" authorId="0">
      <text>
        <r>
          <rPr>
            <sz val="8"/>
            <rFont val="Tahoma"/>
            <family val="0"/>
          </rPr>
          <t>Land</t>
        </r>
      </text>
    </comment>
    <comment ref="I40" authorId="0">
      <text>
        <r>
          <rPr>
            <sz val="8"/>
            <rFont val="Tahoma"/>
            <family val="0"/>
          </rPr>
          <t>Product Management Expense</t>
        </r>
      </text>
    </comment>
    <comment ref="J40" authorId="0">
      <text>
        <r>
          <rPr>
            <sz val="8"/>
            <rFont val="Tahoma"/>
            <family val="0"/>
          </rPr>
          <t>Sales Expense</t>
        </r>
      </text>
    </comment>
    <comment ref="K40" authorId="0">
      <text>
        <r>
          <rPr>
            <sz val="8"/>
            <rFont val="Tahoma"/>
            <family val="0"/>
          </rPr>
          <t>Product Advertising Expense</t>
        </r>
      </text>
    </comment>
    <comment ref="L40" authorId="0">
      <text>
        <r>
          <rPr>
            <sz val="8"/>
            <rFont val="Tahoma"/>
            <family val="0"/>
          </rPr>
          <t>Business Fees (Other Operating Taxes)</t>
        </r>
      </text>
    </comment>
    <comment ref="M40" authorId="0">
      <text>
        <r>
          <rPr>
            <sz val="8"/>
            <rFont val="Tahoma"/>
            <family val="0"/>
          </rPr>
          <t>Network Operations</t>
        </r>
      </text>
    </comment>
    <comment ref="N40" authorId="0">
      <text>
        <r>
          <rPr>
            <sz val="8"/>
            <rFont val="Tahoma"/>
            <family val="0"/>
          </rPr>
          <t>Network Support Assets</t>
        </r>
      </text>
    </comment>
    <comment ref="O40" authorId="0">
      <text>
        <r>
          <rPr>
            <sz val="8"/>
            <rFont val="Tahoma"/>
            <family val="0"/>
          </rPr>
          <t>General Support Assets</t>
        </r>
      </text>
    </comment>
    <comment ref="P40" authorId="0">
      <text>
        <r>
          <rPr>
            <sz val="8"/>
            <rFont val="Tahoma"/>
            <family val="0"/>
          </rPr>
          <t>General Purpose Computers</t>
        </r>
      </text>
    </comment>
    <comment ref="Q40" authorId="0">
      <text>
        <r>
          <rPr>
            <sz val="8"/>
            <rFont val="Tahoma"/>
            <family val="0"/>
          </rPr>
          <t>Uncollectible</t>
        </r>
      </text>
    </comment>
    <comment ref="R40" authorId="0">
      <text>
        <r>
          <rPr>
            <sz val="8"/>
            <rFont val="Tahoma"/>
            <family val="0"/>
          </rPr>
          <t>Accounting &amp; Finance Expense</t>
        </r>
      </text>
    </comment>
    <comment ref="S40" authorId="0">
      <text>
        <r>
          <rPr>
            <sz val="8"/>
            <rFont val="Tahoma"/>
            <family val="0"/>
          </rPr>
          <t>Human Resources Expense</t>
        </r>
      </text>
    </comment>
    <comment ref="T40" authorId="0">
      <text>
        <r>
          <rPr>
            <sz val="8"/>
            <rFont val="Tahoma"/>
            <family val="0"/>
          </rPr>
          <t>Intangibles</t>
        </r>
      </text>
    </comment>
    <comment ref="U40" authorId="0">
      <text>
        <r>
          <rPr>
            <sz val="8"/>
            <rFont val="Tahoma"/>
            <family val="0"/>
          </rPr>
          <t>Executive Expense</t>
        </r>
      </text>
    </comment>
    <comment ref="V40" authorId="0">
      <text>
        <r>
          <rPr>
            <sz val="8"/>
            <rFont val="Tahoma"/>
            <family val="0"/>
          </rPr>
          <t>Planning Expense</t>
        </r>
      </text>
    </comment>
    <comment ref="W40" authorId="0">
      <text>
        <r>
          <rPr>
            <sz val="8"/>
            <rFont val="Tahoma"/>
            <family val="0"/>
          </rPr>
          <t>External Relations Expense</t>
        </r>
      </text>
    </comment>
    <comment ref="X40" authorId="0">
      <text>
        <r>
          <rPr>
            <sz val="8"/>
            <rFont val="Tahoma"/>
            <family val="0"/>
          </rPr>
          <t>Information Management Expense</t>
        </r>
      </text>
    </comment>
    <comment ref="Y40" authorId="0">
      <text>
        <r>
          <rPr>
            <sz val="8"/>
            <rFont val="Tahoma"/>
            <family val="0"/>
          </rPr>
          <t>Legal Expense</t>
        </r>
      </text>
    </comment>
    <comment ref="Z40" authorId="0">
      <text>
        <r>
          <rPr>
            <sz val="8"/>
            <rFont val="Tahoma"/>
            <family val="0"/>
          </rPr>
          <t>Other Procurement Expense</t>
        </r>
      </text>
    </comment>
    <comment ref="AA40" authorId="0">
      <text>
        <r>
          <rPr>
            <sz val="8"/>
            <rFont val="Tahoma"/>
            <family val="0"/>
          </rPr>
          <t>Research &amp; Development Expense</t>
        </r>
      </text>
    </comment>
    <comment ref="AB40" authorId="0">
      <text>
        <r>
          <rPr>
            <sz val="8"/>
            <rFont val="Tahoma"/>
            <family val="0"/>
          </rPr>
          <t>Other General and Admin Expense</t>
        </r>
      </text>
    </comment>
    <comment ref="AC40" authorId="0">
      <text>
        <r>
          <rPr>
            <sz val="8"/>
            <rFont val="Tahoma"/>
            <family val="0"/>
          </rPr>
          <t>Billing &amp; Collection - PL</t>
        </r>
      </text>
    </comment>
    <comment ref="A41" authorId="0">
      <text>
        <r>
          <rPr>
            <sz val="8"/>
            <rFont val="Tahoma"/>
            <family val="0"/>
          </rPr>
          <t>Land</t>
        </r>
      </text>
    </comment>
    <comment ref="A42" authorId="0">
      <text>
        <r>
          <rPr>
            <sz val="8"/>
            <rFont val="Tahoma"/>
            <family val="0"/>
          </rPr>
          <t>Building</t>
        </r>
      </text>
    </comment>
    <comment ref="A43" authorId="0">
      <text>
        <r>
          <rPr>
            <sz val="8"/>
            <rFont val="Tahoma"/>
            <family val="0"/>
          </rPr>
          <t>Circuit Equipment - Other Analog Equipment</t>
        </r>
      </text>
    </comment>
    <comment ref="A44" authorId="0">
      <text>
        <r>
          <rPr>
            <sz val="8"/>
            <rFont val="Tahoma"/>
            <family val="0"/>
          </rPr>
          <t>Circuit Equipment - Pair Gain - Digital</t>
        </r>
      </text>
    </comment>
    <comment ref="A45" authorId="0">
      <text>
        <r>
          <rPr>
            <sz val="8"/>
            <rFont val="Tahoma"/>
            <family val="0"/>
          </rPr>
          <t>Circuit Equipment - Other Digital Equipment</t>
        </r>
      </text>
    </comment>
    <comment ref="A46" authorId="0">
      <text>
        <r>
          <rPr>
            <sz val="8"/>
            <rFont val="Tahoma"/>
            <family val="0"/>
          </rPr>
          <t xml:space="preserve">Other Terminal Equipment - Channel Term. </t>
        </r>
      </text>
    </comment>
    <comment ref="A47" authorId="0">
      <text>
        <r>
          <rPr>
            <sz val="8"/>
            <rFont val="Tahoma"/>
            <family val="0"/>
          </rPr>
          <t>Poles</t>
        </r>
      </text>
    </comment>
    <comment ref="A48" authorId="0">
      <text>
        <r>
          <rPr>
            <sz val="8"/>
            <rFont val="Tahoma"/>
            <family val="0"/>
          </rPr>
          <t>Aerial Cable - Metallic</t>
        </r>
      </text>
    </comment>
    <comment ref="A49" authorId="0">
      <text>
        <r>
          <rPr>
            <sz val="8"/>
            <rFont val="Tahoma"/>
            <family val="0"/>
          </rPr>
          <t>Aerial Cable - Drop</t>
        </r>
      </text>
    </comment>
    <comment ref="A50" authorId="0">
      <text>
        <r>
          <rPr>
            <sz val="8"/>
            <rFont val="Tahoma"/>
            <family val="0"/>
          </rPr>
          <t>Underground Cable - Metallic</t>
        </r>
      </text>
    </comment>
    <comment ref="A51" authorId="0">
      <text>
        <r>
          <rPr>
            <sz val="8"/>
            <rFont val="Tahoma"/>
            <family val="0"/>
          </rPr>
          <t>Buried Cable - Drop</t>
        </r>
      </text>
    </comment>
    <comment ref="A52" authorId="0">
      <text>
        <r>
          <rPr>
            <sz val="8"/>
            <rFont val="Tahoma"/>
            <family val="0"/>
          </rPr>
          <t>Intrabuilding Network Cable - Metallic</t>
        </r>
      </text>
    </comment>
    <comment ref="A53" authorId="0">
      <text>
        <r>
          <rPr>
            <sz val="8"/>
            <rFont val="Tahoma"/>
            <family val="0"/>
          </rPr>
          <t>Buried Cable - Metallic</t>
        </r>
      </text>
    </comment>
    <comment ref="A54" authorId="0">
      <text>
        <r>
          <rPr>
            <sz val="8"/>
            <rFont val="Tahoma"/>
            <family val="0"/>
          </rPr>
          <t>Conduit System</t>
        </r>
      </text>
    </comment>
    <comment ref="A55" authorId="0">
      <text>
        <r>
          <rPr>
            <sz val="8"/>
            <rFont val="Tahoma"/>
            <family val="0"/>
          </rPr>
          <t>Aerial Wire</t>
        </r>
      </text>
    </comment>
  </commentList>
</comments>
</file>

<file path=xl/sharedStrings.xml><?xml version="1.0" encoding="utf-8"?>
<sst xmlns="http://schemas.openxmlformats.org/spreadsheetml/2006/main" count="4348" uniqueCount="561">
  <si>
    <t>Parameter</t>
  </si>
  <si>
    <t>Monthly</t>
  </si>
  <si>
    <t>Yes</t>
  </si>
  <si>
    <t>No</t>
  </si>
  <si>
    <t>ACFIN</t>
  </si>
  <si>
    <t xml:space="preserve">20C   </t>
  </si>
  <si>
    <t>DEPR-AVG</t>
  </si>
  <si>
    <t xml:space="preserve">COM-AVG </t>
  </si>
  <si>
    <t xml:space="preserve">IT-AVG  </t>
  </si>
  <si>
    <t>MTNC-TOT</t>
  </si>
  <si>
    <t xml:space="preserve">ADVAL   </t>
  </si>
  <si>
    <t xml:space="preserve">BLDG    </t>
  </si>
  <si>
    <t xml:space="preserve">LAND    </t>
  </si>
  <si>
    <t xml:space="preserve">PRODMAN </t>
  </si>
  <si>
    <t>SALESEXP</t>
  </si>
  <si>
    <t xml:space="preserve">ADVER   </t>
  </si>
  <si>
    <t xml:space="preserve">BF      </t>
  </si>
  <si>
    <t xml:space="preserve">NTWKOP  </t>
  </si>
  <si>
    <t xml:space="preserve">NTWKST  </t>
  </si>
  <si>
    <t xml:space="preserve">GENLST  </t>
  </si>
  <si>
    <t xml:space="preserve">COMPTR  </t>
  </si>
  <si>
    <t xml:space="preserve">UNCOLL  </t>
  </si>
  <si>
    <t xml:space="preserve">ACCNT   </t>
  </si>
  <si>
    <t xml:space="preserve">HREXP   </t>
  </si>
  <si>
    <t xml:space="preserve">INTAN   </t>
  </si>
  <si>
    <t xml:space="preserve">EXEC    </t>
  </si>
  <si>
    <t xml:space="preserve">PLAN    </t>
  </si>
  <si>
    <t xml:space="preserve">EXTERN  </t>
  </si>
  <si>
    <t xml:space="preserve">INFOR   </t>
  </si>
  <si>
    <t xml:space="preserve">LEGAL   </t>
  </si>
  <si>
    <t xml:space="preserve">PROCR   </t>
  </si>
  <si>
    <t xml:space="preserve">RDEXP   </t>
  </si>
  <si>
    <t xml:space="preserve">GENL    </t>
  </si>
  <si>
    <t xml:space="preserve">BC      </t>
  </si>
  <si>
    <t xml:space="preserve">110C  </t>
  </si>
  <si>
    <t xml:space="preserve">57C   </t>
  </si>
  <si>
    <t xml:space="preserve">257C  </t>
  </si>
  <si>
    <t xml:space="preserve">357C  </t>
  </si>
  <si>
    <t xml:space="preserve">858C  </t>
  </si>
  <si>
    <t xml:space="preserve">1C    </t>
  </si>
  <si>
    <t xml:space="preserve">52C   </t>
  </si>
  <si>
    <t xml:space="preserve">42C   </t>
  </si>
  <si>
    <t xml:space="preserve">5C    </t>
  </si>
  <si>
    <t xml:space="preserve">35C   </t>
  </si>
  <si>
    <t xml:space="preserve">62C   </t>
  </si>
  <si>
    <t xml:space="preserve">45C   </t>
  </si>
  <si>
    <t xml:space="preserve">4C    </t>
  </si>
  <si>
    <t xml:space="preserve">3C    </t>
  </si>
  <si>
    <t>Investment</t>
  </si>
  <si>
    <t>STUDY</t>
  </si>
  <si>
    <t>CHANNEL PERFORMANCE</t>
  </si>
  <si>
    <t>DATE</t>
  </si>
  <si>
    <t>GROUP</t>
  </si>
  <si>
    <t>EF&amp;I</t>
  </si>
  <si>
    <t>357C</t>
  </si>
  <si>
    <t>Analog Circuit Equipment</t>
  </si>
  <si>
    <t>ACFOUT</t>
  </si>
  <si>
    <t>Factors For:  Interconnection</t>
  </si>
  <si>
    <t xml:space="preserve">    </t>
  </si>
  <si>
    <t xml:space="preserve">State: </t>
  </si>
  <si>
    <t>ACCOUNTS</t>
  </si>
  <si>
    <t>COM-AVG</t>
  </si>
  <si>
    <t>IT-AVG</t>
  </si>
  <si>
    <t>ADVAL</t>
  </si>
  <si>
    <t>BLDG</t>
  </si>
  <si>
    <t>LAND</t>
  </si>
  <si>
    <t>PRODMAN</t>
  </si>
  <si>
    <t>ADVER</t>
  </si>
  <si>
    <t>BF</t>
  </si>
  <si>
    <t>NTWKOP</t>
  </si>
  <si>
    <t>NTWKST</t>
  </si>
  <si>
    <t>GENLST</t>
  </si>
  <si>
    <t>COMPTR</t>
  </si>
  <si>
    <t>UNCOLL</t>
  </si>
  <si>
    <t>ACCNT</t>
  </si>
  <si>
    <t>HREXP</t>
  </si>
  <si>
    <t>INTAN</t>
  </si>
  <si>
    <t>EXEC</t>
  </si>
  <si>
    <t>PLAN</t>
  </si>
  <si>
    <t>EXTERN</t>
  </si>
  <si>
    <t>INFOR</t>
  </si>
  <si>
    <t>LEGAL</t>
  </si>
  <si>
    <t>PROCR</t>
  </si>
  <si>
    <t>RDEXP</t>
  </si>
  <si>
    <t>GENL</t>
  </si>
  <si>
    <t>BC</t>
  </si>
  <si>
    <t>20C</t>
  </si>
  <si>
    <t>110C</t>
  </si>
  <si>
    <t>57C</t>
  </si>
  <si>
    <t>257C</t>
  </si>
  <si>
    <t>858C</t>
  </si>
  <si>
    <t>1C</t>
  </si>
  <si>
    <t>52C</t>
  </si>
  <si>
    <t>42C</t>
  </si>
  <si>
    <t>5C</t>
  </si>
  <si>
    <t>35C</t>
  </si>
  <si>
    <t>62C</t>
  </si>
  <si>
    <t>45C</t>
  </si>
  <si>
    <t>4C</t>
  </si>
  <si>
    <t>3C</t>
  </si>
  <si>
    <t>Report Type:  ICM Format</t>
  </si>
  <si>
    <t>INVESTMENTS</t>
  </si>
  <si>
    <t>INVT WITH L &amp; B</t>
  </si>
  <si>
    <t>INVT BASED</t>
  </si>
  <si>
    <t>COE BLDG</t>
  </si>
  <si>
    <t>COE LAND</t>
  </si>
  <si>
    <t>INVT WITH COE</t>
  </si>
  <si>
    <t>EXPENSE</t>
  </si>
  <si>
    <t>DIRECTLY ASSN</t>
  </si>
  <si>
    <t>INVT &amp; EXPENSE</t>
  </si>
  <si>
    <t>TDC</t>
  </si>
  <si>
    <t>FAC</t>
  </si>
  <si>
    <t>Description</t>
  </si>
  <si>
    <t>Type</t>
  </si>
  <si>
    <t>Account</t>
  </si>
  <si>
    <t>USOC</t>
  </si>
  <si>
    <t>TDC $</t>
  </si>
  <si>
    <t>Factor</t>
  </si>
  <si>
    <t>N/A</t>
  </si>
  <si>
    <t>TOTAL</t>
  </si>
  <si>
    <t>SUM</t>
  </si>
  <si>
    <t>Loaded</t>
  </si>
  <si>
    <t>Direct</t>
  </si>
  <si>
    <t>Expense</t>
  </si>
  <si>
    <t>Common</t>
  </si>
  <si>
    <t>TELRIC +</t>
  </si>
  <si>
    <t>TELRIC</t>
  </si>
  <si>
    <t>Network</t>
  </si>
  <si>
    <t>Support</t>
  </si>
  <si>
    <t>Total</t>
  </si>
  <si>
    <t>Acct</t>
  </si>
  <si>
    <t>FRC</t>
  </si>
  <si>
    <t>Account Name</t>
  </si>
  <si>
    <t>Depreciation</t>
  </si>
  <si>
    <t>Cost Of Money</t>
  </si>
  <si>
    <t>Income Tax</t>
  </si>
  <si>
    <t>Maintenance</t>
  </si>
  <si>
    <t>Switch RTU</t>
  </si>
  <si>
    <t>Total Capital Costs</t>
  </si>
  <si>
    <t>Circuit Equipment - Other Digital Equipment</t>
  </si>
  <si>
    <t>Land</t>
  </si>
  <si>
    <t>Row</t>
  </si>
  <si>
    <t>Source or Calculation</t>
  </si>
  <si>
    <t>Factor Value</t>
  </si>
  <si>
    <t>A</t>
  </si>
  <si>
    <t>Direct Expenses</t>
  </si>
  <si>
    <t>Billing &amp; Collection - PL</t>
  </si>
  <si>
    <t>Product Management Expense</t>
  </si>
  <si>
    <t>Sales Expense</t>
  </si>
  <si>
    <t>Product Advertising Expense</t>
  </si>
  <si>
    <t>Network Operations</t>
  </si>
  <si>
    <t>Uncollectible</t>
  </si>
  <si>
    <t>TELRIC + Common Costs</t>
  </si>
  <si>
    <t>B</t>
  </si>
  <si>
    <t>C</t>
  </si>
  <si>
    <t>sI r"Total" cD</t>
  </si>
  <si>
    <t>Study Name</t>
  </si>
  <si>
    <t>Study Requester</t>
  </si>
  <si>
    <t>Type of Study</t>
  </si>
  <si>
    <t>Study ID</t>
  </si>
  <si>
    <t>Cost Factor Group</t>
  </si>
  <si>
    <t>Interconnection</t>
  </si>
  <si>
    <t>Study Applications</t>
  </si>
  <si>
    <t>Completion Date</t>
  </si>
  <si>
    <t>Cost Analyst</t>
  </si>
  <si>
    <t>Study Review</t>
  </si>
  <si>
    <t>Reviewer</t>
  </si>
  <si>
    <t>Date</t>
  </si>
  <si>
    <t>Model</t>
  </si>
  <si>
    <t>Wholesale Cost Program</t>
  </si>
  <si>
    <t>Cost Factor Databases</t>
  </si>
  <si>
    <t>Cost Factors Used</t>
  </si>
  <si>
    <t>Effective Date</t>
  </si>
  <si>
    <t>Capital Recovery</t>
  </si>
  <si>
    <t>COE Land &amp; Bldg</t>
  </si>
  <si>
    <t>Billing &amp; Collection (PL)</t>
  </si>
  <si>
    <t>Inflation</t>
  </si>
  <si>
    <t>Major Cost Drivers</t>
  </si>
  <si>
    <t>Miscellaneous Expenses</t>
  </si>
  <si>
    <t>LOW SIDE CHANNEL PERFORMANCE</t>
  </si>
  <si>
    <t>Low Side Channel Performance with MULTIPLEXING</t>
  </si>
  <si>
    <t xml:space="preserve">      -RTU factors released 02/01.</t>
  </si>
  <si>
    <t xml:space="preserve">      -POWER investment factors released 01/01.</t>
  </si>
  <si>
    <t xml:space="preserve">      -SALES TAX released 01/01.</t>
  </si>
  <si>
    <t xml:space="preserve">      -TELCO Engineering factors released 01/01.</t>
  </si>
  <si>
    <t xml:space="preserve">      -INTEREST DURING CONSTRUCTION released 01/01.</t>
  </si>
  <si>
    <t xml:space="preserve">      -PROVISIONING factors released 01/01.</t>
  </si>
  <si>
    <t xml:space="preserve">      -TELEPHONE PLANT INDEX released 01/01.</t>
  </si>
  <si>
    <t xml:space="preserve">      -STRUCTURE RATIO released 01/01.</t>
  </si>
  <si>
    <t>Models Used</t>
  </si>
  <si>
    <t>Version</t>
  </si>
  <si>
    <t>Cost Factors Model  (TELRIC)</t>
  </si>
  <si>
    <t>INVESTMENT</t>
  </si>
  <si>
    <t>Weighting</t>
  </si>
  <si>
    <t>&amp; FILL</t>
  </si>
  <si>
    <t>DS0 Low Side Channelization</t>
  </si>
  <si>
    <t>With Multiplexing</t>
  </si>
  <si>
    <t>LOOP START - LO/LS</t>
  </si>
  <si>
    <t>GROUND START</t>
  </si>
  <si>
    <t>REVERSE BATTERY &amp; PBX</t>
  </si>
  <si>
    <t>NO SIGNALLING</t>
  </si>
  <si>
    <t xml:space="preserve">Channel Plug Investments </t>
  </si>
  <si>
    <t>TIF &amp; SPARE</t>
  </si>
  <si>
    <t>Channel Performance</t>
  </si>
  <si>
    <t>NC Code</t>
  </si>
  <si>
    <t>FACTOR</t>
  </si>
  <si>
    <t>DS1/DS0 MUX, Low Side Channelization</t>
  </si>
  <si>
    <t>IA</t>
  </si>
  <si>
    <t>NCI CODE</t>
  </si>
  <si>
    <t>DESCRIPTION</t>
  </si>
  <si>
    <t>NC</t>
  </si>
  <si>
    <t>End-User NI</t>
  </si>
  <si>
    <t>Average</t>
  </si>
  <si>
    <t>% Metallic</t>
  </si>
  <si>
    <t>Weighted</t>
  </si>
  <si>
    <t>CODE</t>
  </si>
  <si>
    <t>&amp; CLEC NI</t>
  </si>
  <si>
    <t>Location</t>
  </si>
  <si>
    <t>OF PLUG</t>
  </si>
  <si>
    <t>PRICE</t>
  </si>
  <si>
    <t>QTY</t>
  </si>
  <si>
    <t>Invest</t>
  </si>
  <si>
    <t>&amp; Pair Gain</t>
  </si>
  <si>
    <t>Acc</t>
  </si>
  <si>
    <t>Metallic</t>
  </si>
  <si>
    <t>DSO/VOICE</t>
  </si>
  <si>
    <t>LC</t>
  </si>
  <si>
    <t>02LS2</t>
  </si>
  <si>
    <t>CO</t>
  </si>
  <si>
    <t>2W FXS/DPO</t>
  </si>
  <si>
    <t>04LO2</t>
  </si>
  <si>
    <t>4W FXO</t>
  </si>
  <si>
    <t>02LO2</t>
  </si>
  <si>
    <t>2W FXO</t>
  </si>
  <si>
    <t xml:space="preserve"> DLC</t>
  </si>
  <si>
    <t>DLC</t>
  </si>
  <si>
    <t>DCS</t>
  </si>
  <si>
    <t>Rem Term</t>
  </si>
  <si>
    <t>SLCUECNC</t>
  </si>
  <si>
    <t>Basic Plug Credit</t>
  </si>
  <si>
    <t>SLCULFE2</t>
  </si>
  <si>
    <t>SLCUDCU2</t>
  </si>
  <si>
    <t>LD</t>
  </si>
  <si>
    <t>02GS2</t>
  </si>
  <si>
    <t>04GO2</t>
  </si>
  <si>
    <t>02GO2</t>
  </si>
  <si>
    <t>LH</t>
  </si>
  <si>
    <t>02NO2</t>
  </si>
  <si>
    <t>2W TO</t>
  </si>
  <si>
    <t>04NO2</t>
  </si>
  <si>
    <t>4W TO</t>
  </si>
  <si>
    <t>The quantities by USOC are from the CDW by CLS and USOC for CRIS billed circuits.</t>
  </si>
  <si>
    <t>Low Side Channel Performance</t>
  </si>
  <si>
    <t>LO</t>
  </si>
  <si>
    <t>PJWCX</t>
  </si>
  <si>
    <t>LS</t>
  </si>
  <si>
    <t>PJWHX</t>
  </si>
  <si>
    <t>CLS = Class Of Service</t>
  </si>
  <si>
    <t>GS</t>
  </si>
  <si>
    <t>PCWJX</t>
  </si>
  <si>
    <t>CLEI = Common Language Equipment Identifier</t>
  </si>
  <si>
    <t>NO SIGNAL</t>
  </si>
  <si>
    <t>PCWEX</t>
  </si>
  <si>
    <t>CRIS = Customer Record Information System</t>
  </si>
  <si>
    <t>REM TERM = Remote Terminal</t>
  </si>
  <si>
    <t>CO = Central Office</t>
  </si>
  <si>
    <t>TIF = Total Investment Factor</t>
  </si>
  <si>
    <t>NI = Network Interface</t>
  </si>
  <si>
    <t>Plug-Ins</t>
  </si>
  <si>
    <t>TIF</t>
  </si>
  <si>
    <t>Spare</t>
  </si>
  <si>
    <t>NCI Code = Network Channel Interface Code</t>
  </si>
  <si>
    <t>Without Warehouse</t>
  </si>
  <si>
    <t>NC Code = Network Channel Code</t>
  </si>
  <si>
    <t>USOC = Universal Service Order Code</t>
  </si>
  <si>
    <t>DLC = Digital Loop Carrier (Pair Gain)</t>
  </si>
  <si>
    <t>CDW = Corporate Data Warehouse</t>
  </si>
  <si>
    <t>Metallic with Multiplexing</t>
  </si>
  <si>
    <t>DLC with multiplexing</t>
  </si>
  <si>
    <t>CO/MUX</t>
  </si>
  <si>
    <t>02RV2.T</t>
  </si>
  <si>
    <t>2W FXO/DPT GNTR</t>
  </si>
  <si>
    <t>MULTIPLEXING</t>
  </si>
  <si>
    <t>RB</t>
  </si>
  <si>
    <t>PCW1X</t>
  </si>
  <si>
    <t>PLUGS AND PRICES FROM ENGINEERING</t>
  </si>
  <si>
    <t>CLEC NI</t>
  </si>
  <si>
    <t>CLEI</t>
  </si>
  <si>
    <t>VENDOR</t>
  </si>
  <si>
    <t>WEIGHTING</t>
  </si>
  <si>
    <t>ACCOUNT</t>
  </si>
  <si>
    <t>a. DSO/VOICE</t>
  </si>
  <si>
    <t>D4F1GWS</t>
  </si>
  <si>
    <t>XEL</t>
  </si>
  <si>
    <t>D4FIHPO</t>
  </si>
  <si>
    <t>D4CXG337AA</t>
  </si>
  <si>
    <t>PULSECOM</t>
  </si>
  <si>
    <t>b. DSO/VOICE</t>
  </si>
  <si>
    <t>D4F1CE0CAA</t>
  </si>
  <si>
    <t>D4F1JR0</t>
  </si>
  <si>
    <t>D4F1HP0</t>
  </si>
  <si>
    <t>c. DSO/VOICE</t>
  </si>
  <si>
    <t>d. DSO/VOICE</t>
  </si>
  <si>
    <t>e. DSO/VOICE</t>
  </si>
  <si>
    <t>f. DSO/VOICE</t>
  </si>
  <si>
    <t>g. DSO/VOICE</t>
  </si>
  <si>
    <t>h. DSO/VOICE</t>
  </si>
  <si>
    <t>D4CTN8F</t>
  </si>
  <si>
    <t>2W ETO</t>
  </si>
  <si>
    <t>D4CTDDL9AB</t>
  </si>
  <si>
    <t>D4CTSB09AB</t>
  </si>
  <si>
    <t>2W TO/GT</t>
  </si>
  <si>
    <t>D4C0S44</t>
  </si>
  <si>
    <t>D4CTHPL9AA</t>
  </si>
  <si>
    <t>4W ETO</t>
  </si>
  <si>
    <t>D4C0P775AA</t>
  </si>
  <si>
    <t>j. DSO/VOICE</t>
  </si>
  <si>
    <t>i. DSO/VOICE</t>
  </si>
  <si>
    <t>k. DSO/VOICE</t>
  </si>
  <si>
    <t>l. DSO/VOICE</t>
  </si>
  <si>
    <t>Used in Back to Back D4 or D4 to SLC</t>
  </si>
  <si>
    <t>D4IMRA0BAA</t>
  </si>
  <si>
    <t>TANDEM</t>
  </si>
  <si>
    <t>D4CEP155AA</t>
  </si>
  <si>
    <t>4W TANDEM</t>
  </si>
  <si>
    <t>LSDEMUX</t>
  </si>
  <si>
    <t>COE</t>
  </si>
  <si>
    <t>REMOTE TE</t>
  </si>
  <si>
    <t>4W BOTH ENDS</t>
  </si>
  <si>
    <t>SOURCE:  RJ26, CDW BPRRD10V, ANN HIERONYMUS</t>
  </si>
  <si>
    <t>LA</t>
  </si>
  <si>
    <t>CRIS-BILLED QUANTITIES OF SELECTED CLS AND USOCS</t>
  </si>
  <si>
    <t>LB</t>
  </si>
  <si>
    <t>(ALL CLS, EXCLUDING 1FB AND 1FR)</t>
  </si>
  <si>
    <t>REV</t>
  </si>
  <si>
    <t>NO S</t>
  </si>
  <si>
    <t>YEARMO</t>
  </si>
  <si>
    <t>ST</t>
  </si>
  <si>
    <t>CLS</t>
  </si>
  <si>
    <t>TYP</t>
  </si>
  <si>
    <t>MN</t>
  </si>
  <si>
    <t>PYC2N</t>
  </si>
  <si>
    <t>R</t>
  </si>
  <si>
    <t>C S R</t>
  </si>
  <si>
    <t>PYC3N</t>
  </si>
  <si>
    <t>RCCML</t>
  </si>
  <si>
    <t>E &amp; M</t>
  </si>
  <si>
    <t>ND</t>
  </si>
  <si>
    <t>NE</t>
  </si>
  <si>
    <t>SD</t>
  </si>
  <si>
    <t>AZ</t>
  </si>
  <si>
    <t>PCWAX</t>
  </si>
  <si>
    <t>C21XX</t>
  </si>
  <si>
    <t>DQKXX</t>
  </si>
  <si>
    <t>FFNJX</t>
  </si>
  <si>
    <t>FFNUX</t>
  </si>
  <si>
    <t>XBHXX</t>
  </si>
  <si>
    <t>XFBXX</t>
  </si>
  <si>
    <t>XLBXX</t>
  </si>
  <si>
    <t>XMBXX</t>
  </si>
  <si>
    <t>PYCDL</t>
  </si>
  <si>
    <t>ID</t>
  </si>
  <si>
    <t>FFN2X</t>
  </si>
  <si>
    <t>GFFUA</t>
  </si>
  <si>
    <t>IP</t>
  </si>
  <si>
    <t xml:space="preserve">1FL  </t>
  </si>
  <si>
    <t>COPXX</t>
  </si>
  <si>
    <t>MH</t>
  </si>
  <si>
    <t>PYCDS</t>
  </si>
  <si>
    <t>MT</t>
  </si>
  <si>
    <t>GFFJC</t>
  </si>
  <si>
    <t>OR</t>
  </si>
  <si>
    <t xml:space="preserve">EF9  </t>
  </si>
  <si>
    <t>FFNDX</t>
  </si>
  <si>
    <t xml:space="preserve">JBG  </t>
  </si>
  <si>
    <t xml:space="preserve">JBH  </t>
  </si>
  <si>
    <t>XZV29</t>
  </si>
  <si>
    <t>UT</t>
  </si>
  <si>
    <t>FFB1E</t>
  </si>
  <si>
    <t>WA</t>
  </si>
  <si>
    <t xml:space="preserve">FNX  </t>
  </si>
  <si>
    <t>FXRXX</t>
  </si>
  <si>
    <t xml:space="preserve">HFB  </t>
  </si>
  <si>
    <t xml:space="preserve">JBM  </t>
  </si>
  <si>
    <t xml:space="preserve">LMB  </t>
  </si>
  <si>
    <t xml:space="preserve">SFO  </t>
  </si>
  <si>
    <t>XLAYX</t>
  </si>
  <si>
    <t>WY</t>
  </si>
  <si>
    <t>FFBVF</t>
  </si>
  <si>
    <t>GFFUC</t>
  </si>
  <si>
    <t>XFFXX</t>
  </si>
  <si>
    <t>PCWBX</t>
  </si>
  <si>
    <t>DQ6XX</t>
  </si>
  <si>
    <t>EZB2X</t>
  </si>
  <si>
    <t xml:space="preserve">8NA  </t>
  </si>
  <si>
    <t>F3FDD</t>
  </si>
  <si>
    <t>FFB1H</t>
  </si>
  <si>
    <t>FFBHM</t>
  </si>
  <si>
    <t>FFBVD</t>
  </si>
  <si>
    <t>FFNYX</t>
  </si>
  <si>
    <t>FYB1M</t>
  </si>
  <si>
    <t>PYC6N</t>
  </si>
  <si>
    <t>XFMXX</t>
  </si>
  <si>
    <t>XMHXX</t>
  </si>
  <si>
    <t>FFB1J</t>
  </si>
  <si>
    <t>FYB1K</t>
  </si>
  <si>
    <t>GFFSC</t>
  </si>
  <si>
    <t>GFFSE</t>
  </si>
  <si>
    <t>GMSXX</t>
  </si>
  <si>
    <t>FFB6E</t>
  </si>
  <si>
    <t>KFTXX</t>
  </si>
  <si>
    <t>P161K</t>
  </si>
  <si>
    <t>CYR2X</t>
  </si>
  <si>
    <t>FFB1G</t>
  </si>
  <si>
    <t>FFB1N</t>
  </si>
  <si>
    <t>FFB1O</t>
  </si>
  <si>
    <t>FFBHN</t>
  </si>
  <si>
    <t>P161G</t>
  </si>
  <si>
    <t>XFHXX</t>
  </si>
  <si>
    <t>PCWCX</t>
  </si>
  <si>
    <t>DQVXX</t>
  </si>
  <si>
    <t>FXKTL</t>
  </si>
  <si>
    <t>1FMUX</t>
  </si>
  <si>
    <t>FFB1D</t>
  </si>
  <si>
    <t>XAVTT</t>
  </si>
  <si>
    <t>FFBVX</t>
  </si>
  <si>
    <t>J2AXX</t>
  </si>
  <si>
    <t>COQXX</t>
  </si>
  <si>
    <t xml:space="preserve">GRP  </t>
  </si>
  <si>
    <t>FFBH8</t>
  </si>
  <si>
    <t>FFBHU</t>
  </si>
  <si>
    <t>GFFJE</t>
  </si>
  <si>
    <t xml:space="preserve">JBV  </t>
  </si>
  <si>
    <t>FFB1F</t>
  </si>
  <si>
    <t>FFBVG</t>
  </si>
  <si>
    <t>FFBWX</t>
  </si>
  <si>
    <t>P161M</t>
  </si>
  <si>
    <t xml:space="preserve">UEE  </t>
  </si>
  <si>
    <t>PLDRL</t>
  </si>
  <si>
    <t>PYC1N</t>
  </si>
  <si>
    <t>PYKJN</t>
  </si>
  <si>
    <t>XBAXT</t>
  </si>
  <si>
    <t>XZV69</t>
  </si>
  <si>
    <t>LDCFL</t>
  </si>
  <si>
    <t>RCCPN</t>
  </si>
  <si>
    <t>FXKTS</t>
  </si>
  <si>
    <t>XZV19</t>
  </si>
  <si>
    <t>XZV59</t>
  </si>
  <si>
    <t>XZVA9</t>
  </si>
  <si>
    <t>PLYVL</t>
  </si>
  <si>
    <t>OMRVL</t>
  </si>
  <si>
    <t>PYKGN</t>
  </si>
  <si>
    <t>XDV2X</t>
  </si>
  <si>
    <t>XZV39</t>
  </si>
  <si>
    <t>PYKM1</t>
  </si>
  <si>
    <t>PYKM2</t>
  </si>
  <si>
    <t>XDV6X</t>
  </si>
  <si>
    <t>PYC9N</t>
  </si>
  <si>
    <t xml:space="preserve">91L  </t>
  </si>
  <si>
    <t>XAVOL</t>
  </si>
  <si>
    <t>PCWHX</t>
  </si>
  <si>
    <t>FXPTL</t>
  </si>
  <si>
    <t>FXPTS</t>
  </si>
  <si>
    <t>PCWKX</t>
  </si>
  <si>
    <t>XAVUT</t>
  </si>
  <si>
    <t>XDV3X</t>
  </si>
  <si>
    <t>XDV7X</t>
  </si>
  <si>
    <t>XAVWT</t>
  </si>
  <si>
    <t>1FMJX</t>
  </si>
  <si>
    <t>RZHCN</t>
  </si>
  <si>
    <t>EZB3X</t>
  </si>
  <si>
    <t>EZBYX</t>
  </si>
  <si>
    <t>XBMXN</t>
  </si>
  <si>
    <t>Qwest</t>
  </si>
  <si>
    <t>DLC %</t>
  </si>
  <si>
    <t>Unbundled Loop demultiplexing investments</t>
  </si>
  <si>
    <t>State</t>
  </si>
  <si>
    <t>Spread over all Unbundled Loops</t>
  </si>
  <si>
    <t>2-WIRE</t>
  </si>
  <si>
    <t>Wtd Invest</t>
  </si>
  <si>
    <t>MD &amp; LG</t>
  </si>
  <si>
    <t>VS &amp; SM</t>
  </si>
  <si>
    <t>Per Occurrence</t>
  </si>
  <si>
    <t>WCG%</t>
  </si>
  <si>
    <t>4-WIRE</t>
  </si>
  <si>
    <t>This is from the Loop MOD 2 group.</t>
  </si>
  <si>
    <t>Channel Plug Investments from the Investment CALC for Low Side ChannelPerformance, MUX Tab.</t>
  </si>
  <si>
    <t>Channel Plug Investments from the Investment CALC for Low Side Channel Performance Tab.</t>
  </si>
  <si>
    <t xml:space="preserve">TIF &amp; </t>
  </si>
  <si>
    <t>SPARE</t>
  </si>
  <si>
    <t>Building</t>
  </si>
  <si>
    <t>Other</t>
  </si>
  <si>
    <t>Expenses</t>
  </si>
  <si>
    <t>TSLRIC +</t>
  </si>
  <si>
    <t>Invst.</t>
  </si>
  <si>
    <t>Based &amp;</t>
  </si>
  <si>
    <t>Mktg.</t>
  </si>
  <si>
    <t>Marketing Factors</t>
  </si>
  <si>
    <t>NM</t>
  </si>
  <si>
    <t>QW</t>
  </si>
  <si>
    <t>TIF from the Electronic Data Base, Vintage 00V1, 6/01.</t>
  </si>
  <si>
    <t>Plug-Ins without Warehouse, Transportation only</t>
  </si>
  <si>
    <t xml:space="preserve">       Of Money.  No 1-10 year factors developed.</t>
  </si>
  <si>
    <t xml:space="preserve">      -MAINTENANCE factors released 02/02.</t>
  </si>
  <si>
    <t xml:space="preserve">      -TOTAL INSTALLED FACTORS (TIF) released 01/01.</t>
  </si>
  <si>
    <t xml:space="preserve">      -LAND AND BUILDING factors released 02/02.</t>
  </si>
  <si>
    <t>Washington</t>
  </si>
  <si>
    <t>State(s):  WA</t>
  </si>
  <si>
    <t>State:  Washington</t>
  </si>
  <si>
    <t>2001WA01E</t>
  </si>
  <si>
    <t xml:space="preserve">      -Run Done With Database Vintage: 2001WA01E, Dated:  06/19/03</t>
  </si>
  <si>
    <t xml:space="preserve">      -Wholesale Cost Program (TELRIC) Data Base released 06/03 (2001WA01E).</t>
  </si>
  <si>
    <t xml:space="preserve">      -Factors loaded from Factors Model (Expense Module), Version 2001V2.</t>
  </si>
  <si>
    <t xml:space="preserve">      -CAPITAL RECOVERY factors released 06/03 and based on 9.63% Cost</t>
  </si>
  <si>
    <t xml:space="preserve">      -AD VALOREM Tax released 06/03.</t>
  </si>
  <si>
    <t xml:space="preserve">      -DIRECTLY ASSIGNED expense factors released 06/03.</t>
  </si>
  <si>
    <t xml:space="preserve">      -BUSINESS FEES released 06/03.</t>
  </si>
  <si>
    <t xml:space="preserve">      -COMMON Expense released 06/03.</t>
  </si>
  <si>
    <t xml:space="preserve">      -DIRECTLY ATTRIBUTABLE expense factors released 06/03.</t>
  </si>
  <si>
    <t xml:space="preserve">      -SALES EXPENSE factor released 06/03.</t>
  </si>
  <si>
    <t xml:space="preserve">      -PRODUCT MANAGEMENT factor released 06/03.</t>
  </si>
  <si>
    <t>Parameter File:  I:\Recurring\Workman\LowSideChannel\WA\7693 Low Side Channel Performance 6-03\Low Side Channel Perm WA#7693.xls, Sheet "WINPC3 Parameters"</t>
  </si>
  <si>
    <t>ACF Input:  I:\Recurring\Workman\LowSideChannel\WA\7693 Low Side Channel Performance 6-03\Low Side Channel Perm WA#7693.xls, Sheet "WINPC3 ACF Inputs"</t>
  </si>
  <si>
    <t>ACF Output:  I:\Recurring\Workman\LowSideChannel\WA\7693 Low Side Channel Performance 6-03\Low Side Channel Perm WA#7693.xls, Sheet "WINPC3 ACF Outputs"</t>
  </si>
  <si>
    <t>Investment:  I:\Recurring\Workman\LowSideChannel\WA\7693 Low Side Channel Performance 6-03\Low Side Channel Perm WA#7693.xls, Sheet "WINPC3 Investments"</t>
  </si>
  <si>
    <t>Output:  I:\Recurring\Workman\LowSideChannel\WA\7693 Low Side Channel Performance 6-03\Low Side Channel Perm WA#7693.xls, Sheet "WINPC3 Output"</t>
  </si>
  <si>
    <t>Assets</t>
  </si>
  <si>
    <t>Ntwk Costs</t>
  </si>
  <si>
    <t>Direct Network Costs</t>
  </si>
  <si>
    <t>Income Tax Expense</t>
  </si>
  <si>
    <t>Other Operating Taxes</t>
  </si>
  <si>
    <t>Other Operating Taxes Expense per Loop/Line</t>
  </si>
  <si>
    <t>Network Operations Expense per Loop/Line</t>
  </si>
  <si>
    <t>Total Direct Network Costs</t>
  </si>
  <si>
    <t>Element Specific Expenses</t>
  </si>
  <si>
    <t>Marketing</t>
  </si>
  <si>
    <t>Support Assets Expense</t>
  </si>
  <si>
    <t>Investment Cost Calc, cE</t>
  </si>
  <si>
    <t>Investment Cost Calc, cF</t>
  </si>
  <si>
    <t>Investment Cost Calc, cG</t>
  </si>
  <si>
    <t>Investment Cost Calc, cH</t>
  </si>
  <si>
    <t>cA*(r8:r11)</t>
  </si>
  <si>
    <t>per loop only</t>
  </si>
  <si>
    <t>Sum r8:r15</t>
  </si>
  <si>
    <t>cA*(Sum(r8:r11)+r19)</t>
  </si>
  <si>
    <t>cA*((r23:r25)+r16-r14-r15+r20)</t>
  </si>
  <si>
    <t>cA*((r16:r27)+r33)</t>
  </si>
  <si>
    <t>Sum(r16:r30)</t>
  </si>
  <si>
    <t>Sum(r31:r34)</t>
  </si>
  <si>
    <t>2001V2</t>
  </si>
  <si>
    <t>Lisa Avery</t>
  </si>
  <si>
    <t>INVEST.</t>
  </si>
  <si>
    <t>%</t>
  </si>
  <si>
    <t>&amp; Pr.Gain</t>
  </si>
  <si>
    <t>QUANTITY</t>
  </si>
  <si>
    <t>David Workman</t>
  </si>
  <si>
    <t xml:space="preserve">      -BILLING &amp; COLLECTION factor released 06/03.</t>
  </si>
  <si>
    <t>The plugs and prices of the plugs are from engineering, May of 2002 and are at a 2002 level.</t>
  </si>
  <si>
    <t>The quantities for CRIS billed circuits are from the April 2002 actuals out the Billed Revenue file.</t>
  </si>
  <si>
    <t>FILE:  DW3.XLS &amp; DW3b.XLS  FOR DAVE WORKMAN 05/07/02</t>
  </si>
  <si>
    <t>cA*(Sum(r16:r27)-r12)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</si>
</sst>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##########_);\(#,##0.##########\)"/>
    <numFmt numFmtId="165" formatCode="0.000000"/>
    <numFmt numFmtId="166" formatCode="#"/>
    <numFmt numFmtId="167" formatCode="&quot;$&quot;#,###,###,##0.00_);\(&quot;$&quot;#,###,###,##0.00\)"/>
    <numFmt numFmtId="168" formatCode="#,###,###,##0.00_);\(#,###,###,##0.00\)"/>
    <numFmt numFmtId="169" formatCode="m/d/yy\ h:mm\ AM/PM"/>
    <numFmt numFmtId="170" formatCode="mm/yy"/>
    <numFmt numFmtId="171" formatCode="#0.0##%"/>
    <numFmt numFmtId="172" formatCode="General_)"/>
    <numFmt numFmtId="173" formatCode="&quot;$&quot;#,##0.00"/>
    <numFmt numFmtId="174" formatCode="#,##0.0000"/>
    <numFmt numFmtId="175" formatCode="0.00_)"/>
    <numFmt numFmtId="176" formatCode="0.0000"/>
    <numFmt numFmtId="177" formatCode="0.0000_)"/>
    <numFmt numFmtId="178" formatCode="#,##0.0000_);\(#,##0.0000\)"/>
    <numFmt numFmtId="179" formatCode=".0000"/>
  </numFmts>
  <fonts count="26">
    <font>
      <sz val="10"/>
      <name val="Arial"/>
      <family val="0"/>
    </font>
    <font>
      <sz val="8"/>
      <name val="Tahoma"/>
      <family val="0"/>
    </font>
    <font>
      <b/>
      <sz val="9"/>
      <name val="MS Sans Serif"/>
      <family val="2"/>
    </font>
    <font>
      <b/>
      <sz val="9"/>
      <name val="Arial"/>
      <family val="2"/>
    </font>
    <font>
      <sz val="11"/>
      <name val="Helvetica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Courier New"/>
      <family val="3"/>
    </font>
    <font>
      <sz val="9"/>
      <color indexed="56"/>
      <name val="Courier New"/>
      <family val="3"/>
    </font>
    <font>
      <sz val="9"/>
      <color indexed="12"/>
      <name val="Courier New"/>
      <family val="3"/>
    </font>
    <font>
      <u val="single"/>
      <sz val="9"/>
      <name val="Courier New"/>
      <family val="3"/>
    </font>
    <font>
      <sz val="10"/>
      <name val="Courier"/>
      <family val="3"/>
    </font>
    <font>
      <sz val="9"/>
      <color indexed="10"/>
      <name val="Courier New"/>
      <family val="3"/>
    </font>
    <font>
      <sz val="10"/>
      <color indexed="12"/>
      <name val="Courier"/>
      <family val="0"/>
    </font>
    <font>
      <sz val="10"/>
      <color indexed="8"/>
      <name val="Courier"/>
      <family val="3"/>
    </font>
    <font>
      <sz val="10"/>
      <color indexed="56"/>
      <name val="Courier"/>
      <family val="3"/>
    </font>
    <font>
      <u val="single"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0"/>
    </font>
    <font>
      <b/>
      <i/>
      <sz val="8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10"/>
      <color indexed="9"/>
      <name val="Arial"/>
      <family val="0"/>
    </font>
    <font>
      <b/>
      <u val="single"/>
      <sz val="8"/>
      <name val="Arial"/>
      <family val="0"/>
    </font>
    <font>
      <sz val="8"/>
      <name val="Arial"/>
      <family val="0"/>
    </font>
  </fonts>
  <fills count="16">
    <fill>
      <patternFill/>
    </fill>
    <fill>
      <patternFill patternType="gray125"/>
    </fill>
    <fill>
      <patternFill patternType="gray125">
        <fgColor indexed="22"/>
        <bgColor indexed="30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165" fontId="0" fillId="0" borderId="0" xfId="0" applyNumberFormat="1" applyAlignment="1">
      <alignment/>
    </xf>
    <xf numFmtId="0" fontId="0" fillId="3" borderId="0" xfId="0" applyFill="1" applyAlignment="1">
      <alignment/>
    </xf>
    <xf numFmtId="167" fontId="0" fillId="0" borderId="0" xfId="0" applyNumberFormat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3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  <xf numFmtId="170" fontId="6" fillId="0" borderId="5" xfId="0" applyNumberFormat="1" applyFont="1" applyBorder="1" applyAlignment="1">
      <alignment horizontal="center"/>
    </xf>
    <xf numFmtId="171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right"/>
    </xf>
    <xf numFmtId="7" fontId="7" fillId="0" borderId="0" xfId="0" applyNumberFormat="1" applyFont="1" applyAlignment="1" applyProtection="1">
      <alignment/>
      <protection/>
    </xf>
    <xf numFmtId="7" fontId="8" fillId="0" borderId="0" xfId="0" applyNumberFormat="1" applyFont="1" applyAlignment="1" applyProtection="1">
      <alignment/>
      <protection locked="0"/>
    </xf>
    <xf numFmtId="1" fontId="7" fillId="0" borderId="0" xfId="0" applyNumberFormat="1" applyFont="1" applyAlignment="1" applyProtection="1">
      <alignment horizontal="center"/>
      <protection/>
    </xf>
    <xf numFmtId="7" fontId="9" fillId="0" borderId="0" xfId="0" applyNumberFormat="1" applyFont="1" applyAlignment="1" applyProtection="1">
      <alignment/>
      <protection locked="0"/>
    </xf>
    <xf numFmtId="0" fontId="7" fillId="0" borderId="6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/>
    </xf>
    <xf numFmtId="173" fontId="7" fillId="0" borderId="1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73" fontId="7" fillId="0" borderId="1" xfId="0" applyNumberFormat="1" applyFont="1" applyBorder="1" applyAlignment="1">
      <alignment/>
    </xf>
    <xf numFmtId="10" fontId="7" fillId="0" borderId="1" xfId="0" applyNumberFormat="1" applyFont="1" applyBorder="1" applyAlignment="1">
      <alignment/>
    </xf>
    <xf numFmtId="174" fontId="7" fillId="0" borderId="1" xfId="0" applyNumberFormat="1" applyFont="1" applyBorder="1" applyAlignment="1">
      <alignment/>
    </xf>
    <xf numFmtId="172" fontId="7" fillId="0" borderId="12" xfId="0" applyNumberFormat="1" applyFont="1" applyBorder="1" applyAlignment="1" applyProtection="1">
      <alignment horizontal="left"/>
      <protection/>
    </xf>
    <xf numFmtId="173" fontId="7" fillId="0" borderId="9" xfId="0" applyNumberFormat="1" applyFont="1" applyBorder="1" applyAlignment="1">
      <alignment/>
    </xf>
    <xf numFmtId="10" fontId="7" fillId="0" borderId="8" xfId="0" applyNumberFormat="1" applyFont="1" applyBorder="1" applyAlignment="1">
      <alignment/>
    </xf>
    <xf numFmtId="173" fontId="7" fillId="0" borderId="8" xfId="0" applyNumberFormat="1" applyFont="1" applyBorder="1" applyAlignment="1">
      <alignment/>
    </xf>
    <xf numFmtId="174" fontId="7" fillId="0" borderId="8" xfId="0" applyNumberFormat="1" applyFont="1" applyBorder="1" applyAlignment="1">
      <alignment/>
    </xf>
    <xf numFmtId="7" fontId="7" fillId="0" borderId="8" xfId="0" applyNumberFormat="1" applyFont="1" applyBorder="1" applyAlignment="1">
      <alignment horizontal="left"/>
    </xf>
    <xf numFmtId="10" fontId="7" fillId="0" borderId="6" xfId="0" applyNumberFormat="1" applyFont="1" applyBorder="1" applyAlignment="1">
      <alignment/>
    </xf>
    <xf numFmtId="0" fontId="7" fillId="0" borderId="8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9" xfId="0" applyFont="1" applyBorder="1" applyAlignment="1">
      <alignment horizontal="right"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/>
    </xf>
    <xf numFmtId="0" fontId="0" fillId="0" borderId="4" xfId="0" applyBorder="1" applyAlignment="1">
      <alignment/>
    </xf>
    <xf numFmtId="0" fontId="7" fillId="0" borderId="11" xfId="0" applyFont="1" applyBorder="1" applyAlignment="1">
      <alignment/>
    </xf>
    <xf numFmtId="0" fontId="7" fillId="0" borderId="7" xfId="0" applyFont="1" applyBorder="1" applyAlignment="1">
      <alignment horizontal="center"/>
    </xf>
    <xf numFmtId="10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74" fontId="7" fillId="0" borderId="11" xfId="0" applyNumberFormat="1" applyFont="1" applyBorder="1" applyAlignment="1">
      <alignment/>
    </xf>
    <xf numFmtId="10" fontId="7" fillId="0" borderId="9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173" fontId="7" fillId="0" borderId="10" xfId="0" applyNumberFormat="1" applyFont="1" applyBorder="1" applyAlignment="1">
      <alignment/>
    </xf>
    <xf numFmtId="174" fontId="7" fillId="0" borderId="5" xfId="0" applyNumberFormat="1" applyFont="1" applyBorder="1" applyAlignment="1">
      <alignment/>
    </xf>
    <xf numFmtId="0" fontId="7" fillId="0" borderId="5" xfId="0" applyFont="1" applyBorder="1" applyAlignment="1">
      <alignment horizontal="right"/>
    </xf>
    <xf numFmtId="0" fontId="7" fillId="0" borderId="4" xfId="0" applyFont="1" applyBorder="1" applyAlignment="1">
      <alignment/>
    </xf>
    <xf numFmtId="0" fontId="0" fillId="0" borderId="12" xfId="0" applyBorder="1" applyAlignment="1">
      <alignment/>
    </xf>
    <xf numFmtId="172" fontId="7" fillId="0" borderId="15" xfId="0" applyNumberFormat="1" applyFont="1" applyBorder="1" applyAlignment="1" applyProtection="1">
      <alignment horizontal="left"/>
      <protection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 applyProtection="1">
      <alignment horizontal="left"/>
      <protection/>
    </xf>
    <xf numFmtId="173" fontId="7" fillId="4" borderId="16" xfId="0" applyNumberFormat="1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0" fillId="0" borderId="6" xfId="0" applyBorder="1" applyAlignment="1">
      <alignment/>
    </xf>
    <xf numFmtId="167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0" fontId="0" fillId="5" borderId="0" xfId="0" applyFill="1" applyBorder="1" applyAlignment="1">
      <alignment/>
    </xf>
    <xf numFmtId="0" fontId="3" fillId="5" borderId="2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0" xfId="0" applyFont="1" applyFill="1" applyBorder="1" applyAlignment="1">
      <alignment/>
    </xf>
    <xf numFmtId="166" fontId="3" fillId="5" borderId="0" xfId="0" applyNumberFormat="1" applyFont="1" applyFill="1" applyBorder="1" applyAlignment="1">
      <alignment horizontal="left"/>
    </xf>
    <xf numFmtId="0" fontId="3" fillId="5" borderId="6" xfId="0" applyFont="1" applyFill="1" applyBorder="1" applyAlignment="1">
      <alignment/>
    </xf>
    <xf numFmtId="166" fontId="3" fillId="5" borderId="6" xfId="0" applyNumberFormat="1" applyFont="1" applyFill="1" applyBorder="1" applyAlignment="1">
      <alignment horizontal="left"/>
    </xf>
    <xf numFmtId="0" fontId="3" fillId="5" borderId="4" xfId="0" applyFont="1" applyFill="1" applyBorder="1" applyAlignment="1">
      <alignment horizontal="center" wrapText="1"/>
    </xf>
    <xf numFmtId="0" fontId="3" fillId="5" borderId="15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3" fillId="5" borderId="15" xfId="0" applyFont="1" applyFill="1" applyBorder="1" applyAlignment="1">
      <alignment wrapText="1"/>
    </xf>
    <xf numFmtId="0" fontId="3" fillId="5" borderId="12" xfId="0" applyFont="1" applyFill="1" applyBorder="1" applyAlignment="1">
      <alignment wrapText="1"/>
    </xf>
    <xf numFmtId="165" fontId="0" fillId="0" borderId="6" xfId="0" applyNumberFormat="1" applyBorder="1" applyAlignment="1">
      <alignment/>
    </xf>
    <xf numFmtId="167" fontId="0" fillId="6" borderId="11" xfId="0" applyNumberFormat="1" applyFill="1" applyBorder="1" applyAlignment="1">
      <alignment/>
    </xf>
    <xf numFmtId="167" fontId="0" fillId="6" borderId="9" xfId="0" applyNumberFormat="1" applyFill="1" applyBorder="1" applyAlignment="1">
      <alignment/>
    </xf>
    <xf numFmtId="167" fontId="0" fillId="7" borderId="11" xfId="0" applyNumberFormat="1" applyFill="1" applyBorder="1" applyAlignment="1">
      <alignment/>
    </xf>
    <xf numFmtId="167" fontId="0" fillId="7" borderId="9" xfId="0" applyNumberFormat="1" applyFill="1" applyBorder="1" applyAlignment="1">
      <alignment/>
    </xf>
    <xf numFmtId="0" fontId="3" fillId="5" borderId="4" xfId="0" applyFont="1" applyFill="1" applyBorder="1" applyAlignment="1">
      <alignment wrapText="1"/>
    </xf>
    <xf numFmtId="0" fontId="3" fillId="5" borderId="2" xfId="0" applyFont="1" applyFill="1" applyBorder="1" applyAlignment="1">
      <alignment/>
    </xf>
    <xf numFmtId="166" fontId="3" fillId="5" borderId="2" xfId="0" applyNumberFormat="1" applyFont="1" applyFill="1" applyBorder="1" applyAlignment="1">
      <alignment horizontal="left"/>
    </xf>
    <xf numFmtId="167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7" fontId="0" fillId="6" borderId="7" xfId="0" applyNumberFormat="1" applyFill="1" applyBorder="1" applyAlignment="1">
      <alignment/>
    </xf>
    <xf numFmtId="167" fontId="0" fillId="7" borderId="7" xfId="0" applyNumberFormat="1" applyFill="1" applyBorder="1" applyAlignment="1">
      <alignment/>
    </xf>
    <xf numFmtId="0" fontId="3" fillId="5" borderId="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166" fontId="0" fillId="7" borderId="7" xfId="0" applyNumberFormat="1" applyFill="1" applyBorder="1" applyAlignment="1">
      <alignment horizontal="left" wrapText="1"/>
    </xf>
    <xf numFmtId="166" fontId="0" fillId="7" borderId="11" xfId="0" applyNumberFormat="1" applyFill="1" applyBorder="1" applyAlignment="1">
      <alignment horizontal="left" wrapText="1"/>
    </xf>
    <xf numFmtId="166" fontId="0" fillId="7" borderId="9" xfId="0" applyNumberFormat="1" applyFill="1" applyBorder="1" applyAlignment="1">
      <alignment horizontal="left" wrapText="1"/>
    </xf>
    <xf numFmtId="14" fontId="0" fillId="5" borderId="4" xfId="0" applyNumberFormat="1" applyFill="1" applyBorder="1" applyAlignment="1">
      <alignment horizontal="left"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15" xfId="0" applyFill="1" applyBorder="1" applyAlignment="1">
      <alignment horizontal="left"/>
    </xf>
    <xf numFmtId="0" fontId="0" fillId="5" borderId="0" xfId="0" applyFill="1" applyBorder="1" applyAlignment="1">
      <alignment horizontal="centerContinuous"/>
    </xf>
    <xf numFmtId="0" fontId="0" fillId="5" borderId="1" xfId="0" applyFill="1" applyBorder="1" applyAlignment="1">
      <alignment horizontal="centerContinuous"/>
    </xf>
    <xf numFmtId="0" fontId="4" fillId="0" borderId="0" xfId="0" applyFont="1" applyAlignment="1">
      <alignment horizontal="left"/>
    </xf>
    <xf numFmtId="169" fontId="0" fillId="5" borderId="2" xfId="0" applyNumberForma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7" xfId="0" applyFill="1" applyBorder="1" applyAlignment="1">
      <alignment/>
    </xf>
    <xf numFmtId="0" fontId="0" fillId="5" borderId="11" xfId="0" applyFill="1" applyBorder="1" applyAlignment="1">
      <alignment/>
    </xf>
    <xf numFmtId="0" fontId="7" fillId="0" borderId="1" xfId="0" applyFont="1" applyBorder="1" applyAlignment="1" applyProtection="1">
      <alignment horizontal="left"/>
      <protection/>
    </xf>
    <xf numFmtId="175" fontId="7" fillId="0" borderId="11" xfId="0" applyNumberFormat="1" applyFont="1" applyBorder="1" applyAlignment="1" applyProtection="1">
      <alignment horizontal="center"/>
      <protection/>
    </xf>
    <xf numFmtId="175" fontId="7" fillId="0" borderId="11" xfId="0" applyNumberFormat="1" applyFont="1" applyBorder="1" applyAlignment="1" applyProtection="1">
      <alignment/>
      <protection/>
    </xf>
    <xf numFmtId="7" fontId="7" fillId="0" borderId="1" xfId="0" applyNumberFormat="1" applyFont="1" applyBorder="1" applyAlignment="1" applyProtection="1">
      <alignment horizontal="center"/>
      <protection/>
    </xf>
    <xf numFmtId="7" fontId="7" fillId="0" borderId="11" xfId="0" applyNumberFormat="1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left"/>
      <protection/>
    </xf>
    <xf numFmtId="0" fontId="7" fillId="0" borderId="8" xfId="0" applyFont="1" applyBorder="1" applyAlignment="1" applyProtection="1">
      <alignment horizontal="left"/>
      <protection/>
    </xf>
    <xf numFmtId="175" fontId="7" fillId="0" borderId="9" xfId="0" applyNumberFormat="1" applyFont="1" applyBorder="1" applyAlignment="1" applyProtection="1">
      <alignment horizontal="center"/>
      <protection/>
    </xf>
    <xf numFmtId="7" fontId="7" fillId="0" borderId="9" xfId="0" applyNumberFormat="1" applyFont="1" applyBorder="1" applyAlignment="1" applyProtection="1">
      <alignment horizontal="center"/>
      <protection/>
    </xf>
    <xf numFmtId="7" fontId="7" fillId="0" borderId="8" xfId="0" applyNumberFormat="1" applyFont="1" applyBorder="1" applyAlignment="1" applyProtection="1">
      <alignment horizontal="center"/>
      <protection/>
    </xf>
    <xf numFmtId="7" fontId="7" fillId="0" borderId="9" xfId="0" applyNumberFormat="1" applyFont="1" applyBorder="1" applyAlignment="1" applyProtection="1">
      <alignment horizontal="left"/>
      <protection/>
    </xf>
    <xf numFmtId="172" fontId="7" fillId="0" borderId="0" xfId="0" applyNumberFormat="1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 horizontal="center"/>
    </xf>
    <xf numFmtId="175" fontId="7" fillId="0" borderId="0" xfId="0" applyNumberFormat="1" applyFont="1" applyBorder="1" applyAlignment="1" applyProtection="1">
      <alignment horizontal="center"/>
      <protection/>
    </xf>
    <xf numFmtId="7" fontId="7" fillId="0" borderId="0" xfId="0" applyNumberFormat="1" applyFont="1" applyBorder="1" applyAlignment="1" applyProtection="1">
      <alignment horizontal="center"/>
      <protection/>
    </xf>
    <xf numFmtId="9" fontId="7" fillId="0" borderId="0" xfId="0" applyNumberFormat="1" applyFont="1" applyBorder="1" applyAlignment="1" applyProtection="1">
      <alignment horizontal="center"/>
      <protection/>
    </xf>
    <xf numFmtId="9" fontId="7" fillId="0" borderId="0" xfId="0" applyNumberFormat="1" applyFont="1" applyAlignment="1">
      <alignment/>
    </xf>
    <xf numFmtId="0" fontId="7" fillId="0" borderId="0" xfId="0" applyFont="1" applyAlignment="1" applyProtection="1">
      <alignment horizontal="left"/>
      <protection/>
    </xf>
    <xf numFmtId="173" fontId="7" fillId="0" borderId="0" xfId="0" applyNumberFormat="1" applyFont="1" applyAlignment="1">
      <alignment/>
    </xf>
    <xf numFmtId="173" fontId="10" fillId="0" borderId="0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0" fontId="7" fillId="8" borderId="0" xfId="0" applyFont="1" applyFill="1" applyAlignment="1" applyProtection="1">
      <alignment horizontal="left"/>
      <protection/>
    </xf>
    <xf numFmtId="0" fontId="7" fillId="8" borderId="0" xfId="0" applyFont="1" applyFill="1" applyAlignment="1">
      <alignment/>
    </xf>
    <xf numFmtId="7" fontId="9" fillId="8" borderId="0" xfId="0" applyNumberFormat="1" applyFont="1" applyFill="1" applyAlignment="1" applyProtection="1">
      <alignment/>
      <protection locked="0"/>
    </xf>
    <xf numFmtId="7" fontId="8" fillId="8" borderId="0" xfId="0" applyNumberFormat="1" applyFont="1" applyFill="1" applyAlignment="1" applyProtection="1">
      <alignment/>
      <protection locked="0"/>
    </xf>
    <xf numFmtId="1" fontId="7" fillId="8" borderId="0" xfId="0" applyNumberFormat="1" applyFont="1" applyFill="1" applyAlignment="1" applyProtection="1">
      <alignment horizontal="center"/>
      <protection/>
    </xf>
    <xf numFmtId="173" fontId="7" fillId="8" borderId="0" xfId="0" applyNumberFormat="1" applyFont="1" applyFill="1" applyAlignment="1">
      <alignment/>
    </xf>
    <xf numFmtId="7" fontId="7" fillId="8" borderId="0" xfId="0" applyNumberFormat="1" applyFont="1" applyFill="1" applyAlignment="1" applyProtection="1">
      <alignment/>
      <protection/>
    </xf>
    <xf numFmtId="0" fontId="7" fillId="8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7" fontId="7" fillId="0" borderId="6" xfId="0" applyNumberFormat="1" applyFont="1" applyBorder="1" applyAlignment="1" applyProtection="1">
      <alignment/>
      <protection/>
    </xf>
    <xf numFmtId="7" fontId="7" fillId="0" borderId="17" xfId="0" applyNumberFormat="1" applyFont="1" applyBorder="1" applyAlignment="1" applyProtection="1">
      <alignment/>
      <protection/>
    </xf>
    <xf numFmtId="0" fontId="7" fillId="9" borderId="0" xfId="0" applyFont="1" applyFill="1" applyAlignment="1" applyProtection="1">
      <alignment horizontal="left"/>
      <protection/>
    </xf>
    <xf numFmtId="0" fontId="7" fillId="9" borderId="0" xfId="0" applyFont="1" applyFill="1" applyAlignment="1">
      <alignment/>
    </xf>
    <xf numFmtId="7" fontId="9" fillId="9" borderId="0" xfId="0" applyNumberFormat="1" applyFont="1" applyFill="1" applyAlignment="1" applyProtection="1">
      <alignment/>
      <protection locked="0"/>
    </xf>
    <xf numFmtId="1" fontId="7" fillId="9" borderId="0" xfId="0" applyNumberFormat="1" applyFont="1" applyFill="1" applyAlignment="1" applyProtection="1">
      <alignment horizontal="center"/>
      <protection/>
    </xf>
    <xf numFmtId="173" fontId="7" fillId="9" borderId="0" xfId="0" applyNumberFormat="1" applyFont="1" applyFill="1" applyAlignment="1">
      <alignment/>
    </xf>
    <xf numFmtId="7" fontId="7" fillId="9" borderId="0" xfId="0" applyNumberFormat="1" applyFont="1" applyFill="1" applyAlignment="1" applyProtection="1">
      <alignment/>
      <protection/>
    </xf>
    <xf numFmtId="10" fontId="7" fillId="9" borderId="0" xfId="0" applyNumberFormat="1" applyFont="1" applyFill="1" applyAlignment="1">
      <alignment/>
    </xf>
    <xf numFmtId="7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173" fontId="7" fillId="10" borderId="16" xfId="0" applyNumberFormat="1" applyFont="1" applyFill="1" applyBorder="1" applyAlignment="1">
      <alignment/>
    </xf>
    <xf numFmtId="174" fontId="7" fillId="0" borderId="0" xfId="0" applyNumberFormat="1" applyFont="1" applyAlignment="1">
      <alignment/>
    </xf>
    <xf numFmtId="173" fontId="7" fillId="0" borderId="6" xfId="0" applyNumberFormat="1" applyFont="1" applyBorder="1" applyAlignment="1">
      <alignment/>
    </xf>
    <xf numFmtId="0" fontId="0" fillId="0" borderId="13" xfId="0" applyBorder="1" applyAlignment="1">
      <alignment/>
    </xf>
    <xf numFmtId="0" fontId="7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/>
    </xf>
    <xf numFmtId="10" fontId="0" fillId="0" borderId="7" xfId="0" applyNumberFormat="1" applyBorder="1" applyAlignment="1">
      <alignment/>
    </xf>
    <xf numFmtId="10" fontId="0" fillId="0" borderId="11" xfId="0" applyNumberFormat="1" applyBorder="1" applyAlignment="1">
      <alignment/>
    </xf>
    <xf numFmtId="0" fontId="11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8" xfId="0" applyBorder="1" applyAlignment="1">
      <alignment/>
    </xf>
    <xf numFmtId="10" fontId="0" fillId="0" borderId="19" xfId="0" applyNumberFormat="1" applyBorder="1" applyAlignment="1">
      <alignment/>
    </xf>
    <xf numFmtId="0" fontId="0" fillId="0" borderId="14" xfId="0" applyBorder="1" applyAlignment="1">
      <alignment/>
    </xf>
    <xf numFmtId="173" fontId="11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8" fontId="7" fillId="0" borderId="0" xfId="0" applyNumberFormat="1" applyFont="1" applyBorder="1" applyAlignment="1" applyProtection="1">
      <alignment horizontal="left"/>
      <protection/>
    </xf>
    <xf numFmtId="176" fontId="7" fillId="0" borderId="0" xfId="0" applyNumberFormat="1" applyFont="1" applyBorder="1" applyAlignment="1">
      <alignment/>
    </xf>
    <xf numFmtId="0" fontId="7" fillId="0" borderId="13" xfId="0" applyFont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176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172" fontId="11" fillId="0" borderId="0" xfId="0" applyNumberFormat="1" applyFont="1" applyAlignment="1" applyProtection="1">
      <alignment/>
      <protection locked="0"/>
    </xf>
    <xf numFmtId="8" fontId="7" fillId="0" borderId="0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177" fontId="7" fillId="0" borderId="0" xfId="17" applyNumberFormat="1" applyFont="1" applyBorder="1" applyAlignment="1" applyProtection="1">
      <alignment/>
      <protection/>
    </xf>
    <xf numFmtId="172" fontId="9" fillId="0" borderId="0" xfId="0" applyNumberFormat="1" applyFont="1" applyAlignment="1" applyProtection="1">
      <alignment/>
      <protection locked="0"/>
    </xf>
    <xf numFmtId="173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 applyProtection="1">
      <alignment/>
      <protection/>
    </xf>
    <xf numFmtId="7" fontId="7" fillId="0" borderId="11" xfId="0" applyNumberFormat="1" applyFont="1" applyBorder="1" applyAlignment="1" applyProtection="1">
      <alignment horizontal="left"/>
      <protection/>
    </xf>
    <xf numFmtId="7" fontId="7" fillId="0" borderId="6" xfId="0" applyNumberFormat="1" applyFont="1" applyBorder="1" applyAlignment="1" applyProtection="1">
      <alignment horizontal="center"/>
      <protection/>
    </xf>
    <xf numFmtId="0" fontId="12" fillId="8" borderId="0" xfId="0" applyFont="1" applyFill="1" applyAlignment="1" applyProtection="1">
      <alignment horizontal="left"/>
      <protection/>
    </xf>
    <xf numFmtId="0" fontId="12" fillId="8" borderId="0" xfId="0" applyFont="1" applyFill="1" applyAlignment="1">
      <alignment/>
    </xf>
    <xf numFmtId="7" fontId="12" fillId="8" borderId="0" xfId="0" applyNumberFormat="1" applyFont="1" applyFill="1" applyAlignment="1" applyProtection="1">
      <alignment/>
      <protection locked="0"/>
    </xf>
    <xf numFmtId="1" fontId="12" fillId="8" borderId="0" xfId="0" applyNumberFormat="1" applyFont="1" applyFill="1" applyAlignment="1" applyProtection="1">
      <alignment horizontal="center"/>
      <protection/>
    </xf>
    <xf numFmtId="7" fontId="12" fillId="8" borderId="0" xfId="0" applyNumberFormat="1" applyFont="1" applyFill="1" applyAlignment="1" applyProtection="1">
      <alignment/>
      <protection/>
    </xf>
    <xf numFmtId="0" fontId="12" fillId="8" borderId="0" xfId="0" applyFont="1" applyFill="1" applyAlignment="1">
      <alignment horizontal="right"/>
    </xf>
    <xf numFmtId="7" fontId="9" fillId="0" borderId="6" xfId="0" applyNumberFormat="1" applyFont="1" applyBorder="1" applyAlignment="1" applyProtection="1">
      <alignment/>
      <protection locked="0"/>
    </xf>
    <xf numFmtId="7" fontId="7" fillId="0" borderId="0" xfId="0" applyNumberFormat="1" applyFont="1" applyAlignment="1">
      <alignment/>
    </xf>
    <xf numFmtId="7" fontId="8" fillId="0" borderId="6" xfId="0" applyNumberFormat="1" applyFont="1" applyBorder="1" applyAlignment="1" applyProtection="1">
      <alignment/>
      <protection locked="0"/>
    </xf>
    <xf numFmtId="1" fontId="7" fillId="0" borderId="6" xfId="0" applyNumberFormat="1" applyFont="1" applyBorder="1" applyAlignment="1" applyProtection="1">
      <alignment horizontal="center"/>
      <protection/>
    </xf>
    <xf numFmtId="173" fontId="7" fillId="11" borderId="5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10" fontId="0" fillId="0" borderId="9" xfId="0" applyNumberFormat="1" applyBorder="1" applyAlignment="1">
      <alignment/>
    </xf>
    <xf numFmtId="0" fontId="7" fillId="0" borderId="13" xfId="0" applyFont="1" applyBorder="1" applyAlignment="1">
      <alignment horizontal="right"/>
    </xf>
    <xf numFmtId="176" fontId="7" fillId="0" borderId="14" xfId="0" applyNumberFormat="1" applyFont="1" applyBorder="1" applyAlignment="1">
      <alignment horizontal="center"/>
    </xf>
    <xf numFmtId="176" fontId="7" fillId="0" borderId="0" xfId="0" applyNumberFormat="1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5" fontId="0" fillId="0" borderId="0" xfId="0" applyNumberFormat="1" applyAlignment="1" applyProtection="1">
      <alignment horizontal="center"/>
      <protection/>
    </xf>
    <xf numFmtId="7" fontId="0" fillId="0" borderId="0" xfId="0" applyNumberFormat="1" applyAlignment="1" applyProtection="1">
      <alignment horizontal="center"/>
      <protection/>
    </xf>
    <xf numFmtId="0" fontId="0" fillId="0" borderId="6" xfId="0" applyBorder="1" applyAlignment="1" applyProtection="1">
      <alignment horizontal="left"/>
      <protection/>
    </xf>
    <xf numFmtId="0" fontId="0" fillId="0" borderId="6" xfId="0" applyBorder="1" applyAlignment="1">
      <alignment horizontal="center"/>
    </xf>
    <xf numFmtId="175" fontId="0" fillId="0" borderId="6" xfId="0" applyNumberFormat="1" applyBorder="1" applyAlignment="1" applyProtection="1">
      <alignment horizontal="center"/>
      <protection/>
    </xf>
    <xf numFmtId="172" fontId="0" fillId="0" borderId="0" xfId="0" applyNumberFormat="1" applyAlignment="1" applyProtection="1">
      <alignment horizontal="left"/>
      <protection/>
    </xf>
    <xf numFmtId="7" fontId="13" fillId="0" borderId="0" xfId="0" applyNumberFormat="1" applyFont="1" applyAlignment="1" applyProtection="1">
      <alignment/>
      <protection locked="0"/>
    </xf>
    <xf numFmtId="9" fontId="0" fillId="0" borderId="0" xfId="0" applyNumberFormat="1" applyAlignment="1">
      <alignment/>
    </xf>
    <xf numFmtId="1" fontId="0" fillId="0" borderId="0" xfId="0" applyNumberFormat="1" applyAlignment="1" applyProtection="1">
      <alignment horizontal="center"/>
      <protection/>
    </xf>
    <xf numFmtId="7" fontId="0" fillId="0" borderId="0" xfId="0" applyNumberFormat="1" applyAlignment="1" applyProtection="1">
      <alignment/>
      <protection/>
    </xf>
    <xf numFmtId="0" fontId="0" fillId="0" borderId="0" xfId="0" applyAlignment="1">
      <alignment horizontal="right"/>
    </xf>
    <xf numFmtId="7" fontId="14" fillId="0" borderId="0" xfId="0" applyNumberFormat="1" applyFont="1" applyAlignment="1" applyProtection="1">
      <alignment/>
      <protection locked="0"/>
    </xf>
    <xf numFmtId="7" fontId="0" fillId="0" borderId="6" xfId="0" applyNumberFormat="1" applyBorder="1" applyAlignment="1" applyProtection="1">
      <alignment/>
      <protection/>
    </xf>
    <xf numFmtId="7" fontId="14" fillId="0" borderId="0" xfId="0" applyNumberFormat="1" applyFon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14" fillId="0" borderId="0" xfId="0" applyFont="1" applyAlignment="1">
      <alignment/>
    </xf>
    <xf numFmtId="7" fontId="15" fillId="0" borderId="0" xfId="0" applyNumberFormat="1" applyFont="1" applyAlignment="1" applyProtection="1">
      <alignment/>
      <protection locked="0"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10" fontId="0" fillId="0" borderId="18" xfId="0" applyNumberFormat="1" applyBorder="1" applyAlignment="1">
      <alignment/>
    </xf>
    <xf numFmtId="0" fontId="0" fillId="0" borderId="20" xfId="0" applyBorder="1" applyAlignment="1">
      <alignment/>
    </xf>
    <xf numFmtId="0" fontId="16" fillId="12" borderId="0" xfId="0" applyFont="1" applyFill="1" applyAlignment="1">
      <alignment horizontal="right"/>
    </xf>
    <xf numFmtId="178" fontId="17" fillId="12" borderId="0" xfId="0" applyNumberFormat="1" applyFont="1" applyFill="1" applyAlignment="1">
      <alignment/>
    </xf>
    <xf numFmtId="0" fontId="18" fillId="12" borderId="0" xfId="0" applyFont="1" applyFill="1" applyAlignment="1">
      <alignment/>
    </xf>
    <xf numFmtId="0" fontId="17" fillId="12" borderId="0" xfId="0" applyFont="1" applyFill="1" applyAlignment="1">
      <alignment/>
    </xf>
    <xf numFmtId="0" fontId="19" fillId="12" borderId="0" xfId="0" applyFont="1" applyFill="1" applyAlignment="1">
      <alignment/>
    </xf>
    <xf numFmtId="0" fontId="16" fillId="12" borderId="0" xfId="0" applyFont="1" applyFill="1" applyAlignment="1">
      <alignment horizontal="center"/>
    </xf>
    <xf numFmtId="7" fontId="17" fillId="12" borderId="0" xfId="0" applyNumberFormat="1" applyFont="1" applyFill="1" applyAlignment="1">
      <alignment/>
    </xf>
    <xf numFmtId="0" fontId="16" fillId="12" borderId="0" xfId="0" applyFont="1" applyFill="1" applyAlignment="1">
      <alignment/>
    </xf>
    <xf numFmtId="7" fontId="16" fillId="12" borderId="0" xfId="0" applyNumberFormat="1" applyFont="1" applyFill="1" applyAlignment="1">
      <alignment/>
    </xf>
    <xf numFmtId="178" fontId="16" fillId="12" borderId="0" xfId="0" applyNumberFormat="1" applyFont="1" applyFill="1" applyAlignment="1">
      <alignment/>
    </xf>
    <xf numFmtId="10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7" fillId="0" borderId="8" xfId="0" applyFont="1" applyBorder="1" applyAlignment="1">
      <alignment horizontal="left"/>
    </xf>
    <xf numFmtId="0" fontId="0" fillId="0" borderId="15" xfId="0" applyBorder="1" applyAlignment="1">
      <alignment/>
    </xf>
    <xf numFmtId="0" fontId="7" fillId="0" borderId="15" xfId="0" applyFont="1" applyBorder="1" applyAlignment="1">
      <alignment/>
    </xf>
    <xf numFmtId="0" fontId="0" fillId="0" borderId="5" xfId="0" applyFont="1" applyBorder="1" applyAlignment="1">
      <alignment horizontal="left"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6" fontId="23" fillId="0" borderId="0" xfId="0" applyNumberFormat="1" applyFont="1" applyAlignment="1">
      <alignment/>
    </xf>
    <xf numFmtId="0" fontId="21" fillId="5" borderId="0" xfId="0" applyFont="1" applyFill="1" applyBorder="1" applyAlignment="1">
      <alignment horizontal="centerContinuous"/>
    </xf>
    <xf numFmtId="0" fontId="24" fillId="5" borderId="12" xfId="0" applyFont="1" applyFill="1" applyBorder="1" applyAlignment="1">
      <alignment/>
    </xf>
    <xf numFmtId="0" fontId="24" fillId="5" borderId="6" xfId="0" applyFont="1" applyFill="1" applyBorder="1" applyAlignment="1">
      <alignment/>
    </xf>
    <xf numFmtId="0" fontId="24" fillId="5" borderId="6" xfId="0" applyFont="1" applyFill="1" applyBorder="1" applyAlignment="1">
      <alignment horizontal="center"/>
    </xf>
    <xf numFmtId="0" fontId="24" fillId="5" borderId="6" xfId="0" applyFont="1" applyFill="1" applyBorder="1" applyAlignment="1">
      <alignment horizontal="center" wrapText="1"/>
    </xf>
    <xf numFmtId="0" fontId="24" fillId="5" borderId="8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168" fontId="25" fillId="0" borderId="0" xfId="0" applyNumberFormat="1" applyFont="1" applyBorder="1" applyAlignment="1">
      <alignment/>
    </xf>
    <xf numFmtId="168" fontId="25" fillId="0" borderId="1" xfId="0" applyNumberFormat="1" applyFont="1" applyBorder="1" applyAlignment="1">
      <alignment/>
    </xf>
    <xf numFmtId="168" fontId="22" fillId="6" borderId="14" xfId="0" applyNumberFormat="1" applyFont="1" applyFill="1" applyBorder="1" applyAlignment="1">
      <alignment/>
    </xf>
    <xf numFmtId="168" fontId="22" fillId="13" borderId="14" xfId="0" applyNumberFormat="1" applyFont="1" applyFill="1" applyBorder="1" applyAlignment="1">
      <alignment/>
    </xf>
    <xf numFmtId="168" fontId="22" fillId="13" borderId="10" xfId="0" applyNumberFormat="1" applyFont="1" applyFill="1" applyBorder="1" applyAlignment="1">
      <alignment/>
    </xf>
    <xf numFmtId="0" fontId="25" fillId="0" borderId="15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22" fillId="6" borderId="13" xfId="0" applyFont="1" applyFill="1" applyBorder="1" applyAlignment="1">
      <alignment horizontal="left"/>
    </xf>
    <xf numFmtId="165" fontId="25" fillId="0" borderId="0" xfId="0" applyNumberFormat="1" applyFont="1" applyAlignment="1">
      <alignment/>
    </xf>
    <xf numFmtId="0" fontId="22" fillId="5" borderId="6" xfId="0" applyFont="1" applyFill="1" applyBorder="1" applyAlignment="1">
      <alignment/>
    </xf>
    <xf numFmtId="0" fontId="22" fillId="5" borderId="0" xfId="0" applyFont="1" applyFill="1" applyAlignment="1">
      <alignment/>
    </xf>
    <xf numFmtId="0" fontId="22" fillId="5" borderId="6" xfId="0" applyFont="1" applyFill="1" applyBorder="1" applyAlignment="1">
      <alignment horizontal="center" wrapText="1"/>
    </xf>
    <xf numFmtId="0" fontId="22" fillId="5" borderId="0" xfId="0" applyFont="1" applyFill="1" applyAlignment="1">
      <alignment horizontal="center"/>
    </xf>
    <xf numFmtId="168" fontId="25" fillId="0" borderId="0" xfId="0" applyNumberFormat="1" applyFont="1" applyAlignment="1">
      <alignment/>
    </xf>
    <xf numFmtId="0" fontId="25" fillId="14" borderId="0" xfId="0" applyFont="1" applyFill="1" applyAlignment="1">
      <alignment/>
    </xf>
    <xf numFmtId="165" fontId="25" fillId="14" borderId="0" xfId="0" applyNumberFormat="1" applyFont="1" applyFill="1" applyAlignment="1">
      <alignment/>
    </xf>
    <xf numFmtId="0" fontId="22" fillId="14" borderId="0" xfId="0" applyFont="1" applyFill="1" applyAlignment="1">
      <alignment/>
    </xf>
    <xf numFmtId="0" fontId="25" fillId="13" borderId="13" xfId="0" applyFont="1" applyFill="1" applyBorder="1" applyAlignment="1">
      <alignment/>
    </xf>
    <xf numFmtId="0" fontId="20" fillId="13" borderId="14" xfId="0" applyFont="1" applyFill="1" applyBorder="1" applyAlignment="1">
      <alignment/>
    </xf>
    <xf numFmtId="165" fontId="25" fillId="13" borderId="14" xfId="0" applyNumberFormat="1" applyFont="1" applyFill="1" applyBorder="1" applyAlignment="1">
      <alignment/>
    </xf>
    <xf numFmtId="168" fontId="25" fillId="13" borderId="14" xfId="0" applyNumberFormat="1" applyFont="1" applyFill="1" applyBorder="1" applyAlignment="1">
      <alignment/>
    </xf>
    <xf numFmtId="168" fontId="25" fillId="13" borderId="10" xfId="0" applyNumberFormat="1" applyFont="1" applyFill="1" applyBorder="1" applyAlignment="1">
      <alignment/>
    </xf>
    <xf numFmtId="0" fontId="25" fillId="15" borderId="13" xfId="0" applyFont="1" applyFill="1" applyBorder="1" applyAlignment="1">
      <alignment/>
    </xf>
    <xf numFmtId="0" fontId="20" fillId="15" borderId="14" xfId="0" applyFont="1" applyFill="1" applyBorder="1" applyAlignment="1">
      <alignment/>
    </xf>
    <xf numFmtId="165" fontId="25" fillId="15" borderId="14" xfId="0" applyNumberFormat="1" applyFont="1" applyFill="1" applyBorder="1" applyAlignment="1">
      <alignment/>
    </xf>
    <xf numFmtId="168" fontId="25" fillId="15" borderId="14" xfId="0" applyNumberFormat="1" applyFont="1" applyFill="1" applyBorder="1" applyAlignment="1">
      <alignment/>
    </xf>
    <xf numFmtId="168" fontId="25" fillId="15" borderId="10" xfId="0" applyNumberFormat="1" applyFont="1" applyFill="1" applyBorder="1" applyAlignment="1">
      <alignment/>
    </xf>
    <xf numFmtId="0" fontId="22" fillId="5" borderId="11" xfId="0" applyFont="1" applyFill="1" applyBorder="1" applyAlignment="1">
      <alignment horizontal="center"/>
    </xf>
    <xf numFmtId="168" fontId="25" fillId="14" borderId="9" xfId="0" applyNumberFormat="1" applyFont="1" applyFill="1" applyBorder="1" applyAlignment="1">
      <alignment/>
    </xf>
    <xf numFmtId="0" fontId="22" fillId="5" borderId="9" xfId="0" applyFont="1" applyFill="1" applyBorder="1" applyAlignment="1">
      <alignment/>
    </xf>
    <xf numFmtId="0" fontId="22" fillId="5" borderId="11" xfId="0" applyFont="1" applyFill="1" applyBorder="1" applyAlignment="1">
      <alignment/>
    </xf>
    <xf numFmtId="0" fontId="25" fillId="14" borderId="9" xfId="0" applyFont="1" applyFill="1" applyBorder="1" applyAlignment="1">
      <alignment/>
    </xf>
    <xf numFmtId="0" fontId="22" fillId="5" borderId="9" xfId="0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73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174" fontId="7" fillId="0" borderId="0" xfId="0" applyNumberFormat="1" applyFont="1" applyFill="1" applyAlignment="1">
      <alignment/>
    </xf>
    <xf numFmtId="17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5" xfId="0" applyFont="1" applyFill="1" applyBorder="1" applyAlignment="1">
      <alignment/>
    </xf>
    <xf numFmtId="170" fontId="6" fillId="0" borderId="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C50"/>
  <sheetViews>
    <sheetView workbookViewId="0" topLeftCell="A13">
      <selection activeCell="C22" sqref="C22"/>
    </sheetView>
  </sheetViews>
  <sheetFormatPr defaultColWidth="9.140625" defaultRowHeight="12.75"/>
  <cols>
    <col min="1" max="1" width="26.140625" style="0" customWidth="1"/>
    <col min="2" max="2" width="31.140625" style="0" customWidth="1"/>
    <col min="3" max="3" width="31.421875" style="0" customWidth="1"/>
  </cols>
  <sheetData>
    <row r="1" spans="1:3" ht="13.5" customHeight="1">
      <c r="A1" s="21"/>
      <c r="B1" s="23"/>
      <c r="C1" s="23"/>
    </row>
    <row r="2" spans="1:3" ht="13.5" customHeight="1">
      <c r="A2" s="22" t="s">
        <v>156</v>
      </c>
      <c r="B2" s="24" t="str">
        <f>'WINPC3 Investments'!B2</f>
        <v>CHANNEL PERFORMANCE</v>
      </c>
      <c r="C2" s="24"/>
    </row>
    <row r="3" spans="1:3" ht="13.5" customHeight="1">
      <c r="A3" s="22" t="s">
        <v>157</v>
      </c>
      <c r="B3" s="24" t="s">
        <v>550</v>
      </c>
      <c r="C3" s="24"/>
    </row>
    <row r="4" spans="1:3" ht="13.5" customHeight="1">
      <c r="A4" s="22" t="s">
        <v>158</v>
      </c>
      <c r="B4" s="24" t="s">
        <v>126</v>
      </c>
      <c r="C4" s="24"/>
    </row>
    <row r="5" spans="1:3" ht="13.5" customHeight="1">
      <c r="A5" s="22" t="s">
        <v>159</v>
      </c>
      <c r="B5" s="27">
        <f>'WINPC3 Parameters'!A10</f>
        <v>7693</v>
      </c>
      <c r="C5" s="24"/>
    </row>
    <row r="6" spans="1:3" ht="13.5" customHeight="1">
      <c r="A6" s="22" t="s">
        <v>160</v>
      </c>
      <c r="B6" s="24" t="s">
        <v>161</v>
      </c>
      <c r="C6" s="24"/>
    </row>
    <row r="7" spans="1:3" ht="13.5" customHeight="1">
      <c r="A7" s="22"/>
      <c r="B7" s="24"/>
      <c r="C7" s="24"/>
    </row>
    <row r="8" spans="1:3" ht="13.5" customHeight="1">
      <c r="A8" s="22"/>
      <c r="B8" s="24"/>
      <c r="C8" s="24"/>
    </row>
    <row r="9" spans="1:3" ht="13.5" customHeight="1">
      <c r="A9" s="22"/>
      <c r="B9" s="24"/>
      <c r="C9" s="24"/>
    </row>
    <row r="10" spans="1:3" ht="13.5" customHeight="1">
      <c r="A10" s="22"/>
      <c r="B10" s="24"/>
      <c r="C10" s="24"/>
    </row>
    <row r="11" spans="1:3" ht="13.5" customHeight="1">
      <c r="A11" s="22"/>
      <c r="B11" s="24"/>
      <c r="C11" s="24"/>
    </row>
    <row r="12" spans="1:3" ht="13.5" customHeight="1">
      <c r="A12" s="22"/>
      <c r="B12" s="24"/>
      <c r="C12" s="24"/>
    </row>
    <row r="13" spans="1:3" ht="13.5" customHeight="1">
      <c r="A13" s="22" t="s">
        <v>162</v>
      </c>
      <c r="B13" s="24"/>
      <c r="C13" s="24"/>
    </row>
    <row r="14" spans="1:3" ht="13.5" customHeight="1">
      <c r="A14" s="22"/>
      <c r="B14" s="24"/>
      <c r="C14" s="24"/>
    </row>
    <row r="15" spans="1:3" ht="13.5" customHeight="1">
      <c r="A15" s="22"/>
      <c r="B15" s="24"/>
      <c r="C15" s="24"/>
    </row>
    <row r="16" spans="1:3" ht="13.5" customHeight="1">
      <c r="A16" s="22" t="s">
        <v>163</v>
      </c>
      <c r="B16" s="24" t="str">
        <f>"June 19, 2003"</f>
        <v>June 19, 2003</v>
      </c>
      <c r="C16" s="24"/>
    </row>
    <row r="17" spans="1:3" ht="13.5" customHeight="1">
      <c r="A17" s="22" t="s">
        <v>164</v>
      </c>
      <c r="B17" s="24" t="s">
        <v>555</v>
      </c>
      <c r="C17" s="24"/>
    </row>
    <row r="18" spans="1:3" ht="13.5" customHeight="1">
      <c r="A18" s="22" t="s">
        <v>165</v>
      </c>
      <c r="B18" s="22" t="s">
        <v>166</v>
      </c>
      <c r="C18" s="22" t="s">
        <v>167</v>
      </c>
    </row>
    <row r="19" spans="1:3" ht="13.5" customHeight="1">
      <c r="A19" s="22"/>
      <c r="B19" s="24"/>
      <c r="C19" s="24" t="str">
        <f>"June 19, 2003"</f>
        <v>June 19, 2003</v>
      </c>
    </row>
    <row r="20" spans="1:3" ht="13.5" customHeight="1">
      <c r="A20" s="22"/>
      <c r="B20" s="22"/>
      <c r="C20" s="22"/>
    </row>
    <row r="21" spans="1:3" ht="13.5" customHeight="1">
      <c r="A21" s="22" t="s">
        <v>189</v>
      </c>
      <c r="B21" s="22" t="s">
        <v>168</v>
      </c>
      <c r="C21" s="22" t="s">
        <v>190</v>
      </c>
    </row>
    <row r="22" spans="1:3" ht="13.5" customHeight="1">
      <c r="A22" s="22"/>
      <c r="B22" s="24" t="s">
        <v>169</v>
      </c>
      <c r="C22" s="27">
        <v>2.11</v>
      </c>
    </row>
    <row r="23" spans="1:3" ht="13.5" customHeight="1">
      <c r="A23" s="22"/>
      <c r="B23" s="24" t="s">
        <v>170</v>
      </c>
      <c r="C23" s="27" t="s">
        <v>509</v>
      </c>
    </row>
    <row r="24" spans="1:3" ht="13.5" customHeight="1">
      <c r="A24" s="22"/>
      <c r="B24" s="24" t="s">
        <v>191</v>
      </c>
      <c r="C24" s="27" t="s">
        <v>549</v>
      </c>
    </row>
    <row r="25" spans="1:3" ht="13.5" customHeight="1">
      <c r="A25" s="22"/>
      <c r="B25" s="24"/>
      <c r="C25" s="24"/>
    </row>
    <row r="26" spans="1:3" ht="13.5" customHeight="1">
      <c r="A26" s="22"/>
      <c r="B26" s="24"/>
      <c r="C26" s="24"/>
    </row>
    <row r="27" spans="1:3" ht="13.5" customHeight="1">
      <c r="A27" s="22"/>
      <c r="B27" s="24"/>
      <c r="C27" s="24"/>
    </row>
    <row r="28" spans="1:3" ht="13.5" customHeight="1">
      <c r="A28" s="22"/>
      <c r="B28" s="24"/>
      <c r="C28" s="24"/>
    </row>
    <row r="29" spans="1:3" ht="13.5" customHeight="1">
      <c r="A29" s="22" t="s">
        <v>171</v>
      </c>
      <c r="B29" s="22" t="s">
        <v>117</v>
      </c>
      <c r="C29" s="22" t="s">
        <v>172</v>
      </c>
    </row>
    <row r="30" spans="1:3" ht="13.5" customHeight="1">
      <c r="A30" s="22"/>
      <c r="B30" s="24" t="s">
        <v>173</v>
      </c>
      <c r="C30" s="25" t="str">
        <f>MID('WINPC3 ACF Outputs'!A5,42,5)</f>
        <v>06/03</v>
      </c>
    </row>
    <row r="31" spans="1:3" ht="13.5" customHeight="1">
      <c r="A31" s="22"/>
      <c r="B31" s="24" t="s">
        <v>136</v>
      </c>
      <c r="C31" s="25" t="str">
        <f>MID('WINPC3 ACF Outputs'!A7,37,5)</f>
        <v>02/02</v>
      </c>
    </row>
    <row r="32" spans="1:3" ht="13.5" customHeight="1">
      <c r="A32" s="22"/>
      <c r="B32" s="24" t="s">
        <v>530</v>
      </c>
      <c r="C32" s="25" t="str">
        <f>MID('WINPC3 ACF Outputs'!A9,32,5)</f>
        <v>06/03</v>
      </c>
    </row>
    <row r="33" spans="1:3" ht="13.5" customHeight="1">
      <c r="A33" s="22"/>
      <c r="B33" s="24" t="s">
        <v>174</v>
      </c>
      <c r="C33" s="25" t="str">
        <f>MID('WINPC3 ACF Outputs'!A18,43,5)</f>
        <v>02/02</v>
      </c>
    </row>
    <row r="34" spans="1:3" ht="13.5" customHeight="1">
      <c r="A34" s="22"/>
      <c r="B34" s="24" t="s">
        <v>497</v>
      </c>
      <c r="C34" s="25" t="str">
        <f>MID('WINPC3 ACF Outputs'!A10,51,5)</f>
        <v>06/03</v>
      </c>
    </row>
    <row r="35" spans="1:3" ht="13.5" customHeight="1">
      <c r="A35" s="22"/>
      <c r="B35" s="328" t="s">
        <v>175</v>
      </c>
      <c r="C35" s="329" t="str">
        <f>MID('WINPC3 ACF Outputs'!A22,45,5)</f>
        <v>06/03</v>
      </c>
    </row>
    <row r="36" spans="1:3" ht="13.5" customHeight="1">
      <c r="A36" s="22"/>
      <c r="B36" s="24" t="s">
        <v>150</v>
      </c>
      <c r="C36" s="25" t="str">
        <f>MID('WINPC3 ACF Outputs'!A19,55,5)</f>
        <v>06/03</v>
      </c>
    </row>
    <row r="37" spans="1:3" ht="13.5" customHeight="1">
      <c r="A37" s="22"/>
      <c r="B37" s="24" t="s">
        <v>536</v>
      </c>
      <c r="C37" s="25" t="str">
        <f>MID('WINPC3 ACF Outputs'!A19,55,5)</f>
        <v>06/03</v>
      </c>
    </row>
    <row r="38" spans="1:3" ht="13.5" customHeight="1">
      <c r="A38" s="22"/>
      <c r="B38" s="24" t="s">
        <v>124</v>
      </c>
      <c r="C38" s="25" t="str">
        <f>MID('WINPC3 ACF Outputs'!A12,32,5)</f>
        <v>06/03</v>
      </c>
    </row>
    <row r="39" spans="1:3" ht="13.5" customHeight="1">
      <c r="A39" s="22"/>
      <c r="B39" s="24"/>
      <c r="C39" s="25"/>
    </row>
    <row r="40" spans="1:3" ht="13.5" customHeight="1">
      <c r="A40" s="22"/>
      <c r="B40" s="24"/>
      <c r="C40" s="25"/>
    </row>
    <row r="41" spans="1:3" ht="13.5" customHeight="1">
      <c r="A41" s="22"/>
      <c r="B41" s="24"/>
      <c r="C41" s="25"/>
    </row>
    <row r="42" spans="1:3" ht="13.5" customHeight="1">
      <c r="A42" s="22"/>
      <c r="B42" s="24"/>
      <c r="C42" s="25"/>
    </row>
    <row r="43" spans="1:3" ht="13.5" customHeight="1">
      <c r="A43" s="22"/>
      <c r="B43" s="24"/>
      <c r="C43" s="25"/>
    </row>
    <row r="44" spans="1:3" ht="13.5" customHeight="1">
      <c r="A44" s="22"/>
      <c r="B44" s="24"/>
      <c r="C44" s="25"/>
    </row>
    <row r="45" spans="1:3" ht="13.5" customHeight="1">
      <c r="A45" s="22"/>
      <c r="B45" s="24"/>
      <c r="C45" s="25"/>
    </row>
    <row r="46" spans="1:3" ht="13.5" customHeight="1">
      <c r="A46" s="22"/>
      <c r="B46" s="24"/>
      <c r="C46" s="25"/>
    </row>
    <row r="47" spans="1:3" ht="13.5" customHeight="1">
      <c r="A47" s="22"/>
      <c r="B47" s="24"/>
      <c r="C47" s="25"/>
    </row>
    <row r="48" spans="1:3" ht="13.5" customHeight="1">
      <c r="A48" s="22"/>
      <c r="B48" s="24" t="s">
        <v>134</v>
      </c>
      <c r="C48" s="26" t="str">
        <f>MID('WINPC3 ACF Outputs'!A5,61,6)</f>
        <v>9.63% </v>
      </c>
    </row>
    <row r="49" spans="1:3" ht="13.5" customHeight="1">
      <c r="A49" s="22" t="s">
        <v>176</v>
      </c>
      <c r="B49" s="24"/>
      <c r="C49" s="25"/>
    </row>
    <row r="50" spans="1:3" ht="13.5" customHeight="1">
      <c r="A50" s="22" t="s">
        <v>177</v>
      </c>
      <c r="B50" s="24"/>
      <c r="C50" s="24"/>
    </row>
  </sheetData>
  <printOptions/>
  <pageMargins left="0.75" right="0.75" top="0.53" bottom="0.36" header="0.25" footer="0.28"/>
  <pageSetup firstPageNumber="5" useFirstPageNumber="1" horizontalDpi="600" verticalDpi="600" orientation="portrait" r:id="rId3"/>
  <headerFooter alignWithMargins="0">
    <oddHeader>&amp;L&amp;F.xls&amp;C&amp;A&amp;RPage &amp;P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O165"/>
  <sheetViews>
    <sheetView workbookViewId="0" topLeftCell="A141">
      <selection activeCell="I160" sqref="I160"/>
    </sheetView>
  </sheetViews>
  <sheetFormatPr defaultColWidth="9.140625" defaultRowHeight="12.75"/>
  <cols>
    <col min="1" max="1" width="11.57421875" style="0" customWidth="1"/>
    <col min="2" max="2" width="1.8515625" style="0" customWidth="1"/>
    <col min="3" max="3" width="4.140625" style="0" customWidth="1"/>
    <col min="4" max="4" width="11.421875" style="0" customWidth="1"/>
    <col min="5" max="5" width="8.57421875" style="0" customWidth="1"/>
    <col min="6" max="6" width="18.00390625" style="0" customWidth="1"/>
    <col min="7" max="7" width="9.421875" style="0" customWidth="1"/>
    <col min="8" max="8" width="4.140625" style="0" customWidth="1"/>
    <col min="9" max="9" width="9.7109375" style="0" customWidth="1"/>
    <col min="10" max="10" width="8.57421875" style="0" customWidth="1"/>
    <col min="11" max="11" width="9.421875" style="0" customWidth="1"/>
    <col min="12" max="12" width="11.8515625" style="0" customWidth="1"/>
    <col min="13" max="13" width="9.421875" style="0" customWidth="1"/>
    <col min="14" max="14" width="9.7109375" style="0" customWidth="1"/>
    <col min="15" max="15" width="5.28125" style="0" customWidth="1"/>
  </cols>
  <sheetData>
    <row r="1" spans="1:1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2.75">
      <c r="A2" s="75"/>
      <c r="B2" s="37"/>
      <c r="C2" s="38"/>
      <c r="D2" s="64" t="s">
        <v>208</v>
      </c>
      <c r="E2" s="38"/>
      <c r="F2" s="38"/>
      <c r="G2" s="38"/>
      <c r="H2" s="38"/>
      <c r="I2" s="38"/>
      <c r="J2" s="38"/>
      <c r="K2" s="37"/>
      <c r="L2" s="38"/>
      <c r="M2" s="38"/>
      <c r="N2" s="38"/>
      <c r="O2" s="38"/>
    </row>
    <row r="3" spans="1:15" ht="12.75">
      <c r="A3" s="79" t="s">
        <v>209</v>
      </c>
      <c r="B3" s="136"/>
      <c r="C3" s="66" t="s">
        <v>210</v>
      </c>
      <c r="D3" s="66" t="s">
        <v>211</v>
      </c>
      <c r="E3" s="66"/>
      <c r="F3" s="66" t="s">
        <v>209</v>
      </c>
      <c r="G3" s="66"/>
      <c r="H3" s="137"/>
      <c r="I3" s="63"/>
      <c r="J3" s="138"/>
      <c r="K3" s="139" t="s">
        <v>212</v>
      </c>
      <c r="L3" s="140" t="s">
        <v>213</v>
      </c>
      <c r="M3" s="140"/>
      <c r="N3" s="138" t="s">
        <v>214</v>
      </c>
      <c r="O3" s="63"/>
    </row>
    <row r="4" spans="1:15" ht="12.75">
      <c r="A4" s="141"/>
      <c r="B4" s="142"/>
      <c r="C4" s="41" t="s">
        <v>215</v>
      </c>
      <c r="D4" s="41" t="s">
        <v>216</v>
      </c>
      <c r="E4" s="41" t="s">
        <v>217</v>
      </c>
      <c r="F4" s="41" t="s">
        <v>218</v>
      </c>
      <c r="G4" s="143" t="s">
        <v>219</v>
      </c>
      <c r="H4" s="144" t="s">
        <v>220</v>
      </c>
      <c r="I4" s="144" t="s">
        <v>221</v>
      </c>
      <c r="J4" s="144"/>
      <c r="K4" s="145" t="s">
        <v>221</v>
      </c>
      <c r="L4" s="146" t="s">
        <v>222</v>
      </c>
      <c r="M4" s="144"/>
      <c r="N4" s="144" t="s">
        <v>221</v>
      </c>
      <c r="O4" s="41" t="s">
        <v>223</v>
      </c>
    </row>
    <row r="5" spans="1:15" ht="12.75">
      <c r="A5" s="147" t="s">
        <v>197</v>
      </c>
      <c r="B5" s="148"/>
      <c r="C5" s="149"/>
      <c r="D5" s="149"/>
      <c r="E5" s="149"/>
      <c r="F5" s="149"/>
      <c r="G5" s="150"/>
      <c r="H5" s="151"/>
      <c r="I5" s="151"/>
      <c r="J5" s="152"/>
      <c r="K5" s="151"/>
      <c r="L5" s="151"/>
      <c r="M5" s="151"/>
      <c r="N5" s="151"/>
      <c r="O5" s="149"/>
    </row>
    <row r="6" spans="1:15" ht="12.75">
      <c r="A6" s="28" t="s">
        <v>224</v>
      </c>
      <c r="B6" s="28"/>
      <c r="C6" s="28"/>
      <c r="D6" s="28"/>
      <c r="E6" s="28"/>
      <c r="F6" s="28"/>
      <c r="G6" s="28"/>
      <c r="H6" s="28"/>
      <c r="I6" s="149"/>
      <c r="J6" s="28"/>
      <c r="K6" s="151"/>
      <c r="L6" s="151"/>
      <c r="M6" s="151"/>
      <c r="N6" s="151"/>
      <c r="O6" s="149"/>
    </row>
    <row r="7" spans="1:15" ht="12.75">
      <c r="A7" s="28"/>
      <c r="B7" s="147"/>
      <c r="C7" s="28"/>
      <c r="D7" s="28"/>
      <c r="E7" s="28"/>
      <c r="F7" s="35"/>
      <c r="G7" s="153"/>
      <c r="H7" s="34"/>
      <c r="I7" s="28"/>
      <c r="J7" s="28"/>
      <c r="K7" s="28"/>
      <c r="L7" s="28"/>
      <c r="M7" s="28"/>
      <c r="N7" s="28"/>
      <c r="O7" s="28"/>
    </row>
    <row r="8" spans="1:15" ht="12.75">
      <c r="A8" s="154" t="s">
        <v>225</v>
      </c>
      <c r="B8" s="154"/>
      <c r="C8" s="28" t="s">
        <v>226</v>
      </c>
      <c r="D8" s="28" t="s">
        <v>227</v>
      </c>
      <c r="E8" s="28" t="s">
        <v>228</v>
      </c>
      <c r="F8" s="35" t="s">
        <v>229</v>
      </c>
      <c r="G8" s="33">
        <v>82</v>
      </c>
      <c r="H8" s="34">
        <v>1</v>
      </c>
      <c r="I8" s="35"/>
      <c r="J8" s="153"/>
      <c r="K8" s="32"/>
      <c r="L8" s="32"/>
      <c r="M8" s="32"/>
      <c r="N8" s="32"/>
      <c r="O8" s="28"/>
    </row>
    <row r="9" spans="1:15" ht="12.75">
      <c r="A9" s="154"/>
      <c r="B9" s="154"/>
      <c r="C9" s="28"/>
      <c r="D9" s="28" t="s">
        <v>230</v>
      </c>
      <c r="E9" s="28" t="s">
        <v>228</v>
      </c>
      <c r="F9" s="35" t="s">
        <v>231</v>
      </c>
      <c r="G9" s="35">
        <v>123.5</v>
      </c>
      <c r="H9" s="34">
        <v>1</v>
      </c>
      <c r="I9" s="35">
        <f>SUM(G8:G9)</f>
        <v>205.5</v>
      </c>
      <c r="J9" s="155">
        <f>I9*0.5</f>
        <v>102.75</v>
      </c>
      <c r="K9" s="32"/>
      <c r="L9" s="32"/>
      <c r="M9" s="32"/>
      <c r="N9" s="32"/>
      <c r="O9" s="31" t="s">
        <v>89</v>
      </c>
    </row>
    <row r="10" spans="1:15" ht="12.75">
      <c r="A10" s="154"/>
      <c r="B10" s="154"/>
      <c r="C10" s="28"/>
      <c r="D10" s="28"/>
      <c r="E10" s="28"/>
      <c r="F10" s="35"/>
      <c r="G10" s="33"/>
      <c r="H10" s="34"/>
      <c r="I10" s="35"/>
      <c r="J10" s="155"/>
      <c r="K10" s="32"/>
      <c r="L10" s="32"/>
      <c r="M10" s="32"/>
      <c r="N10" s="32"/>
      <c r="O10" s="28"/>
    </row>
    <row r="11" spans="1:15" ht="12.75">
      <c r="A11" s="154" t="s">
        <v>225</v>
      </c>
      <c r="B11" s="154"/>
      <c r="C11" s="28" t="s">
        <v>226</v>
      </c>
      <c r="D11" s="28" t="s">
        <v>227</v>
      </c>
      <c r="E11" s="28" t="s">
        <v>228</v>
      </c>
      <c r="F11" s="35" t="s">
        <v>229</v>
      </c>
      <c r="G11" s="33">
        <v>82</v>
      </c>
      <c r="H11" s="34">
        <v>1</v>
      </c>
      <c r="I11" s="35"/>
      <c r="J11" s="156"/>
      <c r="K11" s="32"/>
      <c r="L11" s="32"/>
      <c r="M11" s="32"/>
      <c r="N11" s="32"/>
      <c r="O11" s="31"/>
    </row>
    <row r="12" spans="1:15" ht="12.75">
      <c r="A12" s="154"/>
      <c r="B12" s="154"/>
      <c r="C12" s="28"/>
      <c r="D12" s="28" t="s">
        <v>232</v>
      </c>
      <c r="E12" s="28" t="s">
        <v>228</v>
      </c>
      <c r="F12" s="35" t="s">
        <v>233</v>
      </c>
      <c r="G12" s="35">
        <v>84.81</v>
      </c>
      <c r="H12" s="34">
        <v>1</v>
      </c>
      <c r="I12" s="35">
        <f>SUM(G11:G12)</f>
        <v>166.81</v>
      </c>
      <c r="J12" s="155">
        <f>I12*0.5</f>
        <v>83.405</v>
      </c>
      <c r="K12" s="32">
        <f>SUM(J9:J12)</f>
        <v>186.155</v>
      </c>
      <c r="L12" s="157">
        <f>1-39.9789871716824%</f>
        <v>0.600210128283176</v>
      </c>
      <c r="M12" s="32">
        <f>K12*L12</f>
        <v>111.73211643055463</v>
      </c>
      <c r="N12" s="32"/>
      <c r="O12" s="31" t="s">
        <v>89</v>
      </c>
    </row>
    <row r="13" spans="1:15" ht="12.75">
      <c r="A13" s="158"/>
      <c r="B13" s="158"/>
      <c r="C13" s="159"/>
      <c r="D13" s="159"/>
      <c r="E13" s="159"/>
      <c r="F13" s="160"/>
      <c r="G13" s="161"/>
      <c r="H13" s="162"/>
      <c r="I13" s="160"/>
      <c r="J13" s="163"/>
      <c r="K13" s="164"/>
      <c r="L13" s="164"/>
      <c r="M13" s="164"/>
      <c r="N13" s="164"/>
      <c r="O13" s="165"/>
    </row>
    <row r="14" spans="1:15" ht="12.75">
      <c r="A14" s="147" t="s">
        <v>197</v>
      </c>
      <c r="B14" s="154"/>
      <c r="C14" s="28"/>
      <c r="D14" s="28"/>
      <c r="E14" s="28"/>
      <c r="F14" s="28"/>
      <c r="G14" s="28"/>
      <c r="H14" s="28"/>
      <c r="I14" s="28"/>
      <c r="J14" s="28"/>
      <c r="K14" s="28"/>
      <c r="L14" s="32"/>
      <c r="M14" s="32"/>
      <c r="N14" s="32"/>
      <c r="O14" s="31"/>
    </row>
    <row r="15" spans="1:15" ht="12.75">
      <c r="A15" s="166" t="s">
        <v>234</v>
      </c>
      <c r="B15" s="154"/>
      <c r="C15" s="28"/>
      <c r="D15" s="28"/>
      <c r="E15" s="28"/>
      <c r="F15" s="34" t="s">
        <v>235</v>
      </c>
      <c r="G15" s="157">
        <v>0.399789871716824</v>
      </c>
      <c r="H15" s="28"/>
      <c r="I15" s="35"/>
      <c r="J15" s="155"/>
      <c r="K15" s="32"/>
      <c r="L15" s="157"/>
      <c r="M15" s="32"/>
      <c r="N15" s="32"/>
      <c r="O15" s="31" t="s">
        <v>89</v>
      </c>
    </row>
    <row r="16" spans="1:15" ht="12.75">
      <c r="A16" s="166"/>
      <c r="B16" s="154"/>
      <c r="C16" s="28"/>
      <c r="D16" s="28"/>
      <c r="E16" s="28" t="s">
        <v>228</v>
      </c>
      <c r="F16" s="28" t="s">
        <v>236</v>
      </c>
      <c r="G16" s="155">
        <v>120.62</v>
      </c>
      <c r="H16" s="34">
        <v>2</v>
      </c>
      <c r="I16" s="35">
        <f>G16*2</f>
        <v>241.24</v>
      </c>
      <c r="J16" s="155">
        <f>I16*1</f>
        <v>241.24</v>
      </c>
      <c r="K16" s="32">
        <f>J16</f>
        <v>241.24</v>
      </c>
      <c r="L16" s="157"/>
      <c r="M16" s="32"/>
      <c r="N16" s="32"/>
      <c r="O16" s="31"/>
    </row>
    <row r="17" spans="1:15" ht="12.75">
      <c r="A17" s="28"/>
      <c r="B17" s="147"/>
      <c r="C17" s="28"/>
      <c r="D17" s="28"/>
      <c r="E17" s="28"/>
      <c r="F17" s="35"/>
      <c r="G17" s="153"/>
      <c r="H17" s="34"/>
      <c r="I17" s="28"/>
      <c r="J17" s="28"/>
      <c r="K17" s="28"/>
      <c r="L17" s="28"/>
      <c r="M17" s="28"/>
      <c r="N17" s="32"/>
      <c r="O17" s="31"/>
    </row>
    <row r="18" spans="1:15" ht="12.75">
      <c r="A18" s="154" t="s">
        <v>225</v>
      </c>
      <c r="B18" s="154"/>
      <c r="C18" s="28" t="s">
        <v>226</v>
      </c>
      <c r="D18" s="28" t="s">
        <v>227</v>
      </c>
      <c r="E18" s="28" t="s">
        <v>237</v>
      </c>
      <c r="F18" s="35" t="s">
        <v>238</v>
      </c>
      <c r="G18" s="33">
        <v>157.9</v>
      </c>
      <c r="H18" s="34">
        <v>1</v>
      </c>
      <c r="I18" s="35"/>
      <c r="J18" s="153"/>
      <c r="K18" s="32"/>
      <c r="L18" s="32"/>
      <c r="M18" s="32"/>
      <c r="N18" s="32"/>
      <c r="O18" s="31"/>
    </row>
    <row r="19" spans="1:15" ht="12.75">
      <c r="A19" s="154"/>
      <c r="B19" s="154"/>
      <c r="C19" s="28"/>
      <c r="D19" s="28"/>
      <c r="E19" s="28"/>
      <c r="F19" s="35" t="s">
        <v>239</v>
      </c>
      <c r="G19" s="33">
        <v>-63</v>
      </c>
      <c r="H19" s="34"/>
      <c r="I19" s="35"/>
      <c r="J19" s="153"/>
      <c r="K19" s="32"/>
      <c r="L19" s="32"/>
      <c r="M19" s="32"/>
      <c r="N19" s="32"/>
      <c r="O19" s="31"/>
    </row>
    <row r="20" spans="1:15" ht="12.75">
      <c r="A20" s="154"/>
      <c r="B20" s="154"/>
      <c r="C20" s="28"/>
      <c r="D20" s="28" t="s">
        <v>230</v>
      </c>
      <c r="E20" s="28" t="s">
        <v>228</v>
      </c>
      <c r="F20" s="35" t="s">
        <v>240</v>
      </c>
      <c r="G20" s="35">
        <v>325.5</v>
      </c>
      <c r="H20" s="34">
        <v>1</v>
      </c>
      <c r="I20" s="35">
        <f>SUM(G18:G20)</f>
        <v>420.4</v>
      </c>
      <c r="J20" s="155">
        <f>I20*0.5</f>
        <v>210.2</v>
      </c>
      <c r="K20" s="32"/>
      <c r="L20" s="32"/>
      <c r="M20" s="32"/>
      <c r="N20" s="32"/>
      <c r="O20" s="31" t="s">
        <v>89</v>
      </c>
    </row>
    <row r="21" spans="1:15" ht="12.75">
      <c r="A21" s="154"/>
      <c r="B21" s="154"/>
      <c r="C21" s="28"/>
      <c r="D21" s="28"/>
      <c r="E21" s="28"/>
      <c r="F21" s="35"/>
      <c r="G21" s="33"/>
      <c r="H21" s="34"/>
      <c r="I21" s="35"/>
      <c r="J21" s="155"/>
      <c r="K21" s="32"/>
      <c r="L21" s="32"/>
      <c r="M21" s="32"/>
      <c r="N21" s="32"/>
      <c r="O21" s="31"/>
    </row>
    <row r="22" spans="1:15" ht="12.75">
      <c r="A22" s="154" t="s">
        <v>225</v>
      </c>
      <c r="B22" s="154"/>
      <c r="C22" s="28" t="s">
        <v>226</v>
      </c>
      <c r="D22" s="28" t="s">
        <v>227</v>
      </c>
      <c r="E22" s="28" t="s">
        <v>237</v>
      </c>
      <c r="F22" s="35" t="s">
        <v>238</v>
      </c>
      <c r="G22" s="33">
        <v>157.9</v>
      </c>
      <c r="H22" s="34">
        <v>1</v>
      </c>
      <c r="I22" s="35"/>
      <c r="J22" s="156"/>
      <c r="K22" s="32"/>
      <c r="L22" s="32"/>
      <c r="M22" s="32"/>
      <c r="N22" s="32"/>
      <c r="O22" s="31"/>
    </row>
    <row r="23" spans="1:15" ht="12.75">
      <c r="A23" s="154"/>
      <c r="B23" s="154"/>
      <c r="C23" s="28"/>
      <c r="D23" s="28"/>
      <c r="E23" s="28"/>
      <c r="F23" s="35" t="s">
        <v>239</v>
      </c>
      <c r="G23" s="33">
        <v>-63</v>
      </c>
      <c r="H23" s="34"/>
      <c r="I23" s="35"/>
      <c r="J23" s="156"/>
      <c r="K23" s="32"/>
      <c r="L23" s="32"/>
      <c r="M23" s="32"/>
      <c r="N23" s="32"/>
      <c r="O23" s="31"/>
    </row>
    <row r="24" spans="1:15" ht="12.75">
      <c r="A24" s="154"/>
      <c r="B24" s="154"/>
      <c r="C24" s="28"/>
      <c r="D24" s="28" t="s">
        <v>232</v>
      </c>
      <c r="E24" s="28" t="s">
        <v>228</v>
      </c>
      <c r="F24" s="35" t="s">
        <v>241</v>
      </c>
      <c r="G24" s="35">
        <v>115.55</v>
      </c>
      <c r="H24" s="34">
        <v>1</v>
      </c>
      <c r="I24" s="35">
        <f>SUM(G22:G24)</f>
        <v>210.45</v>
      </c>
      <c r="J24" s="155">
        <f>I24*0.5</f>
        <v>105.225</v>
      </c>
      <c r="K24" s="167">
        <f>SUM(J20:J24)</f>
        <v>315.42499999999995</v>
      </c>
      <c r="L24" s="28"/>
      <c r="M24" s="28"/>
      <c r="N24" s="32"/>
      <c r="O24" s="31"/>
    </row>
    <row r="25" spans="1:15" ht="13.5" thickBot="1">
      <c r="A25" s="154"/>
      <c r="B25" s="154"/>
      <c r="C25" s="28"/>
      <c r="D25" s="28"/>
      <c r="E25" s="28"/>
      <c r="F25" s="35"/>
      <c r="G25" s="35"/>
      <c r="H25" s="34"/>
      <c r="I25" s="35"/>
      <c r="J25" s="155"/>
      <c r="K25" s="32">
        <f>SUM(K16:K24)</f>
        <v>556.665</v>
      </c>
      <c r="L25" s="157">
        <v>0.399789871716824</v>
      </c>
      <c r="M25" s="32">
        <f>K25*L25</f>
        <v>222.54902893924583</v>
      </c>
      <c r="N25" s="32"/>
      <c r="O25" s="31" t="s">
        <v>89</v>
      </c>
    </row>
    <row r="26" spans="1:15" ht="13.5" thickBot="1">
      <c r="A26" s="154"/>
      <c r="B26" s="154"/>
      <c r="C26" s="28"/>
      <c r="D26" s="28"/>
      <c r="E26" s="28"/>
      <c r="F26" s="35"/>
      <c r="G26" s="35"/>
      <c r="H26" s="34"/>
      <c r="I26" s="28"/>
      <c r="J26" s="28"/>
      <c r="K26" s="28"/>
      <c r="L26" s="28"/>
      <c r="M26" s="28"/>
      <c r="N26" s="168">
        <f>SUM(M12:M25)</f>
        <v>334.28114536980047</v>
      </c>
      <c r="O26" s="31" t="s">
        <v>89</v>
      </c>
    </row>
    <row r="27" spans="1:15" ht="12.75">
      <c r="A27" s="169"/>
      <c r="B27" s="169"/>
      <c r="C27" s="170"/>
      <c r="D27" s="170"/>
      <c r="E27" s="170"/>
      <c r="F27" s="171"/>
      <c r="G27" s="171"/>
      <c r="H27" s="172"/>
      <c r="I27" s="171"/>
      <c r="J27" s="173"/>
      <c r="K27" s="174"/>
      <c r="L27" s="175"/>
      <c r="M27" s="174"/>
      <c r="N27" s="174"/>
      <c r="O27" s="170"/>
    </row>
    <row r="28" spans="1:15" ht="12.75">
      <c r="A28" s="28"/>
      <c r="B28" s="28"/>
      <c r="C28" s="28"/>
      <c r="D28" s="28"/>
      <c r="E28" s="28"/>
      <c r="F28" s="32"/>
      <c r="G28" s="33"/>
      <c r="H28" s="34"/>
      <c r="I28" s="35"/>
      <c r="J28" s="155"/>
      <c r="K28" s="32"/>
      <c r="L28" s="32"/>
      <c r="M28" s="32"/>
      <c r="N28" s="32"/>
      <c r="O28" s="28"/>
    </row>
    <row r="29" spans="1:15" ht="12.75">
      <c r="A29" s="28"/>
      <c r="B29" s="28"/>
      <c r="C29" s="28"/>
      <c r="D29" s="28"/>
      <c r="E29" s="28"/>
      <c r="F29" s="32"/>
      <c r="G29" s="33"/>
      <c r="H29" s="34"/>
      <c r="I29" s="35"/>
      <c r="J29" s="155"/>
      <c r="K29" s="32"/>
      <c r="L29" s="32"/>
      <c r="M29" s="32"/>
      <c r="N29" s="32"/>
      <c r="O29" s="28"/>
    </row>
    <row r="30" spans="1:15" ht="12.75">
      <c r="A30" s="28"/>
      <c r="B30" s="28"/>
      <c r="C30" s="28"/>
      <c r="D30" s="28"/>
      <c r="E30" s="28"/>
      <c r="F30" s="32"/>
      <c r="G30" s="33"/>
      <c r="H30" s="34"/>
      <c r="I30" s="35"/>
      <c r="J30" s="155"/>
      <c r="K30" s="32"/>
      <c r="L30" s="32"/>
      <c r="M30" s="32"/>
      <c r="N30" s="32"/>
      <c r="O30" s="28"/>
    </row>
    <row r="31" spans="1:15" ht="12.75">
      <c r="A31" s="28"/>
      <c r="B31" s="28"/>
      <c r="C31" s="28"/>
      <c r="D31" s="28"/>
      <c r="E31" s="28"/>
      <c r="F31" s="32"/>
      <c r="G31" s="33"/>
      <c r="H31" s="34"/>
      <c r="I31" s="35"/>
      <c r="J31" s="155"/>
      <c r="K31" s="32"/>
      <c r="L31" s="32"/>
      <c r="M31" s="32"/>
      <c r="N31" s="32"/>
      <c r="O31" s="28"/>
    </row>
    <row r="32" spans="1:15" ht="12.75">
      <c r="A32" s="28"/>
      <c r="B32" s="28"/>
      <c r="C32" s="28"/>
      <c r="D32" s="28"/>
      <c r="E32" s="28"/>
      <c r="F32" s="32"/>
      <c r="G32" s="33"/>
      <c r="H32" s="34"/>
      <c r="I32" s="35"/>
      <c r="J32" s="155"/>
      <c r="K32" s="32"/>
      <c r="L32" s="32"/>
      <c r="M32" s="32"/>
      <c r="N32" s="32"/>
      <c r="O32" s="28"/>
    </row>
    <row r="33" spans="1:15" ht="12.75">
      <c r="A33" s="28"/>
      <c r="B33" s="28"/>
      <c r="C33" s="28"/>
      <c r="D33" s="28"/>
      <c r="E33" s="28"/>
      <c r="F33" s="32"/>
      <c r="G33" s="33"/>
      <c r="H33" s="34"/>
      <c r="I33" s="35"/>
      <c r="J33" s="155"/>
      <c r="K33" s="32"/>
      <c r="L33" s="32"/>
      <c r="M33" s="32"/>
      <c r="N33" s="32"/>
      <c r="O33" s="28"/>
    </row>
    <row r="34" spans="1:15" ht="12.75">
      <c r="A34" s="28"/>
      <c r="B34" s="28"/>
      <c r="C34" s="28"/>
      <c r="D34" s="28"/>
      <c r="E34" s="28"/>
      <c r="F34" s="32"/>
      <c r="G34" s="33"/>
      <c r="H34" s="34"/>
      <c r="I34" s="35"/>
      <c r="J34" s="155"/>
      <c r="K34" s="32"/>
      <c r="L34" s="32"/>
      <c r="M34" s="32"/>
      <c r="N34" s="32"/>
      <c r="O34" s="28"/>
    </row>
    <row r="35" spans="1:15" ht="12.75">
      <c r="A35" s="28"/>
      <c r="B35" s="28"/>
      <c r="C35" s="28"/>
      <c r="D35" s="28"/>
      <c r="E35" s="28"/>
      <c r="F35" s="32"/>
      <c r="G35" s="33"/>
      <c r="H35" s="34"/>
      <c r="I35" s="35"/>
      <c r="J35" s="155"/>
      <c r="K35" s="32"/>
      <c r="L35" s="32"/>
      <c r="M35" s="32"/>
      <c r="N35" s="32"/>
      <c r="O35" s="28"/>
    </row>
    <row r="36" spans="1:15" ht="12.75">
      <c r="A36" s="28"/>
      <c r="B36" s="28"/>
      <c r="C36" s="28"/>
      <c r="D36" s="28"/>
      <c r="E36" s="28"/>
      <c r="F36" s="32"/>
      <c r="G36" s="33"/>
      <c r="H36" s="34"/>
      <c r="I36" s="35"/>
      <c r="J36" s="155"/>
      <c r="K36" s="32"/>
      <c r="L36" s="32"/>
      <c r="M36" s="32"/>
      <c r="N36" s="32"/>
      <c r="O36" s="28"/>
    </row>
    <row r="37" spans="1:15" ht="12.75">
      <c r="A37" s="28"/>
      <c r="B37" s="28"/>
      <c r="C37" s="28"/>
      <c r="D37" s="28"/>
      <c r="E37" s="28"/>
      <c r="F37" s="32"/>
      <c r="G37" s="33"/>
      <c r="H37" s="34"/>
      <c r="I37" s="35"/>
      <c r="J37" s="155"/>
      <c r="K37" s="32"/>
      <c r="L37" s="32"/>
      <c r="M37" s="32"/>
      <c r="N37" s="32"/>
      <c r="O37" s="28"/>
    </row>
    <row r="38" spans="1:15" ht="12.75">
      <c r="A38" s="28"/>
      <c r="B38" s="28"/>
      <c r="C38" s="28"/>
      <c r="D38" s="28"/>
      <c r="E38" s="28"/>
      <c r="F38" s="32"/>
      <c r="G38" s="33"/>
      <c r="H38" s="34"/>
      <c r="I38" s="35"/>
      <c r="J38" s="155"/>
      <c r="K38" s="32"/>
      <c r="L38" s="32"/>
      <c r="M38" s="32"/>
      <c r="N38" s="32"/>
      <c r="O38" s="28"/>
    </row>
    <row r="39" spans="1:15" ht="12.75">
      <c r="A39" s="147" t="s">
        <v>198</v>
      </c>
      <c r="B39" s="147"/>
      <c r="C39" s="28"/>
      <c r="D39" s="28"/>
      <c r="E39" s="28"/>
      <c r="F39" s="35"/>
      <c r="G39" s="153"/>
      <c r="H39" s="34"/>
      <c r="I39" s="28"/>
      <c r="J39" s="28"/>
      <c r="K39" s="28"/>
      <c r="L39" s="28"/>
      <c r="M39" s="28"/>
      <c r="N39" s="28"/>
      <c r="O39" s="28"/>
    </row>
    <row r="40" spans="1:15" ht="12.75">
      <c r="A40" s="154" t="s">
        <v>225</v>
      </c>
      <c r="B40" s="154"/>
      <c r="C40" s="28" t="s">
        <v>242</v>
      </c>
      <c r="D40" s="28" t="s">
        <v>243</v>
      </c>
      <c r="E40" s="28" t="s">
        <v>228</v>
      </c>
      <c r="F40" s="35" t="s">
        <v>229</v>
      </c>
      <c r="G40" s="33">
        <v>82</v>
      </c>
      <c r="H40" s="34">
        <v>1</v>
      </c>
      <c r="I40" s="35"/>
      <c r="J40" s="153"/>
      <c r="K40" s="32"/>
      <c r="L40" s="32"/>
      <c r="M40" s="32"/>
      <c r="N40" s="32"/>
      <c r="O40" s="28"/>
    </row>
    <row r="41" spans="1:15" ht="12.75">
      <c r="A41" s="154"/>
      <c r="B41" s="154"/>
      <c r="C41" s="28"/>
      <c r="D41" s="28" t="s">
        <v>244</v>
      </c>
      <c r="E41" s="28" t="s">
        <v>228</v>
      </c>
      <c r="F41" s="35" t="s">
        <v>231</v>
      </c>
      <c r="G41" s="33">
        <v>123.5</v>
      </c>
      <c r="H41" s="34">
        <v>1</v>
      </c>
      <c r="I41" s="35">
        <f>SUM(G40:G41)</f>
        <v>205.5</v>
      </c>
      <c r="J41" s="155">
        <f>I41*0.5</f>
        <v>102.75</v>
      </c>
      <c r="K41" s="32"/>
      <c r="L41" s="32"/>
      <c r="M41" s="32"/>
      <c r="N41" s="32"/>
      <c r="O41" s="31" t="s">
        <v>89</v>
      </c>
    </row>
    <row r="42" spans="1:15" ht="12.75">
      <c r="A42" s="154"/>
      <c r="B42" s="154"/>
      <c r="C42" s="28"/>
      <c r="D42" s="28"/>
      <c r="E42" s="28"/>
      <c r="F42" s="35"/>
      <c r="G42" s="33"/>
      <c r="H42" s="34"/>
      <c r="I42" s="35"/>
      <c r="J42" s="155"/>
      <c r="K42" s="32"/>
      <c r="L42" s="32"/>
      <c r="M42" s="32"/>
      <c r="N42" s="32"/>
      <c r="O42" s="28"/>
    </row>
    <row r="43" spans="1:15" ht="12.75">
      <c r="A43" s="154" t="s">
        <v>225</v>
      </c>
      <c r="B43" s="154"/>
      <c r="C43" s="28" t="s">
        <v>242</v>
      </c>
      <c r="D43" s="28" t="s">
        <v>243</v>
      </c>
      <c r="E43" s="28" t="s">
        <v>228</v>
      </c>
      <c r="F43" s="35" t="s">
        <v>229</v>
      </c>
      <c r="G43" s="33">
        <v>82</v>
      </c>
      <c r="H43" s="34">
        <v>1</v>
      </c>
      <c r="I43" s="35"/>
      <c r="J43" s="156"/>
      <c r="K43" s="32"/>
      <c r="L43" s="32"/>
      <c r="M43" s="32"/>
      <c r="N43" s="32"/>
      <c r="O43" s="31"/>
    </row>
    <row r="44" spans="1:15" ht="12.75">
      <c r="A44" s="154"/>
      <c r="B44" s="154"/>
      <c r="C44" s="28"/>
      <c r="D44" s="28" t="s">
        <v>245</v>
      </c>
      <c r="E44" s="28" t="s">
        <v>228</v>
      </c>
      <c r="F44" s="35" t="s">
        <v>233</v>
      </c>
      <c r="G44" s="35">
        <v>84.81</v>
      </c>
      <c r="H44" s="34">
        <v>1</v>
      </c>
      <c r="I44" s="35">
        <f>SUM(G43:G44)</f>
        <v>166.81</v>
      </c>
      <c r="J44" s="155">
        <f>I44*0.5</f>
        <v>83.405</v>
      </c>
      <c r="K44" s="32">
        <f>SUM(J41:J44)</f>
        <v>186.155</v>
      </c>
      <c r="L44" s="157">
        <f>1-39.9789871716824%</f>
        <v>0.600210128283176</v>
      </c>
      <c r="M44" s="32">
        <f>K44*L44</f>
        <v>111.73211643055463</v>
      </c>
      <c r="N44" s="32"/>
      <c r="O44" s="31" t="s">
        <v>89</v>
      </c>
    </row>
    <row r="45" spans="1:15" ht="12.75">
      <c r="A45" s="154"/>
      <c r="B45" s="15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 ht="12.75">
      <c r="A46" s="158"/>
      <c r="B46" s="158"/>
      <c r="C46" s="159"/>
      <c r="D46" s="159"/>
      <c r="E46" s="159"/>
      <c r="F46" s="160"/>
      <c r="G46" s="161"/>
      <c r="H46" s="162"/>
      <c r="I46" s="160"/>
      <c r="J46" s="163"/>
      <c r="K46" s="164"/>
      <c r="L46" s="164"/>
      <c r="M46" s="164"/>
      <c r="N46" s="164"/>
      <c r="O46" s="165"/>
    </row>
    <row r="47" spans="1:15" ht="12.75">
      <c r="A47" s="147" t="s">
        <v>198</v>
      </c>
      <c r="B47" s="15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32"/>
      <c r="N47" s="32"/>
      <c r="O47" s="31"/>
    </row>
    <row r="48" spans="1:15" ht="12.75">
      <c r="A48" s="166" t="s">
        <v>234</v>
      </c>
      <c r="B48" s="154"/>
      <c r="C48" s="28"/>
      <c r="D48" s="28"/>
      <c r="E48" s="28"/>
      <c r="F48" s="34" t="s">
        <v>235</v>
      </c>
      <c r="G48" s="157">
        <v>0.399789871716824</v>
      </c>
      <c r="H48" s="28"/>
      <c r="I48" s="35"/>
      <c r="J48" s="155"/>
      <c r="K48" s="32"/>
      <c r="L48" s="32"/>
      <c r="M48" s="32"/>
      <c r="N48" s="32"/>
      <c r="O48" s="31" t="s">
        <v>89</v>
      </c>
    </row>
    <row r="49" spans="1:15" ht="12.75">
      <c r="A49" s="166"/>
      <c r="B49" s="154"/>
      <c r="C49" s="28"/>
      <c r="D49" s="28"/>
      <c r="E49" s="28" t="s">
        <v>228</v>
      </c>
      <c r="F49" s="28" t="s">
        <v>236</v>
      </c>
      <c r="G49" s="155">
        <v>120.62</v>
      </c>
      <c r="H49" s="34">
        <v>2</v>
      </c>
      <c r="I49" s="35">
        <f>G49*2</f>
        <v>241.24</v>
      </c>
      <c r="J49" s="155">
        <f>I49*1</f>
        <v>241.24</v>
      </c>
      <c r="K49" s="32">
        <f>J49</f>
        <v>241.24</v>
      </c>
      <c r="L49" s="157"/>
      <c r="M49" s="32"/>
      <c r="N49" s="32"/>
      <c r="O49" s="31"/>
    </row>
    <row r="50" spans="1:15" ht="12.75">
      <c r="A50" s="28"/>
      <c r="B50" s="147"/>
      <c r="C50" s="28"/>
      <c r="D50" s="28"/>
      <c r="E50" s="28"/>
      <c r="F50" s="35"/>
      <c r="G50" s="153"/>
      <c r="H50" s="34"/>
      <c r="I50" s="28"/>
      <c r="J50" s="28"/>
      <c r="K50" s="28"/>
      <c r="L50" s="28"/>
      <c r="M50" s="28"/>
      <c r="N50" s="32"/>
      <c r="O50" s="31"/>
    </row>
    <row r="51" spans="1:15" ht="12.75">
      <c r="A51" s="154" t="s">
        <v>225</v>
      </c>
      <c r="B51" s="154"/>
      <c r="C51" s="28" t="s">
        <v>242</v>
      </c>
      <c r="D51" s="28" t="s">
        <v>243</v>
      </c>
      <c r="E51" s="28" t="s">
        <v>237</v>
      </c>
      <c r="F51" s="35" t="s">
        <v>238</v>
      </c>
      <c r="G51" s="33">
        <v>157.9</v>
      </c>
      <c r="H51" s="34">
        <v>1</v>
      </c>
      <c r="I51" s="35"/>
      <c r="J51" s="153"/>
      <c r="K51" s="32"/>
      <c r="L51" s="32"/>
      <c r="M51" s="32"/>
      <c r="N51" s="32"/>
      <c r="O51" s="31"/>
    </row>
    <row r="52" spans="1:15" ht="12.75">
      <c r="A52" s="28"/>
      <c r="B52" s="28"/>
      <c r="C52" s="28"/>
      <c r="D52" s="28"/>
      <c r="E52" s="28"/>
      <c r="F52" s="35" t="s">
        <v>239</v>
      </c>
      <c r="G52" s="33">
        <v>-63</v>
      </c>
      <c r="H52" s="34"/>
      <c r="I52" s="35"/>
      <c r="J52" s="153"/>
      <c r="K52" s="32"/>
      <c r="L52" s="32"/>
      <c r="M52" s="32"/>
      <c r="N52" s="32"/>
      <c r="O52" s="31"/>
    </row>
    <row r="53" spans="1:15" ht="12.75">
      <c r="A53" s="154"/>
      <c r="B53" s="154"/>
      <c r="C53" s="28"/>
      <c r="D53" s="28" t="s">
        <v>244</v>
      </c>
      <c r="E53" s="28" t="s">
        <v>228</v>
      </c>
      <c r="F53" s="35" t="s">
        <v>240</v>
      </c>
      <c r="G53" s="35">
        <v>325.5</v>
      </c>
      <c r="H53" s="34">
        <v>1</v>
      </c>
      <c r="I53" s="35">
        <f>SUM(G51:G53)</f>
        <v>420.4</v>
      </c>
      <c r="J53" s="155">
        <f>I53*0.5</f>
        <v>210.2</v>
      </c>
      <c r="K53" s="32"/>
      <c r="L53" s="32"/>
      <c r="M53" s="32"/>
      <c r="N53" s="32"/>
      <c r="O53" s="31" t="s">
        <v>89</v>
      </c>
    </row>
    <row r="54" spans="1:15" ht="12.75">
      <c r="A54" s="154"/>
      <c r="B54" s="154"/>
      <c r="C54" s="28"/>
      <c r="D54" s="28"/>
      <c r="E54" s="28"/>
      <c r="F54" s="35"/>
      <c r="G54" s="33"/>
      <c r="H54" s="34"/>
      <c r="I54" s="35"/>
      <c r="J54" s="155"/>
      <c r="K54" s="32"/>
      <c r="L54" s="32"/>
      <c r="M54" s="32"/>
      <c r="N54" s="32"/>
      <c r="O54" s="31"/>
    </row>
    <row r="55" spans="1:15" ht="12.75">
      <c r="A55" s="154" t="s">
        <v>225</v>
      </c>
      <c r="B55" s="154"/>
      <c r="C55" s="28" t="s">
        <v>242</v>
      </c>
      <c r="D55" s="28" t="s">
        <v>243</v>
      </c>
      <c r="E55" s="28" t="s">
        <v>237</v>
      </c>
      <c r="F55" s="35" t="s">
        <v>238</v>
      </c>
      <c r="G55" s="33">
        <v>157.9</v>
      </c>
      <c r="H55" s="34">
        <v>1</v>
      </c>
      <c r="I55" s="35"/>
      <c r="J55" s="156"/>
      <c r="K55" s="32"/>
      <c r="L55" s="32"/>
      <c r="M55" s="32"/>
      <c r="N55" s="32"/>
      <c r="O55" s="31"/>
    </row>
    <row r="56" spans="1:15" ht="12.75">
      <c r="A56" s="28"/>
      <c r="B56" s="28"/>
      <c r="C56" s="28"/>
      <c r="D56" s="28"/>
      <c r="E56" s="28"/>
      <c r="F56" s="35" t="s">
        <v>239</v>
      </c>
      <c r="G56" s="33">
        <v>-63</v>
      </c>
      <c r="H56" s="34"/>
      <c r="I56" s="35"/>
      <c r="J56" s="156"/>
      <c r="K56" s="32"/>
      <c r="L56" s="32"/>
      <c r="M56" s="32"/>
      <c r="N56" s="32"/>
      <c r="O56" s="31"/>
    </row>
    <row r="57" spans="1:15" ht="12.75">
      <c r="A57" s="154"/>
      <c r="B57" s="154"/>
      <c r="C57" s="28"/>
      <c r="D57" s="28" t="s">
        <v>245</v>
      </c>
      <c r="E57" s="28" t="s">
        <v>228</v>
      </c>
      <c r="F57" s="35" t="s">
        <v>241</v>
      </c>
      <c r="G57" s="35">
        <v>115.55</v>
      </c>
      <c r="H57" s="34">
        <v>1</v>
      </c>
      <c r="I57" s="35">
        <f>SUM(G55:G57)</f>
        <v>210.45</v>
      </c>
      <c r="J57" s="155">
        <f>I57*0.5</f>
        <v>105.225</v>
      </c>
      <c r="K57" s="167">
        <f>SUM(J53:J57)</f>
        <v>315.42499999999995</v>
      </c>
      <c r="L57" s="28"/>
      <c r="M57" s="28"/>
      <c r="N57" s="32"/>
      <c r="O57" s="31"/>
    </row>
    <row r="58" spans="1:15" ht="13.5" thickBot="1">
      <c r="A58" s="154"/>
      <c r="B58" s="154"/>
      <c r="C58" s="28"/>
      <c r="D58" s="28"/>
      <c r="E58" s="28"/>
      <c r="F58" s="35"/>
      <c r="G58" s="35"/>
      <c r="H58" s="34"/>
      <c r="I58" s="35"/>
      <c r="J58" s="155"/>
      <c r="K58" s="32">
        <f>SUM(K49:K57)</f>
        <v>556.665</v>
      </c>
      <c r="L58" s="157">
        <v>0.399789871716824</v>
      </c>
      <c r="M58" s="32">
        <f>K58*L58</f>
        <v>222.54902893924583</v>
      </c>
      <c r="N58" s="32"/>
      <c r="O58" s="31" t="s">
        <v>89</v>
      </c>
    </row>
    <row r="59" spans="1:15" ht="13.5" thickBot="1">
      <c r="A59" s="154"/>
      <c r="B59" s="154"/>
      <c r="C59" s="28"/>
      <c r="D59" s="28"/>
      <c r="E59" s="28"/>
      <c r="F59" s="35"/>
      <c r="G59" s="35"/>
      <c r="H59" s="34"/>
      <c r="I59" s="28"/>
      <c r="J59" s="28"/>
      <c r="K59" s="28"/>
      <c r="L59" s="28"/>
      <c r="M59" s="28"/>
      <c r="N59" s="168">
        <f>SUM(M44:M58)</f>
        <v>334.28114536980047</v>
      </c>
      <c r="O59" s="31" t="s">
        <v>89</v>
      </c>
    </row>
    <row r="60" spans="1:15" ht="12.75">
      <c r="A60" s="154"/>
      <c r="B60" s="154"/>
      <c r="C60" s="28"/>
      <c r="D60" s="28"/>
      <c r="E60" s="28"/>
      <c r="F60" s="35"/>
      <c r="G60" s="35"/>
      <c r="H60" s="34"/>
      <c r="I60" s="35"/>
      <c r="J60" s="155"/>
      <c r="K60" s="32"/>
      <c r="L60" s="157"/>
      <c r="M60" s="32"/>
      <c r="N60" s="32"/>
      <c r="O60" s="31"/>
    </row>
    <row r="61" spans="1:15" ht="12.75">
      <c r="A61" s="169"/>
      <c r="B61" s="169"/>
      <c r="C61" s="170"/>
      <c r="D61" s="170"/>
      <c r="E61" s="170"/>
      <c r="F61" s="171"/>
      <c r="G61" s="171"/>
      <c r="H61" s="172"/>
      <c r="I61" s="171"/>
      <c r="J61" s="173"/>
      <c r="K61" s="174"/>
      <c r="L61" s="175"/>
      <c r="M61" s="174"/>
      <c r="N61" s="174"/>
      <c r="O61" s="170"/>
    </row>
    <row r="62" spans="1:15" ht="12.75">
      <c r="A62" s="154"/>
      <c r="B62" s="154"/>
      <c r="C62" s="28"/>
      <c r="D62" s="28"/>
      <c r="E62" s="28"/>
      <c r="F62" s="35"/>
      <c r="G62" s="35"/>
      <c r="H62" s="34"/>
      <c r="I62" s="35"/>
      <c r="J62" s="155"/>
      <c r="K62" s="32"/>
      <c r="L62" s="157"/>
      <c r="M62" s="32"/>
      <c r="N62" s="32"/>
      <c r="O62" s="31"/>
    </row>
    <row r="63" spans="1:15" ht="12.75">
      <c r="A63" s="154"/>
      <c r="B63" s="154"/>
      <c r="C63" s="28"/>
      <c r="D63" s="28"/>
      <c r="E63" s="28"/>
      <c r="F63" s="35"/>
      <c r="G63" s="35"/>
      <c r="H63" s="34"/>
      <c r="I63" s="35"/>
      <c r="J63" s="155"/>
      <c r="K63" s="32"/>
      <c r="L63" s="157"/>
      <c r="M63" s="32"/>
      <c r="N63" s="32"/>
      <c r="O63" s="31"/>
    </row>
    <row r="64" spans="1:15" ht="12.75">
      <c r="A64" s="154"/>
      <c r="B64" s="154"/>
      <c r="C64" s="28"/>
      <c r="D64" s="28"/>
      <c r="E64" s="28"/>
      <c r="F64" s="35"/>
      <c r="G64" s="35"/>
      <c r="H64" s="34"/>
      <c r="I64" s="35"/>
      <c r="J64" s="155"/>
      <c r="K64" s="32"/>
      <c r="L64" s="157"/>
      <c r="M64" s="32"/>
      <c r="N64" s="32"/>
      <c r="O64" s="31"/>
    </row>
    <row r="65" spans="1:15" ht="12.75">
      <c r="A65" s="154"/>
      <c r="B65" s="154"/>
      <c r="C65" s="28"/>
      <c r="D65" s="28"/>
      <c r="E65" s="28"/>
      <c r="F65" s="35"/>
      <c r="G65" s="35"/>
      <c r="H65" s="34"/>
      <c r="I65" s="35"/>
      <c r="J65" s="155"/>
      <c r="K65" s="32"/>
      <c r="L65" s="157"/>
      <c r="M65" s="32"/>
      <c r="N65" s="32"/>
      <c r="O65" s="31"/>
    </row>
    <row r="66" spans="1:15" ht="12.75">
      <c r="A66" s="154"/>
      <c r="B66" s="154"/>
      <c r="C66" s="28"/>
      <c r="D66" s="28"/>
      <c r="E66" s="28"/>
      <c r="F66" s="35"/>
      <c r="G66" s="35"/>
      <c r="H66" s="34"/>
      <c r="I66" s="35"/>
      <c r="J66" s="155"/>
      <c r="K66" s="32"/>
      <c r="L66" s="157"/>
      <c r="M66" s="32"/>
      <c r="N66" s="32"/>
      <c r="O66" s="31"/>
    </row>
    <row r="67" spans="1:15" ht="12.75">
      <c r="A67" s="154"/>
      <c r="B67" s="154"/>
      <c r="C67" s="28"/>
      <c r="D67" s="28"/>
      <c r="E67" s="28"/>
      <c r="F67" s="35"/>
      <c r="G67" s="35"/>
      <c r="H67" s="34"/>
      <c r="I67" s="35"/>
      <c r="J67" s="155"/>
      <c r="K67" s="32"/>
      <c r="L67" s="157"/>
      <c r="M67" s="32"/>
      <c r="N67" s="32"/>
      <c r="O67" s="31"/>
    </row>
    <row r="68" spans="1:15" ht="12.75">
      <c r="A68" s="154"/>
      <c r="B68" s="154"/>
      <c r="C68" s="28"/>
      <c r="D68" s="28"/>
      <c r="E68" s="28"/>
      <c r="F68" s="35"/>
      <c r="G68" s="35"/>
      <c r="H68" s="34"/>
      <c r="I68" s="35"/>
      <c r="J68" s="155"/>
      <c r="K68" s="32"/>
      <c r="L68" s="157"/>
      <c r="M68" s="32"/>
      <c r="N68" s="32"/>
      <c r="O68" s="31"/>
    </row>
    <row r="69" spans="1:15" ht="12.75">
      <c r="A69" s="154"/>
      <c r="B69" s="154"/>
      <c r="C69" s="28"/>
      <c r="D69" s="28"/>
      <c r="E69" s="28"/>
      <c r="F69" s="35"/>
      <c r="G69" s="35"/>
      <c r="H69" s="34"/>
      <c r="I69" s="35"/>
      <c r="J69" s="155"/>
      <c r="K69" s="32"/>
      <c r="L69" s="157"/>
      <c r="M69" s="32"/>
      <c r="N69" s="32"/>
      <c r="O69" s="31"/>
    </row>
    <row r="70" spans="1:15" ht="12.75">
      <c r="A70" s="154"/>
      <c r="B70" s="154"/>
      <c r="C70" s="28"/>
      <c r="D70" s="28"/>
      <c r="E70" s="28"/>
      <c r="F70" s="35"/>
      <c r="G70" s="35"/>
      <c r="H70" s="34"/>
      <c r="I70" s="35"/>
      <c r="J70" s="155"/>
      <c r="K70" s="32"/>
      <c r="L70" s="157"/>
      <c r="M70" s="32"/>
      <c r="N70" s="32"/>
      <c r="O70" s="31"/>
    </row>
    <row r="71" spans="1:15" ht="12.75">
      <c r="A71" s="154"/>
      <c r="B71" s="154"/>
      <c r="C71" s="28"/>
      <c r="D71" s="28"/>
      <c r="E71" s="28"/>
      <c r="F71" s="35"/>
      <c r="G71" s="35"/>
      <c r="H71" s="34"/>
      <c r="I71" s="35"/>
      <c r="J71" s="155"/>
      <c r="K71" s="32"/>
      <c r="L71" s="157"/>
      <c r="M71" s="32"/>
      <c r="N71" s="32"/>
      <c r="O71" s="31"/>
    </row>
    <row r="72" spans="1:15" ht="12.75">
      <c r="A72" s="154"/>
      <c r="B72" s="154"/>
      <c r="C72" s="28"/>
      <c r="D72" s="28"/>
      <c r="E72" s="28"/>
      <c r="F72" s="35"/>
      <c r="G72" s="35"/>
      <c r="H72" s="34"/>
      <c r="I72" s="35"/>
      <c r="J72" s="155"/>
      <c r="K72" s="32"/>
      <c r="L72" s="157"/>
      <c r="M72" s="32"/>
      <c r="N72" s="32"/>
      <c r="O72" s="31"/>
    </row>
    <row r="73" spans="1:15" ht="12.75">
      <c r="A73" s="154"/>
      <c r="B73" s="154"/>
      <c r="C73" s="28"/>
      <c r="D73" s="28"/>
      <c r="E73" s="28"/>
      <c r="F73" s="35"/>
      <c r="G73" s="35"/>
      <c r="H73" s="34"/>
      <c r="I73" s="35"/>
      <c r="J73" s="155"/>
      <c r="K73" s="32"/>
      <c r="L73" s="157"/>
      <c r="M73" s="32"/>
      <c r="N73" s="32"/>
      <c r="O73" s="31"/>
    </row>
    <row r="74" spans="1:15" ht="12.75">
      <c r="A74" s="154"/>
      <c r="B74" s="154"/>
      <c r="C74" s="28"/>
      <c r="D74" s="28"/>
      <c r="E74" s="28"/>
      <c r="F74" s="35"/>
      <c r="G74" s="35"/>
      <c r="H74" s="34"/>
      <c r="I74" s="35"/>
      <c r="J74" s="155"/>
      <c r="K74" s="32"/>
      <c r="L74" s="157"/>
      <c r="M74" s="32"/>
      <c r="N74" s="32"/>
      <c r="O74" s="31"/>
    </row>
    <row r="75" spans="1:15" ht="12.75">
      <c r="A75" s="154"/>
      <c r="B75" s="154"/>
      <c r="C75" s="28"/>
      <c r="D75" s="28"/>
      <c r="E75" s="28"/>
      <c r="F75" s="35"/>
      <c r="G75" s="35"/>
      <c r="H75" s="34"/>
      <c r="I75" s="35"/>
      <c r="J75" s="155"/>
      <c r="K75" s="32"/>
      <c r="L75" s="157"/>
      <c r="M75" s="32"/>
      <c r="N75" s="32"/>
      <c r="O75" s="31"/>
    </row>
    <row r="76" spans="1:15" ht="12.75">
      <c r="A76" s="154"/>
      <c r="B76" s="154"/>
      <c r="C76" s="28"/>
      <c r="D76" s="28"/>
      <c r="E76" s="28"/>
      <c r="F76" s="35"/>
      <c r="G76" s="35"/>
      <c r="H76" s="34"/>
      <c r="I76" s="35"/>
      <c r="J76" s="155"/>
      <c r="K76" s="32"/>
      <c r="L76" s="157"/>
      <c r="M76" s="32"/>
      <c r="N76" s="32"/>
      <c r="O76" s="31"/>
    </row>
    <row r="77" spans="1:15" ht="12.75">
      <c r="A77" s="147" t="s">
        <v>200</v>
      </c>
      <c r="B77" s="147"/>
      <c r="C77" s="28"/>
      <c r="D77" s="28"/>
      <c r="E77" s="28"/>
      <c r="F77" s="35"/>
      <c r="G77" s="153"/>
      <c r="H77" s="34"/>
      <c r="I77" s="28"/>
      <c r="J77" s="28"/>
      <c r="K77" s="28"/>
      <c r="L77" s="28"/>
      <c r="M77" s="28"/>
      <c r="N77" s="28"/>
      <c r="O77" s="28"/>
    </row>
    <row r="78" spans="1:15" ht="12.75">
      <c r="A78" s="154" t="s">
        <v>225</v>
      </c>
      <c r="B78" s="154"/>
      <c r="C78" s="28" t="s">
        <v>246</v>
      </c>
      <c r="D78" s="28" t="s">
        <v>247</v>
      </c>
      <c r="E78" s="28" t="s">
        <v>228</v>
      </c>
      <c r="F78" s="35" t="s">
        <v>248</v>
      </c>
      <c r="G78" s="33">
        <v>112.86</v>
      </c>
      <c r="H78" s="34">
        <v>1</v>
      </c>
      <c r="I78" s="35"/>
      <c r="J78" s="153"/>
      <c r="K78" s="32"/>
      <c r="L78" s="32"/>
      <c r="M78" s="32"/>
      <c r="N78" s="32"/>
      <c r="O78" s="28"/>
    </row>
    <row r="79" spans="1:15" ht="12.75">
      <c r="A79" s="154"/>
      <c r="B79" s="154"/>
      <c r="C79" s="28"/>
      <c r="D79" s="28" t="s">
        <v>249</v>
      </c>
      <c r="E79" s="28" t="s">
        <v>228</v>
      </c>
      <c r="F79" s="35" t="s">
        <v>250</v>
      </c>
      <c r="G79" s="33">
        <v>82.34</v>
      </c>
      <c r="H79" s="34">
        <v>1</v>
      </c>
      <c r="I79" s="35">
        <f>SUM(G78:G79)</f>
        <v>195.2</v>
      </c>
      <c r="J79" s="155">
        <f>I79*0.33</f>
        <v>64.416</v>
      </c>
      <c r="K79" s="32"/>
      <c r="L79" s="32"/>
      <c r="M79" s="32"/>
      <c r="N79" s="32"/>
      <c r="O79" s="31" t="s">
        <v>89</v>
      </c>
    </row>
    <row r="80" spans="1:15" ht="12.75">
      <c r="A80" s="154"/>
      <c r="B80" s="154"/>
      <c r="C80" s="28"/>
      <c r="D80" s="28"/>
      <c r="E80" s="28"/>
      <c r="F80" s="35"/>
      <c r="G80" s="33"/>
      <c r="H80" s="34"/>
      <c r="I80" s="35"/>
      <c r="J80" s="155"/>
      <c r="K80" s="32"/>
      <c r="L80" s="32"/>
      <c r="M80" s="32"/>
      <c r="N80" s="32"/>
      <c r="O80" s="28"/>
    </row>
    <row r="81" spans="1:15" ht="12.75">
      <c r="A81" s="154" t="s">
        <v>225</v>
      </c>
      <c r="B81" s="154"/>
      <c r="C81" s="28" t="s">
        <v>246</v>
      </c>
      <c r="D81" s="28" t="s">
        <v>247</v>
      </c>
      <c r="E81" s="28" t="s">
        <v>228</v>
      </c>
      <c r="F81" s="35" t="s">
        <v>248</v>
      </c>
      <c r="G81" s="33">
        <v>112.86</v>
      </c>
      <c r="H81" s="34">
        <v>1</v>
      </c>
      <c r="I81" s="35"/>
      <c r="J81" s="156"/>
      <c r="K81" s="32"/>
      <c r="L81" s="32"/>
      <c r="M81" s="32"/>
      <c r="N81" s="32"/>
      <c r="O81" s="31"/>
    </row>
    <row r="82" spans="1:15" ht="12.75">
      <c r="A82" s="154"/>
      <c r="B82" s="154"/>
      <c r="C82" s="28"/>
      <c r="D82" s="28" t="s">
        <v>247</v>
      </c>
      <c r="E82" s="28" t="s">
        <v>228</v>
      </c>
      <c r="F82" s="35" t="s">
        <v>248</v>
      </c>
      <c r="G82" s="33">
        <v>112.86</v>
      </c>
      <c r="H82" s="34">
        <v>1</v>
      </c>
      <c r="I82" s="35">
        <f>SUM(G81:G82)</f>
        <v>225.72</v>
      </c>
      <c r="J82" s="155">
        <f>I82*0.33</f>
        <v>74.4876</v>
      </c>
      <c r="K82" s="32"/>
      <c r="L82" s="157"/>
      <c r="M82" s="32"/>
      <c r="N82" s="32"/>
      <c r="O82" s="31" t="s">
        <v>89</v>
      </c>
    </row>
    <row r="83" spans="1:15" ht="12.75">
      <c r="A83" s="154"/>
      <c r="B83" s="154"/>
      <c r="C83" s="28"/>
      <c r="D83" s="28"/>
      <c r="E83" s="28"/>
      <c r="F83" s="35"/>
      <c r="G83" s="33"/>
      <c r="H83" s="34"/>
      <c r="I83" s="35"/>
      <c r="J83" s="155"/>
      <c r="K83" s="32"/>
      <c r="L83" s="157"/>
      <c r="M83" s="32"/>
      <c r="N83" s="32"/>
      <c r="O83" s="31"/>
    </row>
    <row r="84" spans="1:15" ht="12.75">
      <c r="A84" s="154" t="s">
        <v>225</v>
      </c>
      <c r="B84" s="154"/>
      <c r="C84" s="28" t="s">
        <v>246</v>
      </c>
      <c r="D84" s="28" t="s">
        <v>249</v>
      </c>
      <c r="E84" s="28" t="s">
        <v>228</v>
      </c>
      <c r="F84" s="35" t="s">
        <v>250</v>
      </c>
      <c r="G84" s="33">
        <v>82.34</v>
      </c>
      <c r="H84" s="34">
        <v>1</v>
      </c>
      <c r="I84" s="35"/>
      <c r="J84" s="156"/>
      <c r="K84" s="32"/>
      <c r="L84" s="32"/>
      <c r="M84" s="32"/>
      <c r="N84" s="32"/>
      <c r="O84" s="31"/>
    </row>
    <row r="85" spans="1:15" ht="12.75">
      <c r="A85" s="154"/>
      <c r="B85" s="154"/>
      <c r="C85" s="28"/>
      <c r="D85" s="28" t="s">
        <v>249</v>
      </c>
      <c r="E85" s="28" t="s">
        <v>228</v>
      </c>
      <c r="F85" s="35" t="s">
        <v>250</v>
      </c>
      <c r="G85" s="33">
        <v>82.34</v>
      </c>
      <c r="H85" s="34">
        <v>1</v>
      </c>
      <c r="I85" s="35">
        <f>SUM(G84:G85)</f>
        <v>164.68</v>
      </c>
      <c r="J85" s="155">
        <f>I85*0.33</f>
        <v>54.34440000000001</v>
      </c>
      <c r="K85" s="32">
        <f>SUM(J79:J85)</f>
        <v>193.248</v>
      </c>
      <c r="L85" s="157">
        <f>1-39.9789871716824%</f>
        <v>0.600210128283176</v>
      </c>
      <c r="M85" s="32">
        <f>K85*L85</f>
        <v>115.98940687046719</v>
      </c>
      <c r="N85" s="32"/>
      <c r="O85" s="31" t="s">
        <v>89</v>
      </c>
    </row>
    <row r="86" spans="1:15" ht="12.75">
      <c r="A86" s="158"/>
      <c r="B86" s="158"/>
      <c r="C86" s="159"/>
      <c r="D86" s="159"/>
      <c r="E86" s="159"/>
      <c r="F86" s="160"/>
      <c r="G86" s="161"/>
      <c r="H86" s="162"/>
      <c r="I86" s="160"/>
      <c r="J86" s="163"/>
      <c r="K86" s="164"/>
      <c r="L86" s="164"/>
      <c r="M86" s="164"/>
      <c r="N86" s="164"/>
      <c r="O86" s="165"/>
    </row>
    <row r="87" spans="1:15" ht="12.75">
      <c r="A87" s="147" t="s">
        <v>200</v>
      </c>
      <c r="B87" s="154"/>
      <c r="C87" s="28"/>
      <c r="D87" s="28"/>
      <c r="E87" s="28"/>
      <c r="F87" s="34" t="s">
        <v>235</v>
      </c>
      <c r="G87" s="157">
        <v>0.399789871716824</v>
      </c>
      <c r="H87" s="28"/>
      <c r="I87" s="35"/>
      <c r="J87" s="155"/>
      <c r="K87" s="32"/>
      <c r="L87" s="32"/>
      <c r="M87" s="32"/>
      <c r="N87" s="32"/>
      <c r="O87" s="31"/>
    </row>
    <row r="88" spans="1:15" ht="12.75">
      <c r="A88" s="166" t="s">
        <v>234</v>
      </c>
      <c r="B88" s="154"/>
      <c r="C88" s="28"/>
      <c r="D88" s="28"/>
      <c r="E88" s="28" t="s">
        <v>228</v>
      </c>
      <c r="F88" s="28" t="s">
        <v>236</v>
      </c>
      <c r="G88" s="155">
        <v>120.62</v>
      </c>
      <c r="H88" s="34">
        <v>2</v>
      </c>
      <c r="I88" s="35">
        <f>G88*2</f>
        <v>241.24</v>
      </c>
      <c r="J88" s="155">
        <f>I88*1</f>
        <v>241.24</v>
      </c>
      <c r="K88" s="32">
        <f>J88</f>
        <v>241.24</v>
      </c>
      <c r="L88" s="157"/>
      <c r="M88" s="32"/>
      <c r="N88" s="32"/>
      <c r="O88" s="31" t="s">
        <v>89</v>
      </c>
    </row>
    <row r="89" spans="1:15" ht="12.75">
      <c r="A89" s="166"/>
      <c r="B89" s="154"/>
      <c r="C89" s="28"/>
      <c r="D89" s="28"/>
      <c r="E89" s="28"/>
      <c r="F89" s="28"/>
      <c r="G89" s="155"/>
      <c r="H89" s="34"/>
      <c r="I89" s="35"/>
      <c r="J89" s="155"/>
      <c r="K89" s="32"/>
      <c r="L89" s="157"/>
      <c r="M89" s="32"/>
      <c r="N89" s="32"/>
      <c r="O89" s="31"/>
    </row>
    <row r="90" spans="1:15" ht="12.75">
      <c r="A90" s="28"/>
      <c r="B90" s="147"/>
      <c r="C90" s="28"/>
      <c r="D90" s="28"/>
      <c r="E90" s="28"/>
      <c r="F90" s="35"/>
      <c r="G90" s="153"/>
      <c r="H90" s="34"/>
      <c r="I90" s="28"/>
      <c r="J90" s="28"/>
      <c r="K90" s="28"/>
      <c r="L90" s="28"/>
      <c r="M90" s="28"/>
      <c r="N90" s="32"/>
      <c r="O90" s="31"/>
    </row>
    <row r="91" spans="1:15" ht="12.75">
      <c r="A91" s="154" t="s">
        <v>225</v>
      </c>
      <c r="B91" s="154"/>
      <c r="C91" s="28" t="s">
        <v>246</v>
      </c>
      <c r="D91" s="28" t="s">
        <v>247</v>
      </c>
      <c r="E91" s="28" t="s">
        <v>237</v>
      </c>
      <c r="F91" s="35" t="s">
        <v>238</v>
      </c>
      <c r="G91" s="33">
        <v>157.9</v>
      </c>
      <c r="H91" s="34">
        <v>1</v>
      </c>
      <c r="I91" s="35"/>
      <c r="J91" s="153"/>
      <c r="K91" s="32"/>
      <c r="L91" s="32"/>
      <c r="M91" s="32"/>
      <c r="N91" s="32"/>
      <c r="O91" s="31"/>
    </row>
    <row r="92" spans="1:15" ht="12.75">
      <c r="A92" s="154"/>
      <c r="B92" s="154"/>
      <c r="C92" s="28"/>
      <c r="D92" s="28"/>
      <c r="E92" s="28"/>
      <c r="F92" s="35" t="s">
        <v>239</v>
      </c>
      <c r="G92" s="33">
        <v>-63</v>
      </c>
      <c r="H92" s="34"/>
      <c r="I92" s="35"/>
      <c r="J92" s="153"/>
      <c r="K92" s="32"/>
      <c r="L92" s="32"/>
      <c r="M92" s="32"/>
      <c r="N92" s="32"/>
      <c r="O92" s="31"/>
    </row>
    <row r="93" spans="1:15" ht="12.75">
      <c r="A93" s="154"/>
      <c r="B93" s="154"/>
      <c r="C93" s="28"/>
      <c r="D93" s="28" t="s">
        <v>249</v>
      </c>
      <c r="E93" s="28" t="s">
        <v>228</v>
      </c>
      <c r="F93" s="35" t="s">
        <v>240</v>
      </c>
      <c r="G93" s="35">
        <v>325.5</v>
      </c>
      <c r="H93" s="34">
        <v>1</v>
      </c>
      <c r="I93" s="35">
        <f>SUM(G91:G93)</f>
        <v>420.4</v>
      </c>
      <c r="J93" s="155">
        <f>I93*0.33</f>
        <v>138.732</v>
      </c>
      <c r="K93" s="32"/>
      <c r="L93" s="32"/>
      <c r="M93" s="32"/>
      <c r="N93" s="32"/>
      <c r="O93" s="31"/>
    </row>
    <row r="94" spans="1:15" ht="12.75">
      <c r="A94" s="154"/>
      <c r="B94" s="154"/>
      <c r="C94" s="28"/>
      <c r="D94" s="28"/>
      <c r="E94" s="28"/>
      <c r="F94" s="35"/>
      <c r="G94" s="33"/>
      <c r="H94" s="34"/>
      <c r="I94" s="35"/>
      <c r="J94" s="155"/>
      <c r="K94" s="32"/>
      <c r="L94" s="32"/>
      <c r="M94" s="32"/>
      <c r="N94" s="32"/>
      <c r="O94" s="31"/>
    </row>
    <row r="95" spans="1:15" ht="12.75">
      <c r="A95" s="154" t="s">
        <v>225</v>
      </c>
      <c r="B95" s="154"/>
      <c r="C95" s="28" t="s">
        <v>246</v>
      </c>
      <c r="D95" s="28" t="s">
        <v>247</v>
      </c>
      <c r="E95" s="28" t="s">
        <v>237</v>
      </c>
      <c r="F95" s="35" t="s">
        <v>238</v>
      </c>
      <c r="G95" s="33">
        <v>157.9</v>
      </c>
      <c r="H95" s="34">
        <v>1</v>
      </c>
      <c r="I95" s="35"/>
      <c r="J95" s="153"/>
      <c r="K95" s="32"/>
      <c r="L95" s="32"/>
      <c r="M95" s="32"/>
      <c r="N95" s="32"/>
      <c r="O95" s="31"/>
    </row>
    <row r="96" spans="1:15" ht="12.75">
      <c r="A96" s="154"/>
      <c r="B96" s="154"/>
      <c r="C96" s="28"/>
      <c r="D96" s="28"/>
      <c r="E96" s="28"/>
      <c r="F96" s="35" t="s">
        <v>239</v>
      </c>
      <c r="G96" s="33">
        <v>-63</v>
      </c>
      <c r="H96" s="34"/>
      <c r="I96" s="35"/>
      <c r="J96" s="153"/>
      <c r="K96" s="32"/>
      <c r="L96" s="32"/>
      <c r="M96" s="32"/>
      <c r="N96" s="32"/>
      <c r="O96" s="31"/>
    </row>
    <row r="97" spans="1:15" ht="12.75">
      <c r="A97" s="154"/>
      <c r="B97" s="154"/>
      <c r="C97" s="28"/>
      <c r="D97" s="28" t="s">
        <v>247</v>
      </c>
      <c r="E97" s="28" t="s">
        <v>228</v>
      </c>
      <c r="F97" s="35" t="s">
        <v>241</v>
      </c>
      <c r="G97" s="35">
        <v>115.55</v>
      </c>
      <c r="H97" s="34">
        <v>1</v>
      </c>
      <c r="I97" s="35">
        <f>SUM(G95:G97)</f>
        <v>210.45</v>
      </c>
      <c r="J97" s="155">
        <f>I97*0.33</f>
        <v>69.4485</v>
      </c>
      <c r="K97" s="32"/>
      <c r="L97" s="32"/>
      <c r="M97" s="32"/>
      <c r="N97" s="32"/>
      <c r="O97" s="31" t="s">
        <v>89</v>
      </c>
    </row>
    <row r="98" spans="1:15" ht="12.75">
      <c r="A98" s="154"/>
      <c r="B98" s="154"/>
      <c r="C98" s="28"/>
      <c r="D98" s="28"/>
      <c r="E98" s="28"/>
      <c r="F98" s="35"/>
      <c r="G98" s="33"/>
      <c r="H98" s="34"/>
      <c r="I98" s="35"/>
      <c r="J98" s="155"/>
      <c r="K98" s="32"/>
      <c r="L98" s="32"/>
      <c r="M98" s="32"/>
      <c r="N98" s="32"/>
      <c r="O98" s="31"/>
    </row>
    <row r="99" spans="1:15" ht="12.75">
      <c r="A99" s="154" t="s">
        <v>225</v>
      </c>
      <c r="B99" s="154"/>
      <c r="C99" s="28" t="s">
        <v>246</v>
      </c>
      <c r="D99" s="28" t="s">
        <v>249</v>
      </c>
      <c r="E99" s="28" t="s">
        <v>237</v>
      </c>
      <c r="F99" s="35" t="s">
        <v>240</v>
      </c>
      <c r="G99" s="35">
        <v>325.5</v>
      </c>
      <c r="H99" s="34">
        <v>1</v>
      </c>
      <c r="I99" s="35"/>
      <c r="J99" s="156"/>
      <c r="K99" s="32"/>
      <c r="L99" s="32"/>
      <c r="M99" s="32"/>
      <c r="N99" s="32"/>
      <c r="O99" s="31"/>
    </row>
    <row r="100" spans="1:15" ht="12.75">
      <c r="A100" s="154"/>
      <c r="B100" s="154"/>
      <c r="C100" s="28"/>
      <c r="D100" s="28"/>
      <c r="E100" s="28"/>
      <c r="F100" s="35" t="s">
        <v>239</v>
      </c>
      <c r="G100" s="33">
        <v>-63</v>
      </c>
      <c r="H100" s="34"/>
      <c r="I100" s="35"/>
      <c r="J100" s="156"/>
      <c r="K100" s="32"/>
      <c r="L100" s="32"/>
      <c r="M100" s="32"/>
      <c r="N100" s="32"/>
      <c r="O100" s="31"/>
    </row>
    <row r="101" spans="1:15" ht="13.5" thickBot="1">
      <c r="A101" s="154"/>
      <c r="B101" s="154"/>
      <c r="C101" s="28"/>
      <c r="D101" s="28" t="s">
        <v>249</v>
      </c>
      <c r="E101" s="28" t="s">
        <v>228</v>
      </c>
      <c r="F101" s="35" t="s">
        <v>240</v>
      </c>
      <c r="G101" s="35">
        <v>325.5</v>
      </c>
      <c r="H101" s="34">
        <v>1</v>
      </c>
      <c r="I101" s="35">
        <f>SUM(G99:G101)</f>
        <v>588</v>
      </c>
      <c r="J101" s="155">
        <f>I101*0.33</f>
        <v>194.04000000000002</v>
      </c>
      <c r="K101" s="167">
        <f>SUM(J93:J101)</f>
        <v>402.2205</v>
      </c>
      <c r="L101" s="28"/>
      <c r="M101" s="28"/>
      <c r="N101" s="32"/>
      <c r="O101" s="31"/>
    </row>
    <row r="102" spans="1:15" ht="13.5" thickBot="1">
      <c r="A102" s="154"/>
      <c r="B102" s="154"/>
      <c r="C102" s="28"/>
      <c r="D102" s="28"/>
      <c r="E102" s="28"/>
      <c r="F102" s="35"/>
      <c r="G102" s="35"/>
      <c r="H102" s="34"/>
      <c r="I102" s="35"/>
      <c r="J102" s="155"/>
      <c r="K102" s="32">
        <f>SUM(K88:K101)</f>
        <v>643.4605</v>
      </c>
      <c r="L102" s="157">
        <v>0.399789871716824</v>
      </c>
      <c r="M102" s="176">
        <f>K102*L102</f>
        <v>257.2489907498435</v>
      </c>
      <c r="N102" s="168">
        <f>SUM(M85:M102)</f>
        <v>373.23839762031065</v>
      </c>
      <c r="O102" s="31" t="s">
        <v>89</v>
      </c>
    </row>
    <row r="103" spans="1:15" ht="12.75">
      <c r="A103" s="169"/>
      <c r="B103" s="169"/>
      <c r="C103" s="170"/>
      <c r="D103" s="170"/>
      <c r="E103" s="170"/>
      <c r="F103" s="171"/>
      <c r="G103" s="171"/>
      <c r="H103" s="172"/>
      <c r="I103" s="171"/>
      <c r="J103" s="173"/>
      <c r="K103" s="174"/>
      <c r="L103" s="175"/>
      <c r="M103" s="174"/>
      <c r="N103" s="174"/>
      <c r="O103" s="170"/>
    </row>
    <row r="104" spans="1:15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1:15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1:15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1:15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1:15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15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1:15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1:15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5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1:15" ht="12.75">
      <c r="A114" s="28"/>
      <c r="B114" s="28"/>
      <c r="C114" s="28"/>
      <c r="D114" s="36"/>
      <c r="E114" s="36"/>
      <c r="F114" s="36"/>
      <c r="G114" s="36"/>
      <c r="H114" s="36"/>
      <c r="I114" s="36"/>
      <c r="J114" s="36"/>
      <c r="K114" s="36"/>
      <c r="L114" s="36"/>
      <c r="M114" s="28"/>
      <c r="N114" s="28"/>
      <c r="O114" s="28"/>
    </row>
    <row r="115" spans="1:15" ht="12.75">
      <c r="A115" s="28"/>
      <c r="B115" s="28"/>
      <c r="C115" s="28"/>
      <c r="D115" s="177"/>
      <c r="E115" s="177"/>
      <c r="F115" s="177"/>
      <c r="G115" s="177"/>
      <c r="H115" s="177"/>
      <c r="I115" s="177"/>
      <c r="J115" s="177"/>
      <c r="K115" s="177"/>
      <c r="L115" s="177"/>
      <c r="M115" s="28"/>
      <c r="N115" s="28"/>
      <c r="O115" s="28"/>
    </row>
    <row r="116" spans="1:15" ht="12.75">
      <c r="A116" s="28"/>
      <c r="B116" s="28"/>
      <c r="C116" s="45"/>
      <c r="D116" s="75"/>
      <c r="E116" s="37"/>
      <c r="F116" s="38"/>
      <c r="G116" s="38"/>
      <c r="H116" s="38"/>
      <c r="I116" s="38"/>
      <c r="J116" s="39" t="s">
        <v>488</v>
      </c>
      <c r="K116" s="64"/>
      <c r="L116" s="37"/>
      <c r="M116" s="28"/>
      <c r="N116" s="28"/>
      <c r="O116" s="28"/>
    </row>
    <row r="117" spans="1:15" ht="12.75">
      <c r="A117" s="28"/>
      <c r="B117" s="28"/>
      <c r="C117" s="45"/>
      <c r="D117" s="177"/>
      <c r="E117" s="45"/>
      <c r="F117" s="63"/>
      <c r="G117" s="45"/>
      <c r="H117" s="46"/>
      <c r="I117" s="45"/>
      <c r="J117" s="46" t="s">
        <v>489</v>
      </c>
      <c r="K117" s="46" t="s">
        <v>119</v>
      </c>
      <c r="L117" s="45"/>
      <c r="M117" s="28"/>
      <c r="N117" s="28"/>
      <c r="O117" s="28"/>
    </row>
    <row r="118" spans="1:15" ht="12.75">
      <c r="A118" s="28"/>
      <c r="B118" s="28"/>
      <c r="C118" s="45"/>
      <c r="D118" s="87" t="s">
        <v>203</v>
      </c>
      <c r="E118" s="40"/>
      <c r="F118" s="41" t="s">
        <v>192</v>
      </c>
      <c r="G118" s="42" t="s">
        <v>193</v>
      </c>
      <c r="H118" s="42"/>
      <c r="I118" s="42"/>
      <c r="J118" s="42" t="s">
        <v>194</v>
      </c>
      <c r="K118" s="42" t="s">
        <v>551</v>
      </c>
      <c r="L118" s="40"/>
      <c r="M118" s="28"/>
      <c r="N118" s="28"/>
      <c r="O118" s="28"/>
    </row>
    <row r="119" spans="2:15" ht="12.75">
      <c r="B119" s="28"/>
      <c r="C119" s="45"/>
      <c r="D119" s="36" t="s">
        <v>204</v>
      </c>
      <c r="E119" s="43"/>
      <c r="F119" s="44"/>
      <c r="G119" s="45"/>
      <c r="H119" s="46"/>
      <c r="I119" s="45"/>
      <c r="J119" s="47"/>
      <c r="K119" s="45"/>
      <c r="L119" s="45"/>
      <c r="M119" s="28"/>
      <c r="N119" s="28"/>
      <c r="O119" s="28"/>
    </row>
    <row r="120" spans="2:15" ht="12.75">
      <c r="B120" s="28"/>
      <c r="C120" s="45"/>
      <c r="D120" s="147" t="s">
        <v>197</v>
      </c>
      <c r="E120" s="45"/>
      <c r="F120" s="44">
        <f>N26</f>
        <v>334.28114536980047</v>
      </c>
      <c r="G120" s="48">
        <f>G135+G136</f>
        <v>0.60739154524626</v>
      </c>
      <c r="H120" s="46"/>
      <c r="I120" s="47">
        <f>F120*G120</f>
        <v>203.0395414328528</v>
      </c>
      <c r="J120" s="49"/>
      <c r="K120" s="47"/>
      <c r="L120" s="45"/>
      <c r="M120" s="28"/>
      <c r="N120" s="28"/>
      <c r="O120" s="28"/>
    </row>
    <row r="121" spans="2:15" ht="12.75">
      <c r="B121" s="28"/>
      <c r="C121" s="45"/>
      <c r="D121" s="147" t="s">
        <v>198</v>
      </c>
      <c r="E121" s="45"/>
      <c r="F121" s="44">
        <f>N59</f>
        <v>334.28114536980047</v>
      </c>
      <c r="G121" s="48">
        <f>G137</f>
        <v>0.03543029994459336</v>
      </c>
      <c r="H121" s="46"/>
      <c r="I121" s="47">
        <f>F121*G121</f>
        <v>11.843681246274247</v>
      </c>
      <c r="J121" s="49"/>
      <c r="K121" s="47"/>
      <c r="L121" s="45"/>
      <c r="M121" s="28"/>
      <c r="N121" s="28"/>
      <c r="O121" s="28"/>
    </row>
    <row r="122" spans="2:15" ht="12.75">
      <c r="B122" s="28"/>
      <c r="C122" s="45"/>
      <c r="D122" s="50" t="s">
        <v>200</v>
      </c>
      <c r="E122" s="40"/>
      <c r="F122" s="51">
        <f>N102</f>
        <v>373.23839762031065</v>
      </c>
      <c r="G122" s="52">
        <f>G138</f>
        <v>0.3571781548091466</v>
      </c>
      <c r="H122" s="42"/>
      <c r="I122" s="53">
        <f>F122*G122</f>
        <v>133.31260216594512</v>
      </c>
      <c r="J122" s="54"/>
      <c r="K122" s="53"/>
      <c r="L122" s="40"/>
      <c r="M122" s="28"/>
      <c r="N122" s="28"/>
      <c r="O122" s="28"/>
    </row>
    <row r="123" spans="1:15" ht="13.5" thickBot="1">
      <c r="A123" s="28"/>
      <c r="B123" s="28"/>
      <c r="C123" s="45"/>
      <c r="D123" s="36"/>
      <c r="E123" s="40"/>
      <c r="F123" s="55" t="s">
        <v>195</v>
      </c>
      <c r="G123" s="56"/>
      <c r="H123" s="30"/>
      <c r="I123" s="53">
        <f>SUM(I120:I122)</f>
        <v>348.19582484507214</v>
      </c>
      <c r="J123" s="54">
        <f>G144</f>
        <v>1.5086666666666666</v>
      </c>
      <c r="K123" s="178">
        <f>I123*J123</f>
        <v>525.3114344162655</v>
      </c>
      <c r="L123" s="57" t="s">
        <v>89</v>
      </c>
      <c r="M123" s="28"/>
      <c r="N123" s="28"/>
      <c r="O123" s="28"/>
    </row>
    <row r="124" spans="1:15" ht="13.5" thickTop="1">
      <c r="A124" s="28"/>
      <c r="B124" s="28"/>
      <c r="C124" s="28"/>
      <c r="D124" s="28"/>
      <c r="E124" s="28"/>
      <c r="F124" s="155"/>
      <c r="G124" s="157"/>
      <c r="H124" s="29"/>
      <c r="I124" s="155"/>
      <c r="J124" s="179"/>
      <c r="K124" s="155"/>
      <c r="L124" s="28"/>
      <c r="M124" s="28"/>
      <c r="N124" s="28"/>
      <c r="O124" s="28"/>
    </row>
    <row r="125" spans="1:15" ht="12.75">
      <c r="A125" s="28"/>
      <c r="B125" s="28"/>
      <c r="C125" s="28"/>
      <c r="D125" s="28"/>
      <c r="E125" s="28"/>
      <c r="F125" s="155"/>
      <c r="G125" s="157"/>
      <c r="H125" s="29"/>
      <c r="I125" s="155"/>
      <c r="J125" s="179"/>
      <c r="K125" s="155"/>
      <c r="L125" s="28"/>
      <c r="M125" s="28"/>
      <c r="N125" s="28"/>
      <c r="O125" s="28"/>
    </row>
    <row r="126" spans="1:15" ht="12.75">
      <c r="A126" s="28"/>
      <c r="B126" s="28"/>
      <c r="C126" s="28"/>
      <c r="D126" s="28"/>
      <c r="E126" s="28"/>
      <c r="F126" s="155"/>
      <c r="G126" s="157"/>
      <c r="H126" s="29"/>
      <c r="I126" s="155"/>
      <c r="J126" s="179"/>
      <c r="K126" s="155"/>
      <c r="L126" s="28"/>
      <c r="M126" s="28"/>
      <c r="N126" s="28"/>
      <c r="O126" s="28"/>
    </row>
    <row r="127" spans="1:15" ht="12.75">
      <c r="A127" s="28"/>
      <c r="B127" s="28"/>
      <c r="C127" s="28"/>
      <c r="D127" s="28"/>
      <c r="E127" s="28"/>
      <c r="F127" s="155"/>
      <c r="G127" s="28"/>
      <c r="H127" s="29"/>
      <c r="I127" s="155"/>
      <c r="J127" s="179"/>
      <c r="K127" s="155"/>
      <c r="L127" s="28"/>
      <c r="M127" s="28"/>
      <c r="N127" s="28"/>
      <c r="O127" s="28"/>
    </row>
    <row r="128" spans="1:15" ht="12.75">
      <c r="A128" s="322" t="s">
        <v>557</v>
      </c>
      <c r="B128" s="321"/>
      <c r="C128" s="322"/>
      <c r="D128" s="322"/>
      <c r="E128" s="323"/>
      <c r="F128" s="322"/>
      <c r="G128" s="324"/>
      <c r="H128" s="323"/>
      <c r="I128" s="325"/>
      <c r="J128" s="323"/>
      <c r="K128" s="28"/>
      <c r="M128" s="28"/>
      <c r="N128" s="28"/>
      <c r="O128" s="28"/>
    </row>
    <row r="129" spans="1:15" ht="12.75">
      <c r="A129" s="322"/>
      <c r="B129" s="321"/>
      <c r="C129" s="321"/>
      <c r="D129" s="321"/>
      <c r="E129" s="321"/>
      <c r="F129" s="321"/>
      <c r="G129" s="324"/>
      <c r="H129" s="323"/>
      <c r="I129" s="325"/>
      <c r="J129" s="323"/>
      <c r="K129" s="28"/>
      <c r="M129" s="28"/>
      <c r="N129" s="28"/>
      <c r="O129" s="28"/>
    </row>
    <row r="130" spans="1:15" ht="12.75">
      <c r="A130" s="322" t="s">
        <v>251</v>
      </c>
      <c r="B130" s="321"/>
      <c r="C130" s="321"/>
      <c r="D130" s="321"/>
      <c r="E130" s="321"/>
      <c r="F130" s="321"/>
      <c r="G130" s="324"/>
      <c r="H130" s="323"/>
      <c r="I130" s="325"/>
      <c r="J130" s="323"/>
      <c r="K130" s="28"/>
      <c r="M130" s="28"/>
      <c r="N130" s="28"/>
      <c r="O130" s="28"/>
    </row>
    <row r="131" spans="1:15" ht="12.75">
      <c r="A131" s="322" t="s">
        <v>558</v>
      </c>
      <c r="B131" s="321"/>
      <c r="C131" s="321"/>
      <c r="D131" s="321"/>
      <c r="E131" s="321"/>
      <c r="F131" s="321"/>
      <c r="G131" s="324"/>
      <c r="H131" s="323"/>
      <c r="I131" s="325"/>
      <c r="J131" s="323"/>
      <c r="K131" s="28"/>
      <c r="M131" s="28"/>
      <c r="N131" s="28"/>
      <c r="O131" s="28"/>
    </row>
    <row r="132" spans="1:15" ht="12.75">
      <c r="A132" s="28"/>
      <c r="B132" s="28"/>
      <c r="C132" s="87"/>
      <c r="D132" s="87"/>
      <c r="E132" s="87"/>
      <c r="F132" s="87"/>
      <c r="G132" s="30"/>
      <c r="H132" s="180"/>
      <c r="I132" s="179"/>
      <c r="J132" s="155"/>
      <c r="K132" s="28"/>
      <c r="M132" s="28"/>
      <c r="N132" s="28"/>
      <c r="O132" s="28"/>
    </row>
    <row r="133" spans="1:15" ht="12.75">
      <c r="A133" s="28"/>
      <c r="B133" s="181" t="s">
        <v>252</v>
      </c>
      <c r="C133" s="192"/>
      <c r="D133" s="87"/>
      <c r="E133" s="87"/>
      <c r="F133" s="87"/>
      <c r="G133" s="30"/>
      <c r="H133" s="43"/>
      <c r="I133" s="179"/>
      <c r="J133" s="155"/>
      <c r="K133" s="28"/>
      <c r="M133" s="28"/>
      <c r="N133" s="28"/>
      <c r="O133" s="28"/>
    </row>
    <row r="134" spans="1:15" ht="12.75">
      <c r="A134" s="28"/>
      <c r="B134" s="182" t="s">
        <v>204</v>
      </c>
      <c r="C134" s="183"/>
      <c r="D134" s="183"/>
      <c r="E134" s="183" t="s">
        <v>115</v>
      </c>
      <c r="F134" s="184" t="s">
        <v>220</v>
      </c>
      <c r="G134" s="182"/>
      <c r="H134" s="43"/>
      <c r="I134" s="155"/>
      <c r="J134" s="155"/>
      <c r="K134" s="28"/>
      <c r="M134" s="28"/>
      <c r="N134" s="28"/>
      <c r="O134" s="28"/>
    </row>
    <row r="135" spans="1:15" ht="12.75">
      <c r="A135" s="28"/>
      <c r="B135" s="185" t="s">
        <v>253</v>
      </c>
      <c r="E135" s="185" t="s">
        <v>254</v>
      </c>
      <c r="F135">
        <f>'CRIS Billed'!I10</f>
        <v>6771</v>
      </c>
      <c r="G135" s="186">
        <f>F135/F139</f>
        <v>0.10139415085580797</v>
      </c>
      <c r="H135" s="45"/>
      <c r="I135" s="155"/>
      <c r="J135" s="155"/>
      <c r="K135" s="28"/>
      <c r="M135" s="28"/>
      <c r="N135" s="28"/>
      <c r="O135" s="28"/>
    </row>
    <row r="136" spans="1:15" ht="12.75">
      <c r="A136" s="28"/>
      <c r="B136" s="185" t="s">
        <v>255</v>
      </c>
      <c r="E136" s="185" t="s">
        <v>256</v>
      </c>
      <c r="F136">
        <f>'CRIS Billed'!I6</f>
        <v>33790</v>
      </c>
      <c r="G136" s="187">
        <f>F136/F139</f>
        <v>0.5059973943904521</v>
      </c>
      <c r="H136" s="45"/>
      <c r="I136" s="155"/>
      <c r="J136" s="188" t="s">
        <v>257</v>
      </c>
      <c r="K136" s="28"/>
      <c r="M136" s="28"/>
      <c r="N136" s="28"/>
      <c r="O136" s="28"/>
    </row>
    <row r="137" spans="1:15" ht="12.75">
      <c r="A137" s="28"/>
      <c r="B137" s="185" t="s">
        <v>258</v>
      </c>
      <c r="E137" s="185" t="s">
        <v>259</v>
      </c>
      <c r="F137">
        <f>'CRIS Billed'!I8</f>
        <v>2366</v>
      </c>
      <c r="G137" s="187">
        <f>F137/F139</f>
        <v>0.03543029994459336</v>
      </c>
      <c r="H137" s="45"/>
      <c r="I137" s="155"/>
      <c r="J137" s="188" t="s">
        <v>260</v>
      </c>
      <c r="K137" s="28"/>
      <c r="M137" s="28"/>
      <c r="N137" s="28"/>
      <c r="O137" s="28"/>
    </row>
    <row r="138" spans="1:15" ht="13.5" thickBot="1">
      <c r="A138" s="28"/>
      <c r="B138" s="189" t="s">
        <v>261</v>
      </c>
      <c r="C138" s="189"/>
      <c r="D138" s="89"/>
      <c r="E138" s="189" t="s">
        <v>262</v>
      </c>
      <c r="F138" s="190">
        <f>'CRIS Billed'!I5</f>
        <v>23852</v>
      </c>
      <c r="G138" s="191">
        <f>F138/F139</f>
        <v>0.3571781548091466</v>
      </c>
      <c r="H138" s="40"/>
      <c r="I138" s="155"/>
      <c r="J138" s="188" t="s">
        <v>263</v>
      </c>
      <c r="O138" s="28"/>
    </row>
    <row r="139" spans="1:15" ht="13.5" thickTop="1">
      <c r="A139" s="45"/>
      <c r="B139" s="192"/>
      <c r="C139" s="192"/>
      <c r="D139" s="192"/>
      <c r="E139" s="225"/>
      <c r="F139" s="268">
        <v>66779</v>
      </c>
      <c r="G139" s="267">
        <f>F139/F139</f>
        <v>1</v>
      </c>
      <c r="H139" s="43"/>
      <c r="I139" s="155"/>
      <c r="J139" s="188" t="s">
        <v>264</v>
      </c>
      <c r="O139" s="28"/>
    </row>
    <row r="140" spans="1:15" ht="12.75">
      <c r="A140" s="28"/>
      <c r="B140" s="28"/>
      <c r="C140" s="28"/>
      <c r="D140" s="28"/>
      <c r="E140" s="28"/>
      <c r="F140" s="28"/>
      <c r="G140" s="28"/>
      <c r="H140" s="28"/>
      <c r="I140" s="28"/>
      <c r="J140" s="188" t="s">
        <v>265</v>
      </c>
      <c r="O140" s="28"/>
    </row>
    <row r="141" spans="1:15" ht="12.75">
      <c r="A141" s="28"/>
      <c r="B141" s="28"/>
      <c r="C141" s="36"/>
      <c r="D141" s="36"/>
      <c r="E141" s="36"/>
      <c r="F141" s="36"/>
      <c r="G141" s="36"/>
      <c r="H141" s="36"/>
      <c r="I141" s="28"/>
      <c r="J141" s="193" t="s">
        <v>266</v>
      </c>
      <c r="O141" s="194"/>
    </row>
    <row r="142" spans="1:15" ht="12.75">
      <c r="A142" s="28"/>
      <c r="B142" s="28"/>
      <c r="C142" s="195" t="s">
        <v>89</v>
      </c>
      <c r="D142" s="72"/>
      <c r="E142" s="37"/>
      <c r="F142" s="38" t="s">
        <v>136</v>
      </c>
      <c r="G142" s="37" t="s">
        <v>202</v>
      </c>
      <c r="I142" s="28"/>
      <c r="J142" s="188" t="s">
        <v>267</v>
      </c>
      <c r="O142" s="177"/>
    </row>
    <row r="143" spans="1:15" ht="12.75">
      <c r="A143" s="154"/>
      <c r="B143" s="28"/>
      <c r="C143" s="69" t="s">
        <v>268</v>
      </c>
      <c r="D143" s="53"/>
      <c r="E143" s="42" t="s">
        <v>269</v>
      </c>
      <c r="F143" s="41" t="s">
        <v>270</v>
      </c>
      <c r="G143" s="40" t="s">
        <v>205</v>
      </c>
      <c r="I143" s="28"/>
      <c r="J143" s="188" t="s">
        <v>271</v>
      </c>
      <c r="K143" s="28"/>
      <c r="M143" s="28"/>
      <c r="N143" s="28"/>
      <c r="O143" s="177"/>
    </row>
    <row r="144" spans="1:15" ht="12" customHeight="1">
      <c r="A144" s="148" t="str">
        <f>'WINPC3 Parameters'!A2</f>
        <v>WA</v>
      </c>
      <c r="B144" s="197"/>
      <c r="C144" s="198" t="s">
        <v>272</v>
      </c>
      <c r="D144" s="72"/>
      <c r="E144" s="272">
        <f>VLOOKUP($A$144,$D$150:$F$164,3,FALSE)</f>
        <v>1.3578</v>
      </c>
      <c r="F144" s="200">
        <v>0.9</v>
      </c>
      <c r="G144" s="201">
        <f>E144/F144</f>
        <v>1.5086666666666666</v>
      </c>
      <c r="I144" s="28"/>
      <c r="J144" s="188" t="s">
        <v>273</v>
      </c>
      <c r="K144" s="28"/>
      <c r="M144" s="28"/>
      <c r="N144" s="28"/>
      <c r="O144" s="177"/>
    </row>
    <row r="145" spans="1:15" ht="12" customHeight="1">
      <c r="A145" s="196"/>
      <c r="B145" s="202"/>
      <c r="C145" s="148"/>
      <c r="D145" s="203"/>
      <c r="E145" s="149"/>
      <c r="F145" s="28"/>
      <c r="G145" s="28"/>
      <c r="H145" s="28"/>
      <c r="I145" s="28"/>
      <c r="J145" s="204" t="s">
        <v>274</v>
      </c>
      <c r="K145" s="28"/>
      <c r="M145" s="155"/>
      <c r="N145" s="177"/>
      <c r="O145" s="194"/>
    </row>
    <row r="146" spans="1:15" ht="12" customHeight="1">
      <c r="A146" s="205"/>
      <c r="B146" s="206"/>
      <c r="C146" s="207"/>
      <c r="D146" s="208"/>
      <c r="E146" s="177"/>
      <c r="F146" s="28"/>
      <c r="G146" s="28"/>
      <c r="H146" s="28"/>
      <c r="I146" s="155"/>
      <c r="J146" s="204" t="s">
        <v>275</v>
      </c>
      <c r="K146" s="209"/>
      <c r="M146" s="210"/>
      <c r="N146" s="210"/>
      <c r="O146" s="28"/>
    </row>
    <row r="147" spans="1:15" ht="12.75">
      <c r="A147" s="177"/>
      <c r="B147" s="177"/>
      <c r="C147" s="177"/>
      <c r="D147" s="177" t="s">
        <v>500</v>
      </c>
      <c r="E147" s="177"/>
      <c r="F147" s="28"/>
      <c r="G147" s="28"/>
      <c r="H147" s="28"/>
      <c r="I147" s="155"/>
      <c r="J147" s="188" t="s">
        <v>276</v>
      </c>
      <c r="K147" s="209"/>
      <c r="M147" s="210"/>
      <c r="N147" s="211"/>
      <c r="O147" s="28"/>
    </row>
    <row r="148" spans="1:15" ht="12.75">
      <c r="A148" s="28"/>
      <c r="B148" s="28"/>
      <c r="C148" s="28"/>
      <c r="D148" s="28"/>
      <c r="E148" s="28"/>
      <c r="F148" s="32"/>
      <c r="G148" s="28"/>
      <c r="H148" s="28"/>
      <c r="I148" s="28"/>
      <c r="J148" s="155"/>
      <c r="K148" s="28"/>
      <c r="L148" s="28"/>
      <c r="M148" s="28"/>
      <c r="N148" s="28"/>
      <c r="O148" s="28"/>
    </row>
    <row r="149" spans="6:7" ht="12.75">
      <c r="F149" s="233" t="s">
        <v>89</v>
      </c>
      <c r="G149" t="s">
        <v>501</v>
      </c>
    </row>
    <row r="150" spans="4:6" ht="12.75">
      <c r="D150" s="321" t="s">
        <v>350</v>
      </c>
      <c r="E150" s="321"/>
      <c r="F150" s="326">
        <v>0</v>
      </c>
    </row>
    <row r="151" spans="4:6" ht="12.75">
      <c r="D151" s="321" t="s">
        <v>228</v>
      </c>
      <c r="E151" s="321"/>
      <c r="F151" s="326">
        <v>0</v>
      </c>
    </row>
    <row r="152" spans="4:6" ht="12.75">
      <c r="D152" s="321" t="s">
        <v>207</v>
      </c>
      <c r="E152" s="321"/>
      <c r="F152" s="326">
        <v>0</v>
      </c>
    </row>
    <row r="153" spans="4:6" ht="12.75">
      <c r="D153" s="321" t="s">
        <v>361</v>
      </c>
      <c r="E153" s="321"/>
      <c r="F153" s="326">
        <v>0</v>
      </c>
    </row>
    <row r="154" spans="4:6" ht="12.75">
      <c r="D154" s="321" t="s">
        <v>340</v>
      </c>
      <c r="E154" s="321"/>
      <c r="F154" s="326">
        <v>0</v>
      </c>
    </row>
    <row r="155" spans="4:6" ht="12.75">
      <c r="D155" s="321" t="s">
        <v>369</v>
      </c>
      <c r="E155" s="321"/>
      <c r="F155" s="326">
        <v>0</v>
      </c>
    </row>
    <row r="156" spans="4:6" ht="12.75">
      <c r="D156" s="321" t="s">
        <v>347</v>
      </c>
      <c r="E156" s="321"/>
      <c r="F156" s="326">
        <v>0</v>
      </c>
    </row>
    <row r="157" spans="4:6" ht="12.75">
      <c r="D157" s="321" t="s">
        <v>348</v>
      </c>
      <c r="E157" s="321"/>
      <c r="F157" s="326">
        <v>0</v>
      </c>
    </row>
    <row r="158" spans="4:6" ht="12.75">
      <c r="D158" s="321" t="s">
        <v>498</v>
      </c>
      <c r="E158" s="321"/>
      <c r="F158" s="326">
        <v>0</v>
      </c>
    </row>
    <row r="159" spans="4:6" ht="12.75">
      <c r="D159" s="321" t="s">
        <v>371</v>
      </c>
      <c r="E159" s="321"/>
      <c r="F159" s="326">
        <v>0</v>
      </c>
    </row>
    <row r="160" spans="4:6" ht="12.75">
      <c r="D160" s="321" t="s">
        <v>349</v>
      </c>
      <c r="E160" s="321"/>
      <c r="F160" s="326">
        <v>0</v>
      </c>
    </row>
    <row r="161" spans="4:6" ht="12.75">
      <c r="D161" s="321" t="s">
        <v>499</v>
      </c>
      <c r="E161" s="321"/>
      <c r="F161" s="326">
        <v>0</v>
      </c>
    </row>
    <row r="162" spans="4:6" ht="12.75">
      <c r="D162" s="321" t="s">
        <v>377</v>
      </c>
      <c r="E162" s="321"/>
      <c r="F162" s="326">
        <v>0</v>
      </c>
    </row>
    <row r="163" spans="4:6" ht="12.75">
      <c r="D163" s="321" t="s">
        <v>379</v>
      </c>
      <c r="E163" s="321"/>
      <c r="F163" s="326">
        <v>1.3578</v>
      </c>
    </row>
    <row r="164" spans="4:6" ht="12.75">
      <c r="D164" s="321" t="s">
        <v>387</v>
      </c>
      <c r="E164" s="321"/>
      <c r="F164" s="326">
        <v>0</v>
      </c>
    </row>
    <row r="165" ht="12.75">
      <c r="F165" s="233"/>
    </row>
  </sheetData>
  <printOptions/>
  <pageMargins left="0.5" right="0.25" top="1" bottom="0.5" header="0.5" footer="0.5"/>
  <pageSetup horizontalDpi="600" verticalDpi="600" orientation="landscape" r:id="rId1"/>
  <headerFooter alignWithMargins="0">
    <oddHeader>&amp;L&amp;F&amp;C&amp;A&amp;RPage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O149"/>
  <sheetViews>
    <sheetView workbookViewId="0" topLeftCell="A96">
      <selection activeCell="A108" sqref="A108"/>
    </sheetView>
  </sheetViews>
  <sheetFormatPr defaultColWidth="9.140625" defaultRowHeight="12.75"/>
  <cols>
    <col min="1" max="1" width="9.7109375" style="0" customWidth="1"/>
    <col min="2" max="2" width="2.00390625" style="0" customWidth="1"/>
    <col min="3" max="3" width="4.7109375" style="0" customWidth="1"/>
    <col min="4" max="4" width="12.140625" style="0" customWidth="1"/>
    <col min="5" max="5" width="10.140625" style="0" customWidth="1"/>
    <col min="6" max="6" width="17.7109375" style="0" customWidth="1"/>
    <col min="7" max="7" width="9.57421875" style="0" customWidth="1"/>
    <col min="8" max="8" width="4.421875" style="0" customWidth="1"/>
    <col min="9" max="10" width="9.00390625" style="0" customWidth="1"/>
    <col min="11" max="11" width="8.7109375" style="0" customWidth="1"/>
    <col min="12" max="12" width="9.57421875" style="0" customWidth="1"/>
    <col min="13" max="13" width="9.421875" style="0" customWidth="1"/>
    <col min="14" max="14" width="8.7109375" style="0" customWidth="1"/>
    <col min="15" max="15" width="4.8515625" style="0" customWidth="1"/>
  </cols>
  <sheetData>
    <row r="1" spans="1:1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2.75">
      <c r="A2" s="75"/>
      <c r="B2" s="37"/>
      <c r="C2" s="38"/>
      <c r="D2" s="64" t="s">
        <v>208</v>
      </c>
      <c r="E2" s="38"/>
      <c r="F2" s="38"/>
      <c r="G2" s="38"/>
      <c r="H2" s="38"/>
      <c r="I2" s="38"/>
      <c r="J2" s="28"/>
      <c r="K2" s="37"/>
      <c r="L2" s="64" t="s">
        <v>552</v>
      </c>
      <c r="M2" s="38"/>
      <c r="N2" s="38"/>
      <c r="O2" s="38"/>
    </row>
    <row r="3" spans="1:15" ht="12.75">
      <c r="A3" s="79" t="s">
        <v>209</v>
      </c>
      <c r="B3" s="136"/>
      <c r="C3" s="66" t="s">
        <v>210</v>
      </c>
      <c r="D3" s="66" t="s">
        <v>211</v>
      </c>
      <c r="E3" s="66"/>
      <c r="F3" s="66" t="s">
        <v>209</v>
      </c>
      <c r="G3" s="66"/>
      <c r="H3" s="137"/>
      <c r="I3" s="63"/>
      <c r="J3" s="28"/>
      <c r="K3" s="45"/>
      <c r="L3" s="212" t="s">
        <v>224</v>
      </c>
      <c r="M3" s="140"/>
      <c r="N3" s="138" t="s">
        <v>214</v>
      </c>
      <c r="O3" s="63"/>
    </row>
    <row r="4" spans="1:15" ht="12.75">
      <c r="A4" s="141"/>
      <c r="B4" s="142"/>
      <c r="C4" s="41" t="s">
        <v>215</v>
      </c>
      <c r="D4" s="41" t="s">
        <v>216</v>
      </c>
      <c r="E4" s="41" t="s">
        <v>217</v>
      </c>
      <c r="F4" s="41" t="s">
        <v>218</v>
      </c>
      <c r="G4" s="143" t="s">
        <v>219</v>
      </c>
      <c r="H4" s="144" t="s">
        <v>220</v>
      </c>
      <c r="I4" s="144" t="s">
        <v>221</v>
      </c>
      <c r="J4" s="213"/>
      <c r="K4" s="145"/>
      <c r="L4" s="146" t="s">
        <v>553</v>
      </c>
      <c r="M4" s="144"/>
      <c r="N4" s="144" t="s">
        <v>221</v>
      </c>
      <c r="O4" s="41" t="s">
        <v>223</v>
      </c>
    </row>
    <row r="5" spans="1:15" ht="12.75">
      <c r="A5" s="147" t="s">
        <v>197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2.75">
      <c r="A6" s="28" t="s">
        <v>277</v>
      </c>
      <c r="B6" s="28"/>
      <c r="C6" s="28"/>
      <c r="D6" s="28"/>
      <c r="E6" s="28"/>
      <c r="F6" s="28"/>
      <c r="G6" s="28"/>
      <c r="H6" s="28"/>
      <c r="I6" s="149"/>
      <c r="J6" s="149"/>
      <c r="K6" s="149"/>
      <c r="L6" s="151"/>
      <c r="M6" s="151"/>
      <c r="N6" s="151"/>
      <c r="O6" s="149"/>
    </row>
    <row r="7" spans="1:15" ht="12.75">
      <c r="A7" s="28"/>
      <c r="B7" s="147"/>
      <c r="C7" s="28"/>
      <c r="D7" s="28"/>
      <c r="E7" s="28"/>
      <c r="F7" s="35"/>
      <c r="G7" s="153"/>
      <c r="H7" s="34"/>
      <c r="I7" s="28"/>
      <c r="J7" s="28"/>
      <c r="K7" s="28"/>
      <c r="L7" s="28"/>
      <c r="M7" s="28"/>
      <c r="N7" s="28"/>
      <c r="O7" s="28"/>
    </row>
    <row r="8" spans="1:15" ht="12.75">
      <c r="A8" s="154" t="s">
        <v>225</v>
      </c>
      <c r="B8" s="154"/>
      <c r="C8" s="28" t="s">
        <v>226</v>
      </c>
      <c r="D8" s="28" t="s">
        <v>227</v>
      </c>
      <c r="E8" s="28" t="s">
        <v>228</v>
      </c>
      <c r="F8" s="35" t="s">
        <v>229</v>
      </c>
      <c r="G8" s="33">
        <v>82</v>
      </c>
      <c r="H8" s="34">
        <v>1</v>
      </c>
      <c r="I8" s="35">
        <f>SUM(G8:G8)</f>
        <v>82</v>
      </c>
      <c r="J8" s="35"/>
      <c r="K8" s="35"/>
      <c r="L8" s="157">
        <f>1-39.9789871716824%</f>
        <v>0.600210128283176</v>
      </c>
      <c r="M8" s="32">
        <f>I8*L8</f>
        <v>49.21723051922043</v>
      </c>
      <c r="N8" s="32"/>
      <c r="O8" s="31" t="s">
        <v>89</v>
      </c>
    </row>
    <row r="9" spans="1:15" ht="12.75">
      <c r="A9" s="154"/>
      <c r="B9" s="154"/>
      <c r="C9" s="28"/>
      <c r="D9" s="28"/>
      <c r="E9" s="28"/>
      <c r="F9" s="35"/>
      <c r="G9" s="33"/>
      <c r="H9" s="34"/>
      <c r="I9" s="35"/>
      <c r="J9" s="35"/>
      <c r="K9" s="35"/>
      <c r="L9" s="157"/>
      <c r="M9" s="32"/>
      <c r="N9" s="32"/>
      <c r="O9" s="31"/>
    </row>
    <row r="10" spans="1:15" ht="12.75">
      <c r="A10" s="214"/>
      <c r="B10" s="214"/>
      <c r="C10" s="215"/>
      <c r="D10" s="215"/>
      <c r="E10" s="215"/>
      <c r="F10" s="216"/>
      <c r="G10" s="216"/>
      <c r="H10" s="217"/>
      <c r="I10" s="216"/>
      <c r="J10" s="216"/>
      <c r="K10" s="216"/>
      <c r="L10" s="218"/>
      <c r="M10" s="218"/>
      <c r="N10" s="218"/>
      <c r="O10" s="219"/>
    </row>
    <row r="11" spans="1:15" ht="12.75">
      <c r="A11" s="147" t="s">
        <v>197</v>
      </c>
      <c r="B11" s="154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32"/>
      <c r="O11" s="31"/>
    </row>
    <row r="12" spans="1:15" ht="12.75">
      <c r="A12" s="166" t="s">
        <v>278</v>
      </c>
      <c r="B12" s="154"/>
      <c r="C12" s="28"/>
      <c r="D12" s="28"/>
      <c r="E12" s="28"/>
      <c r="F12" s="34" t="s">
        <v>235</v>
      </c>
      <c r="G12" s="157">
        <v>0.399789871716824</v>
      </c>
      <c r="H12" s="28"/>
      <c r="I12" s="35"/>
      <c r="J12" s="35"/>
      <c r="K12" s="35"/>
      <c r="L12" s="32"/>
      <c r="M12" s="32"/>
      <c r="N12" s="32"/>
      <c r="O12" s="28"/>
    </row>
    <row r="13" spans="1:15" ht="12.75">
      <c r="A13" s="166"/>
      <c r="B13" s="154"/>
      <c r="C13" s="28"/>
      <c r="D13" s="28"/>
      <c r="E13" s="28" t="s">
        <v>279</v>
      </c>
      <c r="F13" s="35" t="s">
        <v>229</v>
      </c>
      <c r="G13" s="33">
        <v>82</v>
      </c>
      <c r="H13" s="34">
        <v>1</v>
      </c>
      <c r="I13" s="35">
        <f>G13*1</f>
        <v>82</v>
      </c>
      <c r="J13" s="35"/>
      <c r="K13" s="35"/>
      <c r="L13" s="157"/>
      <c r="M13" s="32"/>
      <c r="N13" s="32"/>
      <c r="O13" s="31" t="s">
        <v>89</v>
      </c>
    </row>
    <row r="14" spans="1:15" ht="12.75">
      <c r="A14" s="28"/>
      <c r="B14" s="147"/>
      <c r="C14" s="28"/>
      <c r="D14" s="28"/>
      <c r="E14" s="28"/>
      <c r="F14" s="35"/>
      <c r="G14" s="35"/>
      <c r="H14" s="34"/>
      <c r="I14" s="35"/>
      <c r="J14" s="35"/>
      <c r="K14" s="35"/>
      <c r="L14" s="157"/>
      <c r="M14" s="32"/>
      <c r="N14" s="32"/>
      <c r="O14" s="31"/>
    </row>
    <row r="15" spans="1:15" ht="12.75">
      <c r="A15" s="154" t="s">
        <v>225</v>
      </c>
      <c r="B15" s="154"/>
      <c r="C15" s="28" t="s">
        <v>226</v>
      </c>
      <c r="D15" s="28" t="s">
        <v>227</v>
      </c>
      <c r="E15" s="28" t="s">
        <v>237</v>
      </c>
      <c r="F15" s="35" t="s">
        <v>238</v>
      </c>
      <c r="G15" s="33">
        <v>157.9</v>
      </c>
      <c r="H15" s="34">
        <v>1</v>
      </c>
      <c r="I15" s="35"/>
      <c r="J15" s="35"/>
      <c r="K15" s="35"/>
      <c r="L15" s="28"/>
      <c r="M15" s="28"/>
      <c r="N15" s="32"/>
      <c r="O15" s="31"/>
    </row>
    <row r="16" spans="1:15" ht="12.75">
      <c r="A16" s="154"/>
      <c r="B16" s="154"/>
      <c r="C16" s="28"/>
      <c r="D16" s="28"/>
      <c r="E16" s="28"/>
      <c r="F16" s="35" t="s">
        <v>239</v>
      </c>
      <c r="G16" s="33">
        <v>-63</v>
      </c>
      <c r="H16" s="34"/>
      <c r="I16" s="35"/>
      <c r="J16" s="35"/>
      <c r="K16" s="35"/>
      <c r="L16" s="28"/>
      <c r="M16" s="28"/>
      <c r="N16" s="32"/>
      <c r="O16" s="31"/>
    </row>
    <row r="17" spans="1:15" ht="12.75">
      <c r="A17" s="154"/>
      <c r="B17" s="154"/>
      <c r="C17" s="28"/>
      <c r="D17" s="28"/>
      <c r="E17" s="28" t="s">
        <v>228</v>
      </c>
      <c r="F17" s="35" t="s">
        <v>241</v>
      </c>
      <c r="G17" s="35">
        <v>115.55</v>
      </c>
      <c r="H17" s="34">
        <v>1</v>
      </c>
      <c r="I17" s="220">
        <f>SUM(G15:G17)</f>
        <v>210.45</v>
      </c>
      <c r="J17" s="28"/>
      <c r="K17" s="28"/>
      <c r="L17" s="28"/>
      <c r="M17" s="28"/>
      <c r="N17" s="28"/>
      <c r="O17" s="28"/>
    </row>
    <row r="18" spans="1:15" ht="13.5" thickBot="1">
      <c r="A18" s="154"/>
      <c r="B18" s="154"/>
      <c r="C18" s="28"/>
      <c r="D18" s="28"/>
      <c r="E18" s="28"/>
      <c r="F18" s="28"/>
      <c r="G18" s="28"/>
      <c r="H18" s="28"/>
      <c r="I18" s="221">
        <f>SUM(I13:I17)</f>
        <v>292.45</v>
      </c>
      <c r="J18" s="28"/>
      <c r="K18" s="28"/>
      <c r="L18" s="157">
        <v>0.399789871716824</v>
      </c>
      <c r="M18" s="32">
        <f>I18*L18</f>
        <v>116.91854798358517</v>
      </c>
      <c r="N18" s="32"/>
      <c r="O18" s="31" t="s">
        <v>89</v>
      </c>
    </row>
    <row r="19" spans="1:15" ht="13.5" thickBot="1">
      <c r="A19" s="154"/>
      <c r="B19" s="154"/>
      <c r="C19" s="28"/>
      <c r="D19" s="28"/>
      <c r="E19" s="28"/>
      <c r="F19" s="35"/>
      <c r="G19" s="35"/>
      <c r="H19" s="34"/>
      <c r="I19" s="28"/>
      <c r="J19" s="28"/>
      <c r="K19" s="28"/>
      <c r="L19" s="28"/>
      <c r="M19" s="28"/>
      <c r="N19" s="168">
        <f>SUM(M8:M18)</f>
        <v>166.1357785028056</v>
      </c>
      <c r="O19" s="31" t="s">
        <v>89</v>
      </c>
    </row>
    <row r="20" spans="1:15" ht="12.75">
      <c r="A20" s="169"/>
      <c r="B20" s="169"/>
      <c r="C20" s="170"/>
      <c r="D20" s="170"/>
      <c r="E20" s="170"/>
      <c r="F20" s="171"/>
      <c r="G20" s="171"/>
      <c r="H20" s="172"/>
      <c r="I20" s="171"/>
      <c r="J20" s="171"/>
      <c r="K20" s="171"/>
      <c r="L20" s="175"/>
      <c r="M20" s="174"/>
      <c r="N20" s="174"/>
      <c r="O20" s="170"/>
    </row>
    <row r="21" spans="1:15" ht="12.75">
      <c r="A21" s="28"/>
      <c r="B21" s="28"/>
      <c r="C21" s="28"/>
      <c r="D21" s="28"/>
      <c r="E21" s="28"/>
      <c r="F21" s="32"/>
      <c r="G21" s="33"/>
      <c r="H21" s="34"/>
      <c r="I21" s="35"/>
      <c r="J21" s="35"/>
      <c r="K21" s="35"/>
      <c r="L21" s="32"/>
      <c r="M21" s="32"/>
      <c r="N21" s="32"/>
      <c r="O21" s="28"/>
    </row>
    <row r="22" spans="1:15" ht="12.75">
      <c r="A22" s="147" t="s">
        <v>198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2.75">
      <c r="A23" s="28" t="s">
        <v>277</v>
      </c>
      <c r="B23" s="28"/>
      <c r="C23" s="28"/>
      <c r="D23" s="28"/>
      <c r="E23" s="28"/>
      <c r="F23" s="28"/>
      <c r="G23" s="28"/>
      <c r="H23" s="28"/>
      <c r="I23" s="149"/>
      <c r="J23" s="149"/>
      <c r="K23" s="149"/>
      <c r="L23" s="151"/>
      <c r="M23" s="151"/>
      <c r="N23" s="151"/>
      <c r="O23" s="149"/>
    </row>
    <row r="24" spans="1:15" ht="12.75">
      <c r="A24" s="28"/>
      <c r="B24" s="147"/>
      <c r="C24" s="28"/>
      <c r="D24" s="28"/>
      <c r="E24" s="28"/>
      <c r="F24" s="35"/>
      <c r="G24" s="153"/>
      <c r="H24" s="34"/>
      <c r="I24" s="28"/>
      <c r="J24" s="28"/>
      <c r="K24" s="28"/>
      <c r="L24" s="28"/>
      <c r="M24" s="28"/>
      <c r="N24" s="28"/>
      <c r="O24" s="28"/>
    </row>
    <row r="25" spans="1:15" ht="12.75">
      <c r="A25" s="154" t="s">
        <v>225</v>
      </c>
      <c r="B25" s="154"/>
      <c r="C25" s="28" t="s">
        <v>242</v>
      </c>
      <c r="D25" s="28" t="s">
        <v>243</v>
      </c>
      <c r="E25" s="28" t="s">
        <v>228</v>
      </c>
      <c r="F25" s="35" t="s">
        <v>229</v>
      </c>
      <c r="G25" s="33">
        <v>82</v>
      </c>
      <c r="H25" s="34">
        <v>1</v>
      </c>
      <c r="I25" s="35">
        <f>SUM(G25:G25)</f>
        <v>82</v>
      </c>
      <c r="J25" s="35"/>
      <c r="K25" s="35"/>
      <c r="L25" s="157">
        <f>1-39.9789871716824%</f>
        <v>0.600210128283176</v>
      </c>
      <c r="M25" s="32">
        <f>I25*L25</f>
        <v>49.21723051922043</v>
      </c>
      <c r="N25" s="32"/>
      <c r="O25" s="31" t="s">
        <v>89</v>
      </c>
    </row>
    <row r="26" spans="1:15" ht="12.75">
      <c r="A26" s="154"/>
      <c r="B26" s="154"/>
      <c r="C26" s="28"/>
      <c r="D26" s="28"/>
      <c r="E26" s="28"/>
      <c r="F26" s="35"/>
      <c r="G26" s="33"/>
      <c r="H26" s="34"/>
      <c r="I26" s="35"/>
      <c r="J26" s="35"/>
      <c r="K26" s="35"/>
      <c r="L26" s="157"/>
      <c r="M26" s="32"/>
      <c r="N26" s="32"/>
      <c r="O26" s="31"/>
    </row>
    <row r="27" spans="1:15" ht="12.75">
      <c r="A27" s="158"/>
      <c r="B27" s="158"/>
      <c r="C27" s="159"/>
      <c r="D27" s="159"/>
      <c r="E27" s="159"/>
      <c r="F27" s="160"/>
      <c r="G27" s="161"/>
      <c r="H27" s="162"/>
      <c r="I27" s="160"/>
      <c r="J27" s="160"/>
      <c r="K27" s="160"/>
      <c r="L27" s="164"/>
      <c r="M27" s="164"/>
      <c r="N27" s="164"/>
      <c r="O27" s="165"/>
    </row>
    <row r="28" spans="1:15" ht="12.75">
      <c r="A28" s="147" t="s">
        <v>198</v>
      </c>
      <c r="B28" s="154"/>
      <c r="C28" s="28"/>
      <c r="D28" s="28"/>
      <c r="E28" s="28"/>
      <c r="F28" s="28"/>
      <c r="G28" s="28"/>
      <c r="H28" s="28"/>
      <c r="I28" s="28"/>
      <c r="J28" s="28"/>
      <c r="K28" s="28"/>
      <c r="L28" s="32"/>
      <c r="M28" s="32"/>
      <c r="N28" s="32"/>
      <c r="O28" s="31"/>
    </row>
    <row r="29" spans="1:15" ht="12.75">
      <c r="A29" s="166" t="s">
        <v>278</v>
      </c>
      <c r="B29" s="154"/>
      <c r="C29" s="28"/>
      <c r="D29" s="28"/>
      <c r="E29" s="28"/>
      <c r="F29" s="34" t="s">
        <v>235</v>
      </c>
      <c r="G29" s="157">
        <v>0.399789871716824</v>
      </c>
      <c r="H29" s="28"/>
      <c r="I29" s="35"/>
      <c r="J29" s="35"/>
      <c r="K29" s="35"/>
      <c r="L29" s="157"/>
      <c r="M29" s="32"/>
      <c r="N29" s="32"/>
      <c r="O29" s="28"/>
    </row>
    <row r="30" spans="1:15" ht="12.75">
      <c r="A30" s="166"/>
      <c r="B30" s="154"/>
      <c r="C30" s="28"/>
      <c r="D30" s="28"/>
      <c r="E30" s="28" t="s">
        <v>279</v>
      </c>
      <c r="F30" s="35" t="s">
        <v>229</v>
      </c>
      <c r="G30" s="33">
        <v>82</v>
      </c>
      <c r="H30" s="34">
        <v>1</v>
      </c>
      <c r="I30" s="35">
        <f>G30*1</f>
        <v>82</v>
      </c>
      <c r="J30" s="35"/>
      <c r="K30" s="35"/>
      <c r="L30" s="157"/>
      <c r="M30" s="32"/>
      <c r="N30" s="32"/>
      <c r="O30" s="31" t="s">
        <v>89</v>
      </c>
    </row>
    <row r="31" spans="1:15" ht="12.75">
      <c r="A31" s="28"/>
      <c r="B31" s="147"/>
      <c r="C31" s="28"/>
      <c r="D31" s="28"/>
      <c r="E31" s="28"/>
      <c r="F31" s="35"/>
      <c r="G31" s="35"/>
      <c r="H31" s="34"/>
      <c r="I31" s="35"/>
      <c r="J31" s="35"/>
      <c r="K31" s="35"/>
      <c r="L31" s="28"/>
      <c r="M31" s="28"/>
      <c r="N31" s="32"/>
      <c r="O31" s="31"/>
    </row>
    <row r="32" spans="1:15" ht="12.75">
      <c r="A32" s="154" t="s">
        <v>225</v>
      </c>
      <c r="B32" s="154"/>
      <c r="C32" s="28" t="s">
        <v>242</v>
      </c>
      <c r="D32" s="28" t="s">
        <v>243</v>
      </c>
      <c r="E32" s="28" t="s">
        <v>237</v>
      </c>
      <c r="F32" s="35" t="s">
        <v>238</v>
      </c>
      <c r="G32" s="33">
        <v>157.9</v>
      </c>
      <c r="H32" s="34">
        <v>1</v>
      </c>
      <c r="I32" s="35"/>
      <c r="J32" s="35"/>
      <c r="K32" s="35"/>
      <c r="L32" s="28"/>
      <c r="M32" s="28"/>
      <c r="N32" s="32"/>
      <c r="O32" s="31"/>
    </row>
    <row r="33" spans="1:15" ht="12.75">
      <c r="A33" s="154"/>
      <c r="B33" s="154"/>
      <c r="C33" s="28"/>
      <c r="D33" s="28"/>
      <c r="E33" s="28"/>
      <c r="F33" s="35" t="s">
        <v>239</v>
      </c>
      <c r="G33" s="33">
        <v>-63</v>
      </c>
      <c r="H33" s="34"/>
      <c r="I33" s="35"/>
      <c r="J33" s="35"/>
      <c r="K33" s="35"/>
      <c r="L33" s="28"/>
      <c r="M33" s="28"/>
      <c r="N33" s="32"/>
      <c r="O33" s="31"/>
    </row>
    <row r="34" spans="1:15" ht="12.75">
      <c r="A34" s="154"/>
      <c r="B34" s="154"/>
      <c r="C34" s="28"/>
      <c r="D34" s="28"/>
      <c r="E34" s="28" t="s">
        <v>228</v>
      </c>
      <c r="F34" s="35" t="s">
        <v>241</v>
      </c>
      <c r="G34" s="35">
        <v>115.55</v>
      </c>
      <c r="H34" s="34">
        <v>1</v>
      </c>
      <c r="I34" s="220">
        <f>SUM(G32:G34)</f>
        <v>210.45</v>
      </c>
      <c r="J34" s="28"/>
      <c r="K34" s="28"/>
      <c r="L34" s="28"/>
      <c r="M34" s="28"/>
      <c r="N34" s="28"/>
      <c r="O34" s="28"/>
    </row>
    <row r="35" spans="1:15" ht="13.5" thickBot="1">
      <c r="A35" s="154"/>
      <c r="B35" s="154"/>
      <c r="C35" s="28"/>
      <c r="D35" s="28"/>
      <c r="E35" s="28"/>
      <c r="F35" s="35"/>
      <c r="G35" s="35"/>
      <c r="H35" s="34"/>
      <c r="I35" s="155">
        <f>SUM(I30:I34)</f>
        <v>292.45</v>
      </c>
      <c r="J35" s="28"/>
      <c r="K35" s="28"/>
      <c r="L35" s="157">
        <v>0.399789871716824</v>
      </c>
      <c r="M35" s="32">
        <f>I35*L35</f>
        <v>116.91854798358517</v>
      </c>
      <c r="N35" s="32"/>
      <c r="O35" s="31" t="s">
        <v>89</v>
      </c>
    </row>
    <row r="36" spans="1:15" ht="13.5" thickBot="1">
      <c r="A36" s="154"/>
      <c r="B36" s="154"/>
      <c r="C36" s="28"/>
      <c r="D36" s="28"/>
      <c r="E36" s="28"/>
      <c r="F36" s="35"/>
      <c r="G36" s="35"/>
      <c r="H36" s="34"/>
      <c r="I36" s="28"/>
      <c r="J36" s="28"/>
      <c r="K36" s="28"/>
      <c r="L36" s="28"/>
      <c r="M36" s="28"/>
      <c r="N36" s="168">
        <f>SUM(M25:M35)</f>
        <v>166.1357785028056</v>
      </c>
      <c r="O36" s="31" t="s">
        <v>89</v>
      </c>
    </row>
    <row r="37" spans="1:15" ht="12.75">
      <c r="A37" s="169"/>
      <c r="B37" s="169"/>
      <c r="C37" s="170"/>
      <c r="D37" s="170"/>
      <c r="E37" s="170"/>
      <c r="F37" s="171"/>
      <c r="G37" s="171"/>
      <c r="H37" s="172"/>
      <c r="I37" s="171"/>
      <c r="J37" s="171"/>
      <c r="K37" s="171"/>
      <c r="L37" s="175"/>
      <c r="M37" s="174"/>
      <c r="N37" s="174"/>
      <c r="O37" s="170"/>
    </row>
    <row r="38" spans="1:15" ht="12.75">
      <c r="A38" s="169"/>
      <c r="B38" s="169"/>
      <c r="C38" s="170"/>
      <c r="D38" s="170"/>
      <c r="E38" s="170"/>
      <c r="F38" s="171"/>
      <c r="G38" s="171"/>
      <c r="H38" s="172"/>
      <c r="I38" s="171"/>
      <c r="J38" s="171"/>
      <c r="K38" s="171"/>
      <c r="L38" s="175"/>
      <c r="M38" s="174"/>
      <c r="N38" s="174"/>
      <c r="O38" s="170"/>
    </row>
    <row r="39" spans="1:15" ht="12.75">
      <c r="A39" s="148" t="s">
        <v>199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5" ht="12.75">
      <c r="A40" s="28" t="s">
        <v>277</v>
      </c>
      <c r="B40" s="28"/>
      <c r="C40" s="28"/>
      <c r="D40" s="28"/>
      <c r="E40" s="28"/>
      <c r="F40" s="28"/>
      <c r="G40" s="28"/>
      <c r="H40" s="28"/>
      <c r="I40" s="149"/>
      <c r="J40" s="149"/>
      <c r="K40" s="149"/>
      <c r="L40" s="151"/>
      <c r="M40" s="151"/>
      <c r="N40" s="151"/>
      <c r="O40" s="149"/>
    </row>
    <row r="41" spans="1:15" ht="12.75">
      <c r="A41" s="28"/>
      <c r="B41" s="147"/>
      <c r="C41" s="28"/>
      <c r="D41" s="28"/>
      <c r="E41" s="28"/>
      <c r="F41" s="35"/>
      <c r="G41" s="153"/>
      <c r="H41" s="34"/>
      <c r="I41" s="28"/>
      <c r="J41" s="28"/>
      <c r="K41" s="28"/>
      <c r="L41" s="28"/>
      <c r="M41" s="28"/>
      <c r="N41" s="28"/>
      <c r="O41" s="28"/>
    </row>
    <row r="42" spans="1:15" ht="12.75">
      <c r="A42" s="154" t="s">
        <v>225</v>
      </c>
      <c r="B42" s="154"/>
      <c r="C42" s="28" t="s">
        <v>242</v>
      </c>
      <c r="D42" s="28" t="s">
        <v>280</v>
      </c>
      <c r="E42" s="28" t="s">
        <v>228</v>
      </c>
      <c r="F42" s="35" t="s">
        <v>281</v>
      </c>
      <c r="G42" s="33">
        <v>93</v>
      </c>
      <c r="H42" s="34">
        <v>1</v>
      </c>
      <c r="I42" s="35">
        <f>SUM(G42:G42)</f>
        <v>93</v>
      </c>
      <c r="J42" s="35"/>
      <c r="K42" s="35"/>
      <c r="L42" s="157">
        <f>1-39.9789871716824%</f>
        <v>0.600210128283176</v>
      </c>
      <c r="M42" s="32">
        <f>I42*L42</f>
        <v>55.81954193033537</v>
      </c>
      <c r="N42" s="32"/>
      <c r="O42" s="31" t="s">
        <v>89</v>
      </c>
    </row>
    <row r="43" spans="1:15" ht="12.75">
      <c r="A43" s="154"/>
      <c r="B43" s="154"/>
      <c r="C43" s="28"/>
      <c r="D43" s="28"/>
      <c r="E43" s="28"/>
      <c r="F43" s="35"/>
      <c r="G43" s="33"/>
      <c r="H43" s="34"/>
      <c r="I43" s="35"/>
      <c r="J43" s="35"/>
      <c r="K43" s="35"/>
      <c r="L43" s="157"/>
      <c r="M43" s="32"/>
      <c r="N43" s="32"/>
      <c r="O43" s="31"/>
    </row>
    <row r="44" spans="1:15" ht="12.75">
      <c r="A44" s="158"/>
      <c r="B44" s="158"/>
      <c r="C44" s="159"/>
      <c r="D44" s="159"/>
      <c r="E44" s="159"/>
      <c r="F44" s="160"/>
      <c r="G44" s="161"/>
      <c r="H44" s="162"/>
      <c r="I44" s="160"/>
      <c r="J44" s="160"/>
      <c r="K44" s="160"/>
      <c r="L44" s="164"/>
      <c r="M44" s="164"/>
      <c r="N44" s="164"/>
      <c r="O44" s="165"/>
    </row>
    <row r="45" spans="1:15" ht="12.75">
      <c r="A45" s="148" t="s">
        <v>199</v>
      </c>
      <c r="B45" s="154"/>
      <c r="C45" s="28"/>
      <c r="D45" s="28"/>
      <c r="E45" s="28"/>
      <c r="F45" s="34" t="s">
        <v>235</v>
      </c>
      <c r="G45" s="157">
        <v>0.399789871716824</v>
      </c>
      <c r="H45" s="28"/>
      <c r="I45" s="35"/>
      <c r="J45" s="35"/>
      <c r="K45" s="35"/>
      <c r="L45" s="32"/>
      <c r="M45" s="32"/>
      <c r="N45" s="32"/>
      <c r="O45" s="31"/>
    </row>
    <row r="46" spans="1:15" ht="12.75">
      <c r="A46" s="166" t="s">
        <v>278</v>
      </c>
      <c r="B46" s="154"/>
      <c r="C46" s="28"/>
      <c r="D46" s="28"/>
      <c r="E46" s="28" t="s">
        <v>279</v>
      </c>
      <c r="F46" s="35" t="s">
        <v>281</v>
      </c>
      <c r="G46" s="33">
        <v>93</v>
      </c>
      <c r="H46" s="34">
        <v>1</v>
      </c>
      <c r="I46" s="35">
        <f>G46*1</f>
        <v>93</v>
      </c>
      <c r="J46" s="35"/>
      <c r="K46" s="35"/>
      <c r="L46" s="157"/>
      <c r="M46" s="32"/>
      <c r="N46" s="32"/>
      <c r="O46" s="31" t="s">
        <v>89</v>
      </c>
    </row>
    <row r="47" spans="1:15" ht="12.75">
      <c r="A47" s="166"/>
      <c r="B47" s="154"/>
      <c r="C47" s="28"/>
      <c r="D47" s="28"/>
      <c r="E47" s="28"/>
      <c r="F47" s="35"/>
      <c r="G47" s="35"/>
      <c r="H47" s="34"/>
      <c r="I47" s="35"/>
      <c r="J47" s="35"/>
      <c r="K47" s="35"/>
      <c r="L47" s="157"/>
      <c r="M47" s="32"/>
      <c r="N47" s="32"/>
      <c r="O47" s="31"/>
    </row>
    <row r="48" spans="1:15" ht="12.75">
      <c r="A48" s="28"/>
      <c r="B48" s="147"/>
      <c r="C48" s="28"/>
      <c r="D48" s="28"/>
      <c r="E48" s="28"/>
      <c r="F48" s="35"/>
      <c r="G48" s="153"/>
      <c r="H48" s="34"/>
      <c r="I48" s="28"/>
      <c r="J48" s="28"/>
      <c r="K48" s="28"/>
      <c r="L48" s="28"/>
      <c r="M48" s="28"/>
      <c r="N48" s="32"/>
      <c r="O48" s="31"/>
    </row>
    <row r="49" spans="1:15" ht="12.75">
      <c r="A49" s="154" t="s">
        <v>225</v>
      </c>
      <c r="B49" s="154"/>
      <c r="C49" s="28" t="s">
        <v>242</v>
      </c>
      <c r="D49" s="28" t="s">
        <v>280</v>
      </c>
      <c r="E49" s="28" t="s">
        <v>237</v>
      </c>
      <c r="F49" s="35" t="s">
        <v>238</v>
      </c>
      <c r="G49" s="33">
        <v>157.9</v>
      </c>
      <c r="H49" s="34">
        <v>1</v>
      </c>
      <c r="I49" s="35"/>
      <c r="J49" s="35"/>
      <c r="K49" s="35"/>
      <c r="L49" s="28"/>
      <c r="M49" s="28"/>
      <c r="N49" s="32"/>
      <c r="O49" s="31"/>
    </row>
    <row r="50" spans="1:15" ht="12.75">
      <c r="A50" s="154"/>
      <c r="B50" s="154"/>
      <c r="C50" s="28"/>
      <c r="D50" s="28"/>
      <c r="E50" s="28"/>
      <c r="F50" s="35" t="s">
        <v>239</v>
      </c>
      <c r="G50" s="33">
        <v>-63</v>
      </c>
      <c r="H50" s="34"/>
      <c r="I50" s="35"/>
      <c r="J50" s="35"/>
      <c r="K50" s="35"/>
      <c r="L50" s="28"/>
      <c r="M50" s="28"/>
      <c r="N50" s="32"/>
      <c r="O50" s="31"/>
    </row>
    <row r="51" spans="1:15" ht="12.75">
      <c r="A51" s="154"/>
      <c r="B51" s="154"/>
      <c r="C51" s="28"/>
      <c r="D51" s="28"/>
      <c r="E51" s="28" t="s">
        <v>228</v>
      </c>
      <c r="F51" s="35" t="s">
        <v>241</v>
      </c>
      <c r="G51" s="35">
        <v>115.55</v>
      </c>
      <c r="H51" s="34">
        <v>1</v>
      </c>
      <c r="I51" s="220">
        <f>SUM(G49:G51)</f>
        <v>210.45</v>
      </c>
      <c r="J51" s="28"/>
      <c r="K51" s="28"/>
      <c r="L51" s="28"/>
      <c r="M51" s="28"/>
      <c r="N51" s="28"/>
      <c r="O51" s="28"/>
    </row>
    <row r="52" spans="1:15" ht="13.5" thickBot="1">
      <c r="A52" s="154"/>
      <c r="B52" s="154"/>
      <c r="C52" s="28"/>
      <c r="D52" s="28"/>
      <c r="E52" s="28"/>
      <c r="F52" s="35"/>
      <c r="G52" s="35"/>
      <c r="H52" s="34"/>
      <c r="I52" s="155">
        <f>SUM(I46:I51)</f>
        <v>303.45</v>
      </c>
      <c r="J52" s="28"/>
      <c r="K52" s="28"/>
      <c r="L52" s="157">
        <v>0.399789871716824</v>
      </c>
      <c r="M52" s="32">
        <f>I52*L52</f>
        <v>121.31623657247025</v>
      </c>
      <c r="N52" s="32"/>
      <c r="O52" s="31"/>
    </row>
    <row r="53" spans="1:15" ht="13.5" thickBot="1">
      <c r="A53" s="154"/>
      <c r="B53" s="154"/>
      <c r="C53" s="28"/>
      <c r="D53" s="28"/>
      <c r="E53" s="28"/>
      <c r="F53" s="35"/>
      <c r="G53" s="35"/>
      <c r="H53" s="34"/>
      <c r="I53" s="155"/>
      <c r="J53" s="28"/>
      <c r="K53" s="28"/>
      <c r="L53" s="157"/>
      <c r="M53" s="32"/>
      <c r="N53" s="168">
        <f>SUM(M42:M52)</f>
        <v>177.1357785028056</v>
      </c>
      <c r="O53" s="31"/>
    </row>
    <row r="54" spans="1:15" ht="12.75">
      <c r="A54" s="169"/>
      <c r="B54" s="169"/>
      <c r="C54" s="170"/>
      <c r="D54" s="170"/>
      <c r="E54" s="170"/>
      <c r="F54" s="171"/>
      <c r="G54" s="171"/>
      <c r="H54" s="172"/>
      <c r="I54" s="171"/>
      <c r="J54" s="171"/>
      <c r="K54" s="171"/>
      <c r="L54" s="175"/>
      <c r="M54" s="174"/>
      <c r="N54" s="174"/>
      <c r="O54" s="170"/>
    </row>
    <row r="55" spans="1:15" ht="12.75">
      <c r="A55" s="147" t="s">
        <v>200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2.75">
      <c r="A56" s="28" t="s">
        <v>277</v>
      </c>
      <c r="B56" s="28"/>
      <c r="C56" s="28"/>
      <c r="D56" s="28"/>
      <c r="E56" s="28"/>
      <c r="F56" s="28"/>
      <c r="G56" s="28"/>
      <c r="H56" s="28"/>
      <c r="I56" s="149"/>
      <c r="J56" s="149"/>
      <c r="K56" s="149"/>
      <c r="L56" s="151"/>
      <c r="M56" s="151"/>
      <c r="N56" s="151"/>
      <c r="O56" s="149"/>
    </row>
    <row r="57" spans="1:15" ht="12.75">
      <c r="A57" s="28"/>
      <c r="B57" s="147"/>
      <c r="C57" s="28"/>
      <c r="D57" s="28"/>
      <c r="E57" s="28"/>
      <c r="F57" s="35"/>
      <c r="G57" s="153"/>
      <c r="H57" s="34"/>
      <c r="I57" s="28"/>
      <c r="J57" s="28"/>
      <c r="K57" s="28"/>
      <c r="L57" s="28"/>
      <c r="M57" s="28"/>
      <c r="N57" s="28"/>
      <c r="O57" s="28"/>
    </row>
    <row r="58" spans="1:15" ht="12.75">
      <c r="A58" s="154" t="s">
        <v>225</v>
      </c>
      <c r="B58" s="154"/>
      <c r="C58" s="28" t="s">
        <v>246</v>
      </c>
      <c r="D58" s="28" t="s">
        <v>247</v>
      </c>
      <c r="E58" s="28" t="s">
        <v>228</v>
      </c>
      <c r="F58" s="35" t="s">
        <v>248</v>
      </c>
      <c r="G58" s="33">
        <v>112.86</v>
      </c>
      <c r="H58" s="34">
        <v>1</v>
      </c>
      <c r="I58" s="35">
        <f>SUM(G58:G58)</f>
        <v>112.86</v>
      </c>
      <c r="J58" s="35">
        <f>I58*0.5</f>
        <v>56.43</v>
      </c>
      <c r="K58" s="35"/>
      <c r="L58" s="157"/>
      <c r="M58" s="32"/>
      <c r="N58" s="32"/>
      <c r="O58" s="31" t="s">
        <v>89</v>
      </c>
    </row>
    <row r="59" spans="1:15" ht="12.75">
      <c r="A59" s="154"/>
      <c r="B59" s="154"/>
      <c r="C59" s="28"/>
      <c r="D59" s="28"/>
      <c r="E59" s="28"/>
      <c r="F59" s="35"/>
      <c r="G59" s="33"/>
      <c r="H59" s="34"/>
      <c r="I59" s="35"/>
      <c r="J59" s="35"/>
      <c r="K59" s="35"/>
      <c r="L59" s="157"/>
      <c r="M59" s="32"/>
      <c r="N59" s="32"/>
      <c r="O59" s="31"/>
    </row>
    <row r="60" spans="1:15" ht="12.75">
      <c r="A60" s="154" t="s">
        <v>225</v>
      </c>
      <c r="B60" s="154"/>
      <c r="C60" s="28" t="s">
        <v>246</v>
      </c>
      <c r="D60" s="28" t="s">
        <v>249</v>
      </c>
      <c r="E60" s="28" t="s">
        <v>228</v>
      </c>
      <c r="F60" s="35" t="s">
        <v>250</v>
      </c>
      <c r="G60" s="33">
        <v>82.34</v>
      </c>
      <c r="H60" s="34">
        <v>1</v>
      </c>
      <c r="I60" s="35">
        <f>SUM(G60:G60)</f>
        <v>82.34</v>
      </c>
      <c r="J60" s="35">
        <f>I60*0.5</f>
        <v>41.17</v>
      </c>
      <c r="K60" s="35">
        <f>SUM(J58:J60)</f>
        <v>97.6</v>
      </c>
      <c r="L60" s="157">
        <f>1-39.9789871716824%</f>
        <v>0.600210128283176</v>
      </c>
      <c r="M60" s="32">
        <f>K60*L60</f>
        <v>58.580508520437974</v>
      </c>
      <c r="N60" s="32"/>
      <c r="O60" s="31" t="s">
        <v>89</v>
      </c>
    </row>
    <row r="61" spans="1:15" ht="12.75">
      <c r="A61" s="158"/>
      <c r="B61" s="158"/>
      <c r="C61" s="159"/>
      <c r="D61" s="159"/>
      <c r="E61" s="159"/>
      <c r="F61" s="160"/>
      <c r="G61" s="161"/>
      <c r="H61" s="162"/>
      <c r="I61" s="160"/>
      <c r="J61" s="160"/>
      <c r="K61" s="160"/>
      <c r="L61" s="164"/>
      <c r="M61" s="164"/>
      <c r="N61" s="164"/>
      <c r="O61" s="165"/>
    </row>
    <row r="62" spans="1:15" ht="12.75">
      <c r="A62" s="147" t="s">
        <v>200</v>
      </c>
      <c r="B62" s="154"/>
      <c r="C62" s="28"/>
      <c r="D62" s="28"/>
      <c r="E62" s="28"/>
      <c r="F62" s="28"/>
      <c r="G62" s="28"/>
      <c r="H62" s="28"/>
      <c r="I62" s="28"/>
      <c r="J62" s="28"/>
      <c r="K62" s="28"/>
      <c r="L62" s="32"/>
      <c r="M62" s="32"/>
      <c r="N62" s="32"/>
      <c r="O62" s="31"/>
    </row>
    <row r="63" spans="1:15" ht="12.75">
      <c r="A63" s="166" t="s">
        <v>278</v>
      </c>
      <c r="B63" s="154"/>
      <c r="C63" s="28"/>
      <c r="D63" s="28"/>
      <c r="E63" s="28"/>
      <c r="F63" s="34" t="s">
        <v>235</v>
      </c>
      <c r="G63" s="157">
        <v>0.399789871716824</v>
      </c>
      <c r="H63" s="28"/>
      <c r="I63" s="35"/>
      <c r="J63" s="35"/>
      <c r="K63" s="35"/>
      <c r="L63" s="157"/>
      <c r="M63" s="32"/>
      <c r="N63" s="32"/>
      <c r="O63" s="31" t="s">
        <v>89</v>
      </c>
    </row>
    <row r="64" spans="1:15" ht="12.75">
      <c r="A64" s="166"/>
      <c r="B64" s="154"/>
      <c r="C64" s="28"/>
      <c r="D64" s="28"/>
      <c r="E64" s="28" t="s">
        <v>279</v>
      </c>
      <c r="F64" s="35" t="s">
        <v>248</v>
      </c>
      <c r="G64" s="33">
        <v>112.86</v>
      </c>
      <c r="H64" s="34">
        <v>1</v>
      </c>
      <c r="I64" s="35">
        <f>SUM(G64:G64)</f>
        <v>112.86</v>
      </c>
      <c r="J64" s="35">
        <f>I64*0.5</f>
        <v>56.43</v>
      </c>
      <c r="K64" s="35"/>
      <c r="L64" s="157"/>
      <c r="M64" s="32"/>
      <c r="N64" s="32"/>
      <c r="O64" s="31"/>
    </row>
    <row r="65" spans="1:15" ht="12.75">
      <c r="A65" s="166"/>
      <c r="B65" s="154"/>
      <c r="C65" s="28"/>
      <c r="D65" s="28"/>
      <c r="E65" s="28"/>
      <c r="F65" s="35" t="s">
        <v>250</v>
      </c>
      <c r="G65" s="33">
        <v>82.34</v>
      </c>
      <c r="H65" s="34">
        <v>1</v>
      </c>
      <c r="I65" s="35">
        <f>SUM(G65:G65)</f>
        <v>82.34</v>
      </c>
      <c r="J65" s="35">
        <f>I65*0.5</f>
        <v>41.17</v>
      </c>
      <c r="K65" s="35">
        <f>SUM(J63:J65)</f>
        <v>97.6</v>
      </c>
      <c r="L65" s="157"/>
      <c r="M65" s="32"/>
      <c r="N65" s="32"/>
      <c r="O65" s="31"/>
    </row>
    <row r="66" spans="1:15" ht="12.75">
      <c r="A66" s="28"/>
      <c r="B66" s="147"/>
      <c r="C66" s="28"/>
      <c r="D66" s="28"/>
      <c r="E66" s="28"/>
      <c r="F66" s="35"/>
      <c r="G66" s="153"/>
      <c r="H66" s="34"/>
      <c r="I66" s="28"/>
      <c r="J66" s="28"/>
      <c r="K66" s="28"/>
      <c r="L66" s="28"/>
      <c r="M66" s="28"/>
      <c r="N66" s="32"/>
      <c r="O66" s="31"/>
    </row>
    <row r="67" spans="1:15" ht="12.75">
      <c r="A67" s="154" t="s">
        <v>225</v>
      </c>
      <c r="B67" s="154"/>
      <c r="C67" s="28" t="s">
        <v>246</v>
      </c>
      <c r="D67" s="28" t="s">
        <v>247</v>
      </c>
      <c r="E67" s="28" t="s">
        <v>237</v>
      </c>
      <c r="F67" s="35" t="s">
        <v>238</v>
      </c>
      <c r="G67" s="33">
        <v>157.9</v>
      </c>
      <c r="H67" s="34">
        <v>1</v>
      </c>
      <c r="I67" s="35"/>
      <c r="J67" s="35"/>
      <c r="K67" s="35"/>
      <c r="L67" s="28"/>
      <c r="M67" s="28"/>
      <c r="N67" s="32"/>
      <c r="O67" s="31"/>
    </row>
    <row r="68" spans="1:15" ht="12.75">
      <c r="A68" s="154"/>
      <c r="B68" s="154"/>
      <c r="C68" s="28"/>
      <c r="D68" s="28"/>
      <c r="E68" s="28"/>
      <c r="F68" s="35" t="s">
        <v>239</v>
      </c>
      <c r="G68" s="33">
        <v>-63</v>
      </c>
      <c r="H68" s="34"/>
      <c r="I68" s="35"/>
      <c r="J68" s="35"/>
      <c r="K68" s="35"/>
      <c r="L68" s="28"/>
      <c r="M68" s="28"/>
      <c r="N68" s="32"/>
      <c r="O68" s="31"/>
    </row>
    <row r="69" spans="1:15" ht="12.75">
      <c r="A69" s="154"/>
      <c r="B69" s="154"/>
      <c r="C69" s="28"/>
      <c r="D69" s="28" t="s">
        <v>247</v>
      </c>
      <c r="E69" s="28" t="s">
        <v>228</v>
      </c>
      <c r="F69" s="35" t="s">
        <v>241</v>
      </c>
      <c r="G69" s="35">
        <v>115.55</v>
      </c>
      <c r="H69" s="34">
        <v>1</v>
      </c>
      <c r="I69" s="35">
        <f>SUM(G67:G69)</f>
        <v>210.45</v>
      </c>
      <c r="J69" s="35">
        <f>I69*0.5</f>
        <v>105.225</v>
      </c>
      <c r="K69" s="35"/>
      <c r="L69" s="28"/>
      <c r="M69" s="28"/>
      <c r="N69" s="32"/>
      <c r="O69" s="31"/>
    </row>
    <row r="70" spans="1:15" ht="12.75">
      <c r="A70" s="154"/>
      <c r="B70" s="154"/>
      <c r="C70" s="28"/>
      <c r="D70" s="28"/>
      <c r="E70" s="28"/>
      <c r="F70" s="28"/>
      <c r="G70" s="28"/>
      <c r="H70" s="28"/>
      <c r="I70" s="35"/>
      <c r="J70" s="35"/>
      <c r="K70" s="35"/>
      <c r="L70" s="28"/>
      <c r="M70" s="28"/>
      <c r="N70" s="32"/>
      <c r="O70" s="31"/>
    </row>
    <row r="71" spans="1:15" ht="12.75">
      <c r="A71" s="154" t="s">
        <v>225</v>
      </c>
      <c r="B71" s="154"/>
      <c r="C71" s="28" t="s">
        <v>246</v>
      </c>
      <c r="D71" s="28" t="s">
        <v>249</v>
      </c>
      <c r="E71" s="28" t="s">
        <v>237</v>
      </c>
      <c r="F71" s="35" t="s">
        <v>240</v>
      </c>
      <c r="G71" s="35">
        <v>325.5</v>
      </c>
      <c r="H71" s="34">
        <v>1</v>
      </c>
      <c r="I71" s="35"/>
      <c r="J71" s="35"/>
      <c r="K71" s="35"/>
      <c r="L71" s="28"/>
      <c r="M71" s="28"/>
      <c r="N71" s="32"/>
      <c r="O71" s="31"/>
    </row>
    <row r="72" spans="1:15" ht="12.75">
      <c r="A72" s="154"/>
      <c r="B72" s="154"/>
      <c r="C72" s="28"/>
      <c r="D72" s="28"/>
      <c r="E72" s="28"/>
      <c r="F72" s="35" t="s">
        <v>239</v>
      </c>
      <c r="G72" s="33">
        <v>-63</v>
      </c>
      <c r="H72" s="34"/>
      <c r="I72" s="35"/>
      <c r="J72" s="35"/>
      <c r="K72" s="35"/>
      <c r="L72" s="28"/>
      <c r="M72" s="28"/>
      <c r="N72" s="32"/>
      <c r="O72" s="31"/>
    </row>
    <row r="73" spans="1:15" ht="12.75">
      <c r="A73" s="28"/>
      <c r="B73" s="28"/>
      <c r="C73" s="28"/>
      <c r="D73" s="28" t="s">
        <v>249</v>
      </c>
      <c r="E73" s="28" t="s">
        <v>228</v>
      </c>
      <c r="F73" s="35" t="s">
        <v>240</v>
      </c>
      <c r="G73" s="35">
        <v>325.5</v>
      </c>
      <c r="H73" s="34">
        <v>1</v>
      </c>
      <c r="I73" s="35">
        <f>SUM(G71:G73)</f>
        <v>588</v>
      </c>
      <c r="J73" s="35">
        <f>I73*0.5</f>
        <v>294</v>
      </c>
      <c r="K73" s="220">
        <f>SUM(J69:J73)</f>
        <v>399.225</v>
      </c>
      <c r="L73" s="28"/>
      <c r="M73" s="28"/>
      <c r="N73" s="32"/>
      <c r="O73" s="31"/>
    </row>
    <row r="74" spans="1:15" ht="13.5" thickBot="1">
      <c r="A74" s="154"/>
      <c r="B74" s="154"/>
      <c r="C74" s="28"/>
      <c r="D74" s="28"/>
      <c r="E74" s="28"/>
      <c r="F74" s="28"/>
      <c r="G74" s="28"/>
      <c r="H74" s="28"/>
      <c r="I74" s="28"/>
      <c r="J74" s="28"/>
      <c r="K74" s="28">
        <f>SUM(K65:K73)</f>
        <v>496.82500000000005</v>
      </c>
      <c r="L74" s="157">
        <v>0.399789871716824</v>
      </c>
      <c r="M74" s="32">
        <f>K74*L74</f>
        <v>198.6256030157111</v>
      </c>
      <c r="N74" s="32"/>
      <c r="O74" s="31" t="s">
        <v>89</v>
      </c>
    </row>
    <row r="75" spans="1:15" ht="13.5" thickBot="1">
      <c r="A75" s="154"/>
      <c r="B75" s="154"/>
      <c r="C75" s="28"/>
      <c r="D75" s="28"/>
      <c r="E75" s="28"/>
      <c r="F75" s="35"/>
      <c r="G75" s="35"/>
      <c r="H75" s="34"/>
      <c r="I75" s="28"/>
      <c r="J75" s="28"/>
      <c r="K75" s="28"/>
      <c r="L75" s="28"/>
      <c r="M75" s="28"/>
      <c r="N75" s="168">
        <f>SUM(M60:M74)</f>
        <v>257.2061115361491</v>
      </c>
      <c r="O75" s="31" t="s">
        <v>89</v>
      </c>
    </row>
    <row r="76" spans="1:15" ht="12.75">
      <c r="A76" s="169"/>
      <c r="B76" s="169"/>
      <c r="C76" s="170"/>
      <c r="D76" s="170"/>
      <c r="E76" s="170"/>
      <c r="F76" s="171"/>
      <c r="G76" s="171"/>
      <c r="H76" s="172"/>
      <c r="I76" s="171"/>
      <c r="J76" s="171"/>
      <c r="K76" s="171"/>
      <c r="L76" s="175"/>
      <c r="M76" s="174"/>
      <c r="N76" s="174"/>
      <c r="O76" s="170"/>
    </row>
    <row r="77" spans="1:15" ht="12.75">
      <c r="A77" s="28"/>
      <c r="B77" s="28"/>
      <c r="C77" s="28"/>
      <c r="D77" s="28"/>
      <c r="E77" s="28"/>
      <c r="F77" s="32"/>
      <c r="G77" s="33"/>
      <c r="H77" s="34"/>
      <c r="I77" s="35"/>
      <c r="J77" s="35"/>
      <c r="K77" s="35"/>
      <c r="L77" s="32"/>
      <c r="M77" s="32"/>
      <c r="N77" s="32"/>
      <c r="O77" s="28"/>
    </row>
    <row r="78" spans="1:15" ht="12.75">
      <c r="A78" s="36"/>
      <c r="B78" s="36"/>
      <c r="C78" s="36"/>
      <c r="D78" s="36"/>
      <c r="E78" s="36"/>
      <c r="F78" s="167"/>
      <c r="G78" s="222"/>
      <c r="H78" s="223"/>
      <c r="I78" s="220"/>
      <c r="J78" s="220"/>
      <c r="K78" s="220"/>
      <c r="L78" s="176"/>
      <c r="M78" s="176"/>
      <c r="N78" s="32"/>
      <c r="O78" s="28"/>
    </row>
    <row r="79" spans="1:12" ht="12.75">
      <c r="A79" s="75"/>
      <c r="D79" s="37"/>
      <c r="E79" s="38"/>
      <c r="F79" s="38"/>
      <c r="G79" s="38"/>
      <c r="H79" s="226"/>
      <c r="I79" s="46" t="s">
        <v>488</v>
      </c>
      <c r="J79" s="38"/>
      <c r="K79" s="38"/>
      <c r="L79" s="28"/>
    </row>
    <row r="80" spans="1:12" ht="12.75">
      <c r="A80" s="271"/>
      <c r="D80" s="45"/>
      <c r="E80" s="63"/>
      <c r="F80" s="45"/>
      <c r="G80" s="45"/>
      <c r="H80" s="185"/>
      <c r="I80" s="46" t="s">
        <v>489</v>
      </c>
      <c r="J80" s="46" t="s">
        <v>119</v>
      </c>
      <c r="K80" s="61"/>
      <c r="L80" s="28"/>
    </row>
    <row r="81" spans="1:12" ht="12.75">
      <c r="A81" s="76" t="s">
        <v>203</v>
      </c>
      <c r="B81" s="87"/>
      <c r="C81" s="87"/>
      <c r="D81" s="40"/>
      <c r="E81" s="41" t="s">
        <v>192</v>
      </c>
      <c r="F81" s="42" t="s">
        <v>193</v>
      </c>
      <c r="G81" s="42"/>
      <c r="H81" s="189"/>
      <c r="I81" s="42" t="s">
        <v>194</v>
      </c>
      <c r="J81" s="269" t="s">
        <v>551</v>
      </c>
      <c r="K81" s="182"/>
      <c r="L81" s="28"/>
    </row>
    <row r="82" spans="1:12" ht="12.75">
      <c r="A82" s="78" t="s">
        <v>196</v>
      </c>
      <c r="B82" s="192"/>
      <c r="C82" s="192"/>
      <c r="D82" s="40"/>
      <c r="E82" s="44"/>
      <c r="F82" s="65"/>
      <c r="G82" s="47"/>
      <c r="I82" s="67"/>
      <c r="J82" s="44"/>
      <c r="K82" s="63"/>
      <c r="L82" s="28"/>
    </row>
    <row r="83" spans="1:12" ht="12.75">
      <c r="A83" s="58" t="s">
        <v>204</v>
      </c>
      <c r="B83" s="192"/>
      <c r="C83" s="192"/>
      <c r="D83" s="40"/>
      <c r="E83" s="51"/>
      <c r="F83" s="68"/>
      <c r="G83" s="53"/>
      <c r="I83" s="67"/>
      <c r="J83" s="44"/>
      <c r="K83" s="63"/>
      <c r="L83" s="28"/>
    </row>
    <row r="84" spans="1:12" ht="12.75">
      <c r="A84" s="77" t="s">
        <v>197</v>
      </c>
      <c r="D84" s="37"/>
      <c r="E84" s="44">
        <f>N19</f>
        <v>166.1357785028056</v>
      </c>
      <c r="F84" s="65">
        <f>F98+F99</f>
        <v>0.6065468357459026</v>
      </c>
      <c r="G84" s="47">
        <f>E84*F84</f>
        <v>100.7691307550589</v>
      </c>
      <c r="I84" s="67"/>
      <c r="J84" s="44"/>
      <c r="K84" s="63"/>
      <c r="L84" s="28"/>
    </row>
    <row r="85" spans="1:12" ht="12.75">
      <c r="A85" s="77" t="s">
        <v>198</v>
      </c>
      <c r="D85" s="45"/>
      <c r="E85" s="44">
        <f>N36</f>
        <v>166.1357785028056</v>
      </c>
      <c r="F85" s="65">
        <f>F100</f>
        <v>0.035381026438569205</v>
      </c>
      <c r="G85" s="47">
        <f>E85*F85</f>
        <v>5.878054371600043</v>
      </c>
      <c r="I85" s="63"/>
      <c r="J85" s="44"/>
      <c r="K85" s="63"/>
      <c r="L85" s="28"/>
    </row>
    <row r="86" spans="1:12" ht="12.75">
      <c r="A86" s="79" t="s">
        <v>199</v>
      </c>
      <c r="D86" s="45"/>
      <c r="E86" s="44">
        <f>N53</f>
        <v>177.1357785028056</v>
      </c>
      <c r="F86" s="65">
        <f>F101</f>
        <v>0.0013907165928938867</v>
      </c>
      <c r="G86" s="47">
        <f>E86*F86</f>
        <v>0.246345666359028</v>
      </c>
      <c r="I86" s="44"/>
      <c r="J86" s="44"/>
      <c r="K86" s="63"/>
      <c r="L86" s="28"/>
    </row>
    <row r="87" spans="1:12" ht="12.75">
      <c r="A87" s="50" t="s">
        <v>200</v>
      </c>
      <c r="B87" s="87"/>
      <c r="C87" s="87"/>
      <c r="D87" s="40"/>
      <c r="E87" s="51">
        <f>N75</f>
        <v>257.2061115361491</v>
      </c>
      <c r="F87" s="68">
        <f>F102</f>
        <v>0.3566814212226343</v>
      </c>
      <c r="G87" s="53">
        <f>E87*F87</f>
        <v>91.74064140986106</v>
      </c>
      <c r="H87" s="189"/>
      <c r="I87" s="51"/>
      <c r="J87" s="51"/>
      <c r="K87" s="61"/>
      <c r="L87" s="28"/>
    </row>
    <row r="88" spans="1:12" ht="12.75">
      <c r="A88" s="69"/>
      <c r="B88" s="192"/>
      <c r="C88" s="192"/>
      <c r="D88" s="43" t="s">
        <v>206</v>
      </c>
      <c r="E88" s="70"/>
      <c r="F88" s="70"/>
      <c r="G88" s="72">
        <f>SUM(G84:G87)</f>
        <v>198.63417220287903</v>
      </c>
      <c r="H88" s="189"/>
      <c r="I88" s="73">
        <f>G107</f>
        <v>1.5086666666666666</v>
      </c>
      <c r="J88" s="224">
        <f>G88*I88</f>
        <v>299.6727544634102</v>
      </c>
      <c r="K88" s="74" t="s">
        <v>89</v>
      </c>
      <c r="L88" s="28"/>
    </row>
    <row r="89" spans="1:12" ht="12.75">
      <c r="A89" s="28"/>
      <c r="B89" s="28"/>
      <c r="C89" s="155"/>
      <c r="D89" s="28"/>
      <c r="E89" s="29"/>
      <c r="F89" s="155"/>
      <c r="G89" s="155"/>
      <c r="H89" s="155"/>
      <c r="I89" s="28"/>
      <c r="J89" s="28"/>
      <c r="K89" s="28"/>
      <c r="L89" s="28"/>
    </row>
    <row r="90" spans="2:12" ht="12.75">
      <c r="B90" s="28"/>
      <c r="C90" s="155"/>
      <c r="D90" s="28"/>
      <c r="E90" s="29"/>
      <c r="F90" s="155"/>
      <c r="G90" s="155"/>
      <c r="H90" s="155"/>
      <c r="I90" s="28"/>
      <c r="J90" s="28"/>
      <c r="K90" s="28"/>
      <c r="L90" s="28"/>
    </row>
    <row r="91" spans="2:12" ht="12.75">
      <c r="B91" s="28"/>
      <c r="C91" s="155"/>
      <c r="D91" s="28"/>
      <c r="E91" s="29"/>
      <c r="F91" s="155"/>
      <c r="G91" s="155"/>
      <c r="H91" s="155"/>
      <c r="I91" s="28"/>
      <c r="J91" s="28"/>
      <c r="K91" s="28"/>
      <c r="L91" s="28"/>
    </row>
    <row r="92" spans="5:12" ht="12.75">
      <c r="E92" s="29"/>
      <c r="F92" s="155"/>
      <c r="G92" s="155"/>
      <c r="H92" s="155"/>
      <c r="I92" s="28"/>
      <c r="J92" s="28"/>
      <c r="K92" s="28"/>
      <c r="L92" s="28"/>
    </row>
    <row r="93" spans="8:12" ht="12.75">
      <c r="H93" s="28"/>
      <c r="I93" s="28"/>
      <c r="J93" s="28"/>
      <c r="K93" s="28"/>
      <c r="L93" s="28"/>
    </row>
    <row r="94" spans="8:12" ht="12.75">
      <c r="H94" s="28"/>
      <c r="I94" s="28"/>
      <c r="J94" s="28"/>
      <c r="K94" s="28"/>
      <c r="L94" s="28"/>
    </row>
    <row r="95" spans="1:12" ht="12.75">
      <c r="A95" s="87"/>
      <c r="B95" s="87"/>
      <c r="C95" s="87"/>
      <c r="D95" s="87"/>
      <c r="H95" s="28"/>
      <c r="I95" s="28"/>
      <c r="J95" s="28"/>
      <c r="K95" s="28"/>
      <c r="L95" s="28"/>
    </row>
    <row r="96" spans="1:12" ht="12.75">
      <c r="A96" s="181" t="s">
        <v>282</v>
      </c>
      <c r="B96" s="89"/>
      <c r="C96" s="189"/>
      <c r="D96" s="189"/>
      <c r="E96" s="71"/>
      <c r="F96" s="70"/>
      <c r="G96" s="43"/>
      <c r="J96" s="28"/>
      <c r="K96" s="28"/>
      <c r="L96" s="28"/>
    </row>
    <row r="97" spans="1:12" ht="12.75">
      <c r="A97" s="69" t="s">
        <v>204</v>
      </c>
      <c r="B97" s="192"/>
      <c r="C97" s="225"/>
      <c r="D97" s="225" t="s">
        <v>115</v>
      </c>
      <c r="E97" s="184" t="s">
        <v>220</v>
      </c>
      <c r="F97" s="182"/>
      <c r="G97" s="43"/>
      <c r="J97" s="28"/>
      <c r="K97" s="28"/>
      <c r="L97" s="28"/>
    </row>
    <row r="98" spans="1:12" ht="12.75">
      <c r="A98" s="270" t="s">
        <v>253</v>
      </c>
      <c r="C98" s="13"/>
      <c r="D98" s="13" t="s">
        <v>254</v>
      </c>
      <c r="E98" s="185">
        <f>'CRIS Billed'!I10</f>
        <v>6771</v>
      </c>
      <c r="F98" s="186">
        <f>E98/E103</f>
        <v>0.10125314032779041</v>
      </c>
      <c r="G98" s="45"/>
      <c r="J98" s="28"/>
      <c r="K98" s="28"/>
      <c r="L98" s="28"/>
    </row>
    <row r="99" spans="1:12" ht="12.75">
      <c r="A99" s="270" t="s">
        <v>255</v>
      </c>
      <c r="C99" s="13"/>
      <c r="D99" s="13" t="s">
        <v>256</v>
      </c>
      <c r="E99" s="185">
        <f>'CRIS Billed'!I6</f>
        <v>33790</v>
      </c>
      <c r="F99" s="187">
        <f>E99/E103</f>
        <v>0.5052936954181122</v>
      </c>
      <c r="G99" s="45"/>
      <c r="J99" s="155"/>
      <c r="K99" s="177"/>
      <c r="L99" s="28"/>
    </row>
    <row r="100" spans="1:12" ht="12.75">
      <c r="A100" s="270" t="s">
        <v>258</v>
      </c>
      <c r="C100" s="13"/>
      <c r="D100" s="13" t="s">
        <v>259</v>
      </c>
      <c r="E100" s="185">
        <f>'CRIS Billed'!I8</f>
        <v>2366</v>
      </c>
      <c r="F100" s="187">
        <f>E100/E103</f>
        <v>0.035381026438569205</v>
      </c>
      <c r="G100" s="45"/>
      <c r="H100" s="11"/>
      <c r="I100" s="188" t="s">
        <v>257</v>
      </c>
      <c r="J100" s="210"/>
      <c r="K100" s="210"/>
      <c r="L100" s="194"/>
    </row>
    <row r="101" spans="1:12" ht="12.75">
      <c r="A101" s="270" t="s">
        <v>283</v>
      </c>
      <c r="C101" s="13"/>
      <c r="D101" s="13" t="s">
        <v>284</v>
      </c>
      <c r="E101" s="185">
        <f>'CRIS Billed'!I1</f>
        <v>93</v>
      </c>
      <c r="F101" s="187">
        <f>E101/E103</f>
        <v>0.0013907165928938867</v>
      </c>
      <c r="G101" s="45"/>
      <c r="H101" s="28"/>
      <c r="I101" s="188" t="s">
        <v>260</v>
      </c>
      <c r="J101" s="210"/>
      <c r="K101" s="211"/>
      <c r="L101" s="177"/>
    </row>
    <row r="102" spans="1:12" ht="13.5" thickBot="1">
      <c r="A102" s="76" t="s">
        <v>261</v>
      </c>
      <c r="B102" s="87"/>
      <c r="C102" s="89"/>
      <c r="D102" s="89" t="s">
        <v>262</v>
      </c>
      <c r="E102" s="227">
        <f>'CRIS Billed'!I5</f>
        <v>23852</v>
      </c>
      <c r="F102" s="191">
        <f>E102/E103</f>
        <v>0.3566814212226343</v>
      </c>
      <c r="G102" s="45"/>
      <c r="H102" s="28"/>
      <c r="I102" s="188" t="s">
        <v>263</v>
      </c>
      <c r="J102" s="210"/>
      <c r="K102" s="176"/>
      <c r="L102" s="177"/>
    </row>
    <row r="103" spans="1:12" ht="13.5" thickTop="1">
      <c r="A103" s="76"/>
      <c r="D103" s="89"/>
      <c r="E103" s="189">
        <v>66872</v>
      </c>
      <c r="F103" s="228">
        <v>1</v>
      </c>
      <c r="G103" s="40"/>
      <c r="H103" s="28"/>
      <c r="I103" s="188" t="s">
        <v>264</v>
      </c>
      <c r="J103" s="210"/>
      <c r="K103" s="177"/>
      <c r="L103" s="177"/>
    </row>
    <row r="104" spans="1:12" ht="12.75">
      <c r="A104" s="36"/>
      <c r="B104" s="70"/>
      <c r="C104" s="70"/>
      <c r="D104" s="70"/>
      <c r="E104" s="70"/>
      <c r="F104" s="70"/>
      <c r="G104" s="70"/>
      <c r="I104" s="188" t="s">
        <v>265</v>
      </c>
      <c r="J104" s="210"/>
      <c r="K104" s="210"/>
      <c r="L104" s="194"/>
    </row>
    <row r="105" spans="2:12" ht="12.75">
      <c r="B105" s="229" t="s">
        <v>89</v>
      </c>
      <c r="C105" s="72"/>
      <c r="E105" s="63"/>
      <c r="F105" s="63" t="s">
        <v>136</v>
      </c>
      <c r="G105" s="28" t="s">
        <v>202</v>
      </c>
      <c r="I105" s="193" t="s">
        <v>266</v>
      </c>
      <c r="J105" s="28"/>
      <c r="K105" s="28"/>
      <c r="L105" s="28"/>
    </row>
    <row r="106" spans="2:12" ht="12.75">
      <c r="B106" s="58" t="s">
        <v>268</v>
      </c>
      <c r="C106" s="53"/>
      <c r="D106" s="76"/>
      <c r="E106" s="42" t="s">
        <v>269</v>
      </c>
      <c r="F106" s="41" t="s">
        <v>270</v>
      </c>
      <c r="G106" s="36" t="s">
        <v>205</v>
      </c>
      <c r="I106" s="188" t="s">
        <v>267</v>
      </c>
      <c r="J106" s="28"/>
      <c r="K106" s="28"/>
      <c r="L106" s="28"/>
    </row>
    <row r="107" spans="2:12" ht="12.75">
      <c r="B107" s="198" t="s">
        <v>272</v>
      </c>
      <c r="C107" s="72"/>
      <c r="D107" s="181"/>
      <c r="E107" s="199">
        <f>'Investment CALC  Low Side CH PE'!E144</f>
        <v>1.3578</v>
      </c>
      <c r="F107" s="200">
        <v>0.9</v>
      </c>
      <c r="G107" s="230">
        <f>E107/F107</f>
        <v>1.5086666666666666</v>
      </c>
      <c r="I107" s="188" t="s">
        <v>271</v>
      </c>
      <c r="J107" s="28"/>
      <c r="K107" s="28"/>
      <c r="L107" s="28"/>
    </row>
    <row r="108" spans="1:12" ht="12.75">
      <c r="A108" s="148"/>
      <c r="B108" s="203"/>
      <c r="C108" s="149"/>
      <c r="F108" s="28"/>
      <c r="G108" s="28"/>
      <c r="I108" s="188" t="s">
        <v>273</v>
      </c>
      <c r="J108" s="28"/>
      <c r="K108" s="28"/>
      <c r="L108" s="28"/>
    </row>
    <row r="109" spans="1:12" ht="12.75">
      <c r="A109" s="207"/>
      <c r="B109" s="208"/>
      <c r="C109" s="177"/>
      <c r="D109" s="28"/>
      <c r="E109" s="28"/>
      <c r="F109" s="28"/>
      <c r="G109" s="28"/>
      <c r="I109" s="204" t="s">
        <v>274</v>
      </c>
      <c r="J109" s="28"/>
      <c r="K109" s="28"/>
      <c r="L109" s="28"/>
    </row>
    <row r="110" spans="1:12" ht="12.75">
      <c r="A110" s="177"/>
      <c r="B110" s="177"/>
      <c r="C110" s="29"/>
      <c r="D110" s="29"/>
      <c r="E110" s="28"/>
      <c r="F110" s="231"/>
      <c r="G110" s="28"/>
      <c r="I110" s="204" t="s">
        <v>275</v>
      </c>
      <c r="J110" s="28"/>
      <c r="K110" s="28"/>
      <c r="L110" s="28"/>
    </row>
    <row r="111" spans="1:12" ht="12.75">
      <c r="A111" s="28"/>
      <c r="B111" s="177" t="s">
        <v>500</v>
      </c>
      <c r="C111" s="32"/>
      <c r="D111" s="28"/>
      <c r="E111" s="28"/>
      <c r="F111" s="28"/>
      <c r="G111" s="28"/>
      <c r="I111" s="188" t="s">
        <v>276</v>
      </c>
      <c r="J111" s="28"/>
      <c r="K111" s="28"/>
      <c r="L111" s="28"/>
    </row>
    <row r="112" spans="1:15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5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1:15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1:15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15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1:15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1:15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1:15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1:15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15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1:15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1:15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1:15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1:15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5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1:15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1:15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1:15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1:15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1:15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1:15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1:15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15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1:15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1:15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1:15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1:15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5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1:15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5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1:15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1:15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1:15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</sheetData>
  <printOptions/>
  <pageMargins left="0.5" right="0.25" top="1" bottom="0.5" header="0.5" footer="0.5"/>
  <pageSetup horizontalDpi="600" verticalDpi="600" orientation="landscape" r:id="rId1"/>
  <headerFooter alignWithMargins="0">
    <oddHeader>&amp;L&amp;F&amp;C&amp;A&amp;RPage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92"/>
  <sheetViews>
    <sheetView workbookViewId="0" topLeftCell="B64">
      <selection activeCell="H10" sqref="H10"/>
    </sheetView>
  </sheetViews>
  <sheetFormatPr defaultColWidth="9.140625" defaultRowHeight="12.75"/>
  <cols>
    <col min="4" max="4" width="10.7109375" style="0" customWidth="1"/>
    <col min="5" max="5" width="9.7109375" style="0" customWidth="1"/>
    <col min="6" max="6" width="12.7109375" style="0" customWidth="1"/>
    <col min="8" max="8" width="16.57421875" style="0" customWidth="1"/>
    <col min="9" max="9" width="11.28125" style="0" customWidth="1"/>
    <col min="10" max="10" width="10.140625" style="0" customWidth="1"/>
    <col min="11" max="11" width="11.28125" style="0" customWidth="1"/>
    <col min="12" max="12" width="10.28125" style="0" customWidth="1"/>
  </cols>
  <sheetData>
    <row r="1" ht="12.75">
      <c r="B1" s="232" t="s">
        <v>285</v>
      </c>
    </row>
    <row r="2" spans="2:12" ht="12.75">
      <c r="B2" s="322" t="s">
        <v>557</v>
      </c>
      <c r="C2" s="321"/>
      <c r="D2" s="327"/>
      <c r="E2" s="327"/>
      <c r="F2" s="321"/>
      <c r="G2" s="321"/>
      <c r="H2" s="321"/>
      <c r="I2" s="321"/>
      <c r="J2" s="321"/>
      <c r="K2" s="321"/>
      <c r="L2" s="321"/>
    </row>
    <row r="3" spans="1:12" ht="12.75">
      <c r="A3" s="232"/>
      <c r="C3" s="233" t="s">
        <v>210</v>
      </c>
      <c r="D3" s="233" t="s">
        <v>208</v>
      </c>
      <c r="E3" s="233" t="s">
        <v>208</v>
      </c>
      <c r="F3" s="233"/>
      <c r="G3" s="233"/>
      <c r="H3" s="234" t="s">
        <v>209</v>
      </c>
      <c r="I3" s="233"/>
      <c r="J3" s="235"/>
      <c r="K3" s="236"/>
      <c r="L3" s="233"/>
    </row>
    <row r="4" spans="1:12" ht="12.75">
      <c r="A4" s="237"/>
      <c r="B4" s="87"/>
      <c r="C4" s="238" t="s">
        <v>215</v>
      </c>
      <c r="D4" s="238" t="s">
        <v>211</v>
      </c>
      <c r="E4" s="238" t="s">
        <v>286</v>
      </c>
      <c r="F4" s="238" t="s">
        <v>287</v>
      </c>
      <c r="G4" s="238" t="s">
        <v>288</v>
      </c>
      <c r="H4" s="238" t="s">
        <v>218</v>
      </c>
      <c r="I4" s="239" t="s">
        <v>219</v>
      </c>
      <c r="J4" s="238" t="s">
        <v>554</v>
      </c>
      <c r="K4" s="238" t="s">
        <v>289</v>
      </c>
      <c r="L4" s="238" t="s">
        <v>290</v>
      </c>
    </row>
    <row r="5" spans="1:12" ht="12.75">
      <c r="A5" s="240" t="s">
        <v>197</v>
      </c>
      <c r="F5" s="241"/>
      <c r="G5" s="241"/>
      <c r="H5" s="241"/>
      <c r="I5" s="242"/>
      <c r="J5" s="243"/>
      <c r="K5" s="244"/>
      <c r="L5" s="245"/>
    </row>
    <row r="6" spans="1:12" ht="12.75">
      <c r="A6" s="232" t="s">
        <v>291</v>
      </c>
      <c r="C6" t="s">
        <v>226</v>
      </c>
      <c r="D6" t="s">
        <v>227</v>
      </c>
      <c r="F6" s="246" t="s">
        <v>292</v>
      </c>
      <c r="G6" s="246" t="s">
        <v>293</v>
      </c>
      <c r="H6" s="246" t="s">
        <v>229</v>
      </c>
      <c r="I6" s="246">
        <v>82</v>
      </c>
      <c r="J6" s="243">
        <v>1</v>
      </c>
      <c r="K6" s="244"/>
      <c r="L6" s="245" t="s">
        <v>54</v>
      </c>
    </row>
    <row r="7" spans="1:12" ht="12.75">
      <c r="A7" s="232"/>
      <c r="F7" s="246"/>
      <c r="G7" s="246"/>
      <c r="H7" s="246"/>
      <c r="I7" s="246"/>
      <c r="J7" s="243"/>
      <c r="K7" s="244"/>
      <c r="L7" s="245"/>
    </row>
    <row r="8" spans="1:12" ht="12.75">
      <c r="A8" s="232"/>
      <c r="E8" t="s">
        <v>230</v>
      </c>
      <c r="F8" s="246" t="s">
        <v>294</v>
      </c>
      <c r="G8" s="246" t="s">
        <v>293</v>
      </c>
      <c r="H8" s="246" t="s">
        <v>231</v>
      </c>
      <c r="I8" s="246">
        <v>133</v>
      </c>
      <c r="J8" s="243">
        <v>1</v>
      </c>
      <c r="K8" s="244">
        <f>I8*0.5</f>
        <v>66.5</v>
      </c>
      <c r="L8" s="245" t="s">
        <v>54</v>
      </c>
    </row>
    <row r="9" spans="1:12" ht="12.75">
      <c r="A9" s="232"/>
      <c r="E9" t="s">
        <v>230</v>
      </c>
      <c r="F9" s="246" t="s">
        <v>295</v>
      </c>
      <c r="G9" s="246" t="s">
        <v>296</v>
      </c>
      <c r="H9" s="246" t="s">
        <v>231</v>
      </c>
      <c r="I9" s="246">
        <v>114</v>
      </c>
      <c r="J9" s="243">
        <v>1</v>
      </c>
      <c r="K9" s="247">
        <f>I9*0.5</f>
        <v>57</v>
      </c>
      <c r="L9" s="245" t="s">
        <v>54</v>
      </c>
    </row>
    <row r="10" spans="6:11" ht="12.75">
      <c r="F10" s="246"/>
      <c r="G10" s="246"/>
      <c r="H10" s="248"/>
      <c r="I10" s="246"/>
      <c r="J10" s="243"/>
      <c r="K10" s="244">
        <f>(I8+I9)/2</f>
        <v>123.5</v>
      </c>
    </row>
    <row r="11" spans="1:12" ht="12.75">
      <c r="A11" s="232" t="s">
        <v>297</v>
      </c>
      <c r="C11" t="s">
        <v>226</v>
      </c>
      <c r="D11" t="s">
        <v>227</v>
      </c>
      <c r="F11" s="246" t="s">
        <v>292</v>
      </c>
      <c r="G11" s="246" t="s">
        <v>293</v>
      </c>
      <c r="H11" s="246" t="s">
        <v>229</v>
      </c>
      <c r="I11" s="246">
        <v>82</v>
      </c>
      <c r="J11" s="243">
        <v>1</v>
      </c>
      <c r="K11" s="244"/>
      <c r="L11" s="245" t="s">
        <v>54</v>
      </c>
    </row>
    <row r="12" spans="1:12" ht="12.75">
      <c r="A12" s="232"/>
      <c r="F12" s="246"/>
      <c r="G12" s="246"/>
      <c r="H12" s="246"/>
      <c r="I12" s="246"/>
      <c r="J12" s="243"/>
      <c r="K12" s="244"/>
      <c r="L12" s="245"/>
    </row>
    <row r="13" spans="1:12" ht="12.75">
      <c r="A13" s="232"/>
      <c r="E13" t="s">
        <v>232</v>
      </c>
      <c r="F13" s="246" t="s">
        <v>298</v>
      </c>
      <c r="G13" s="246" t="s">
        <v>296</v>
      </c>
      <c r="H13" s="246" t="s">
        <v>233</v>
      </c>
      <c r="I13" s="246">
        <v>71</v>
      </c>
      <c r="J13" s="243">
        <v>1</v>
      </c>
      <c r="K13" s="244">
        <f>I13*0.33</f>
        <v>23.43</v>
      </c>
      <c r="L13" s="245" t="s">
        <v>54</v>
      </c>
    </row>
    <row r="14" spans="1:12" ht="12.75">
      <c r="A14" s="232"/>
      <c r="E14" t="s">
        <v>232</v>
      </c>
      <c r="F14" s="246" t="s">
        <v>299</v>
      </c>
      <c r="G14" s="246" t="s">
        <v>293</v>
      </c>
      <c r="H14" s="246" t="s">
        <v>281</v>
      </c>
      <c r="I14" s="246">
        <v>112</v>
      </c>
      <c r="J14" s="243">
        <v>1</v>
      </c>
      <c r="K14" s="244">
        <f>I14*0.33</f>
        <v>36.96</v>
      </c>
      <c r="L14" s="245" t="s">
        <v>54</v>
      </c>
    </row>
    <row r="15" spans="1:12" ht="12.75">
      <c r="A15" s="232"/>
      <c r="E15" t="s">
        <v>232</v>
      </c>
      <c r="F15" s="246" t="s">
        <v>300</v>
      </c>
      <c r="G15" s="246" t="s">
        <v>293</v>
      </c>
      <c r="H15" s="246" t="s">
        <v>281</v>
      </c>
      <c r="I15" s="246">
        <v>74</v>
      </c>
      <c r="J15" s="243">
        <v>1</v>
      </c>
      <c r="K15" s="247">
        <f>I15*0.33</f>
        <v>24.42</v>
      </c>
      <c r="L15" s="245" t="s">
        <v>54</v>
      </c>
    </row>
    <row r="16" spans="1:12" ht="12.75">
      <c r="A16" s="232"/>
      <c r="F16" s="246"/>
      <c r="G16" s="246"/>
      <c r="H16" s="246"/>
      <c r="I16" s="246"/>
      <c r="J16" s="243"/>
      <c r="K16" s="244">
        <f>SUM(K13:K15)</f>
        <v>84.81</v>
      </c>
      <c r="L16" s="245"/>
    </row>
    <row r="17" spans="1:12" ht="12.75">
      <c r="A17" s="232" t="s">
        <v>301</v>
      </c>
      <c r="C17" t="s">
        <v>226</v>
      </c>
      <c r="D17" t="s">
        <v>227</v>
      </c>
      <c r="F17" s="246" t="s">
        <v>292</v>
      </c>
      <c r="G17" s="246" t="s">
        <v>293</v>
      </c>
      <c r="H17" s="246" t="s">
        <v>229</v>
      </c>
      <c r="I17" s="246">
        <v>82</v>
      </c>
      <c r="J17" s="243">
        <v>1</v>
      </c>
      <c r="K17" s="244"/>
      <c r="L17" s="245" t="s">
        <v>54</v>
      </c>
    </row>
    <row r="18" spans="1:12" ht="12.75">
      <c r="A18" s="232"/>
      <c r="F18" s="246"/>
      <c r="G18" s="246"/>
      <c r="H18" s="246"/>
      <c r="I18" s="246"/>
      <c r="J18" s="243"/>
      <c r="K18" s="244"/>
      <c r="L18" s="245"/>
    </row>
    <row r="19" spans="1:12" ht="12.75">
      <c r="A19" s="240" t="s">
        <v>198</v>
      </c>
      <c r="F19" s="246"/>
      <c r="G19" s="246"/>
      <c r="H19" s="248"/>
      <c r="I19" s="246"/>
      <c r="J19" s="243"/>
      <c r="K19" s="249"/>
      <c r="L19" s="245"/>
    </row>
    <row r="20" spans="1:12" ht="12.75">
      <c r="A20" s="232" t="s">
        <v>302</v>
      </c>
      <c r="C20" t="s">
        <v>242</v>
      </c>
      <c r="D20" t="s">
        <v>243</v>
      </c>
      <c r="F20" s="246" t="s">
        <v>292</v>
      </c>
      <c r="G20" s="246" t="s">
        <v>293</v>
      </c>
      <c r="H20" s="246" t="s">
        <v>229</v>
      </c>
      <c r="I20" s="246">
        <v>82</v>
      </c>
      <c r="J20" s="243">
        <v>1</v>
      </c>
      <c r="K20" s="244"/>
      <c r="L20" s="245" t="s">
        <v>54</v>
      </c>
    </row>
    <row r="21" spans="1:12" ht="12.75">
      <c r="A21" s="232"/>
      <c r="F21" s="246"/>
      <c r="G21" s="246"/>
      <c r="H21" s="246"/>
      <c r="I21" s="246"/>
      <c r="J21" s="243"/>
      <c r="K21" s="244"/>
      <c r="L21" s="245"/>
    </row>
    <row r="22" spans="1:12" ht="12.75">
      <c r="A22" s="232"/>
      <c r="E22" t="s">
        <v>244</v>
      </c>
      <c r="F22" s="246" t="s">
        <v>294</v>
      </c>
      <c r="G22" s="246" t="s">
        <v>293</v>
      </c>
      <c r="H22" s="246" t="s">
        <v>231</v>
      </c>
      <c r="I22" s="246">
        <v>133</v>
      </c>
      <c r="J22" s="243">
        <v>1</v>
      </c>
      <c r="K22" s="244">
        <f>I22*0.5</f>
        <v>66.5</v>
      </c>
      <c r="L22" s="245" t="s">
        <v>54</v>
      </c>
    </row>
    <row r="23" spans="1:12" ht="12.75">
      <c r="A23" s="232"/>
      <c r="E23" t="s">
        <v>244</v>
      </c>
      <c r="F23" s="246" t="s">
        <v>295</v>
      </c>
      <c r="G23" s="246" t="s">
        <v>296</v>
      </c>
      <c r="H23" s="246" t="s">
        <v>231</v>
      </c>
      <c r="I23" s="246">
        <v>114</v>
      </c>
      <c r="J23" s="243">
        <v>1</v>
      </c>
      <c r="K23" s="247">
        <f>I23*0.5</f>
        <v>57</v>
      </c>
      <c r="L23" s="245" t="s">
        <v>54</v>
      </c>
    </row>
    <row r="24" spans="6:11" ht="12.75">
      <c r="F24" s="246"/>
      <c r="G24" s="246"/>
      <c r="H24" s="248"/>
      <c r="I24" s="246"/>
      <c r="J24" s="243"/>
      <c r="K24" s="244">
        <f>(I22+I23)/2</f>
        <v>123.5</v>
      </c>
    </row>
    <row r="25" spans="1:12" ht="12.75">
      <c r="A25" s="232" t="s">
        <v>303</v>
      </c>
      <c r="C25" t="s">
        <v>242</v>
      </c>
      <c r="D25" t="s">
        <v>243</v>
      </c>
      <c r="F25" s="246" t="s">
        <v>292</v>
      </c>
      <c r="G25" s="246" t="s">
        <v>293</v>
      </c>
      <c r="H25" s="246" t="s">
        <v>229</v>
      </c>
      <c r="I25" s="246">
        <v>82</v>
      </c>
      <c r="J25" s="243">
        <v>1</v>
      </c>
      <c r="K25" s="244"/>
      <c r="L25" s="245" t="s">
        <v>54</v>
      </c>
    </row>
    <row r="26" spans="1:12" ht="12.75">
      <c r="A26" s="232"/>
      <c r="F26" s="246"/>
      <c r="G26" s="246"/>
      <c r="H26" s="246"/>
      <c r="I26" s="246"/>
      <c r="J26" s="243"/>
      <c r="K26" s="244"/>
      <c r="L26" s="245"/>
    </row>
    <row r="27" spans="1:12" ht="12.75">
      <c r="A27" s="232"/>
      <c r="E27" t="s">
        <v>245</v>
      </c>
      <c r="F27" s="246" t="s">
        <v>298</v>
      </c>
      <c r="G27" s="246" t="s">
        <v>296</v>
      </c>
      <c r="H27" s="246" t="s">
        <v>233</v>
      </c>
      <c r="I27" s="246">
        <v>71</v>
      </c>
      <c r="J27" s="243">
        <v>1</v>
      </c>
      <c r="K27" s="244">
        <f>I27*0.33</f>
        <v>23.43</v>
      </c>
      <c r="L27" s="245" t="s">
        <v>54</v>
      </c>
    </row>
    <row r="28" spans="1:12" ht="12.75">
      <c r="A28" s="232"/>
      <c r="E28" t="s">
        <v>245</v>
      </c>
      <c r="F28" s="246" t="s">
        <v>299</v>
      </c>
      <c r="G28" s="246" t="s">
        <v>293</v>
      </c>
      <c r="H28" s="246" t="s">
        <v>281</v>
      </c>
      <c r="I28" s="246">
        <v>112</v>
      </c>
      <c r="J28" s="243">
        <v>1</v>
      </c>
      <c r="K28" s="244">
        <f>I28*0.33</f>
        <v>36.96</v>
      </c>
      <c r="L28" s="245" t="s">
        <v>54</v>
      </c>
    </row>
    <row r="29" spans="1:12" ht="12.75">
      <c r="A29" s="232"/>
      <c r="E29" t="s">
        <v>245</v>
      </c>
      <c r="F29" s="246" t="s">
        <v>300</v>
      </c>
      <c r="G29" s="246" t="s">
        <v>293</v>
      </c>
      <c r="H29" s="246" t="s">
        <v>281</v>
      </c>
      <c r="I29" s="246">
        <v>74</v>
      </c>
      <c r="J29" s="243">
        <v>1</v>
      </c>
      <c r="K29" s="247">
        <f>I29*0.33</f>
        <v>24.42</v>
      </c>
      <c r="L29" s="245" t="s">
        <v>54</v>
      </c>
    </row>
    <row r="30" spans="1:12" ht="12.75">
      <c r="A30" s="232"/>
      <c r="F30" s="246"/>
      <c r="G30" s="246"/>
      <c r="H30" s="246"/>
      <c r="I30" s="246"/>
      <c r="J30" s="243"/>
      <c r="K30" s="244">
        <f>SUM(K27:K29)</f>
        <v>84.81</v>
      </c>
      <c r="L30" s="245"/>
    </row>
    <row r="31" spans="1:12" ht="12.75">
      <c r="A31" s="232"/>
      <c r="F31" s="246"/>
      <c r="G31" s="246"/>
      <c r="H31" s="246"/>
      <c r="I31" s="246"/>
      <c r="J31" s="243"/>
      <c r="K31" s="244"/>
      <c r="L31" s="245"/>
    </row>
    <row r="32" spans="1:12" ht="12.75">
      <c r="A32" s="232" t="s">
        <v>304</v>
      </c>
      <c r="C32" t="s">
        <v>242</v>
      </c>
      <c r="D32" t="s">
        <v>243</v>
      </c>
      <c r="F32" s="246" t="s">
        <v>292</v>
      </c>
      <c r="G32" s="246" t="s">
        <v>293</v>
      </c>
      <c r="H32" s="246" t="s">
        <v>229</v>
      </c>
      <c r="I32" s="246">
        <v>82</v>
      </c>
      <c r="J32" s="243">
        <v>1</v>
      </c>
      <c r="K32" s="244"/>
      <c r="L32" s="245" t="s">
        <v>54</v>
      </c>
    </row>
    <row r="33" spans="1:12" ht="12.75">
      <c r="A33" s="232"/>
      <c r="F33" s="246"/>
      <c r="G33" s="246"/>
      <c r="H33" s="246"/>
      <c r="I33" s="246"/>
      <c r="J33" s="243"/>
      <c r="K33" s="244"/>
      <c r="L33" s="245"/>
    </row>
    <row r="34" spans="1:12" ht="12.75">
      <c r="A34" s="232" t="s">
        <v>305</v>
      </c>
      <c r="D34" t="s">
        <v>280</v>
      </c>
      <c r="F34" s="246" t="s">
        <v>299</v>
      </c>
      <c r="G34" s="246" t="s">
        <v>293</v>
      </c>
      <c r="H34" s="246" t="s">
        <v>281</v>
      </c>
      <c r="I34" s="246">
        <v>112</v>
      </c>
      <c r="J34" s="243">
        <v>1</v>
      </c>
      <c r="K34" s="244">
        <f>I34*0.5</f>
        <v>56</v>
      </c>
      <c r="L34" s="245" t="s">
        <v>54</v>
      </c>
    </row>
    <row r="35" spans="4:12" ht="12.75">
      <c r="D35" t="s">
        <v>280</v>
      </c>
      <c r="F35" s="246" t="s">
        <v>300</v>
      </c>
      <c r="G35" s="246" t="s">
        <v>293</v>
      </c>
      <c r="H35" s="246" t="s">
        <v>281</v>
      </c>
      <c r="I35" s="246">
        <v>74</v>
      </c>
      <c r="J35" s="243">
        <v>1</v>
      </c>
      <c r="K35" s="247">
        <f>I35*0.5</f>
        <v>37</v>
      </c>
      <c r="L35" s="245" t="s">
        <v>54</v>
      </c>
    </row>
    <row r="36" spans="6:12" ht="12.75">
      <c r="F36" s="246"/>
      <c r="G36" s="246"/>
      <c r="H36" s="246"/>
      <c r="I36" s="246"/>
      <c r="J36" s="243"/>
      <c r="K36" s="244">
        <f>(I34+I35)/2</f>
        <v>93</v>
      </c>
      <c r="L36" s="245"/>
    </row>
    <row r="37" spans="6:12" ht="12.75">
      <c r="F37" s="246"/>
      <c r="G37" s="246"/>
      <c r="H37" s="246"/>
      <c r="I37" s="246"/>
      <c r="J37" s="243"/>
      <c r="K37" s="244"/>
      <c r="L37" s="245"/>
    </row>
    <row r="38" spans="1:12" ht="12.75">
      <c r="A38" s="232" t="s">
        <v>306</v>
      </c>
      <c r="C38" t="s">
        <v>246</v>
      </c>
      <c r="D38" t="s">
        <v>247</v>
      </c>
      <c r="F38" s="246" t="s">
        <v>307</v>
      </c>
      <c r="G38" s="246" t="s">
        <v>293</v>
      </c>
      <c r="H38" s="246" t="s">
        <v>308</v>
      </c>
      <c r="I38" s="246">
        <v>140</v>
      </c>
      <c r="J38" s="243">
        <v>1</v>
      </c>
      <c r="K38" s="244">
        <f>I38*0.33</f>
        <v>46.2</v>
      </c>
      <c r="L38" s="245" t="s">
        <v>54</v>
      </c>
    </row>
    <row r="39" spans="1:12" ht="12.75">
      <c r="A39" s="232"/>
      <c r="D39" t="s">
        <v>247</v>
      </c>
      <c r="F39" s="246" t="s">
        <v>309</v>
      </c>
      <c r="G39" s="246" t="s">
        <v>296</v>
      </c>
      <c r="H39" s="246" t="s">
        <v>248</v>
      </c>
      <c r="I39" s="246">
        <v>79</v>
      </c>
      <c r="J39" s="243">
        <v>1</v>
      </c>
      <c r="K39" s="244">
        <f>I39*0.33</f>
        <v>26.07</v>
      </c>
      <c r="L39" s="245" t="s">
        <v>54</v>
      </c>
    </row>
    <row r="40" spans="1:12" ht="12.75">
      <c r="A40" s="232"/>
      <c r="D40" t="s">
        <v>247</v>
      </c>
      <c r="F40" s="246" t="s">
        <v>310</v>
      </c>
      <c r="G40" s="246" t="s">
        <v>296</v>
      </c>
      <c r="H40" s="246" t="s">
        <v>311</v>
      </c>
      <c r="I40" s="246">
        <v>123</v>
      </c>
      <c r="J40" s="243">
        <v>1</v>
      </c>
      <c r="K40" s="247">
        <f>I40*0.33</f>
        <v>40.59</v>
      </c>
      <c r="L40" s="245" t="s">
        <v>54</v>
      </c>
    </row>
    <row r="41" spans="1:12" ht="12.75">
      <c r="A41" s="232"/>
      <c r="F41" s="246"/>
      <c r="G41" s="246"/>
      <c r="H41" s="246"/>
      <c r="I41" s="246"/>
      <c r="J41" s="243"/>
      <c r="K41" s="244">
        <f>SUM(K38:K40)</f>
        <v>112.86000000000001</v>
      </c>
      <c r="L41" s="245"/>
    </row>
    <row r="42" spans="1:12" ht="12.75">
      <c r="A42" s="232"/>
      <c r="F42" s="246"/>
      <c r="G42" s="246"/>
      <c r="H42" s="246"/>
      <c r="I42" s="246"/>
      <c r="J42" s="243"/>
      <c r="K42" s="244"/>
      <c r="L42" s="245"/>
    </row>
    <row r="43" spans="1:12" ht="12.75">
      <c r="A43" s="232"/>
      <c r="E43" t="s">
        <v>249</v>
      </c>
      <c r="F43" s="246" t="s">
        <v>312</v>
      </c>
      <c r="G43" s="246" t="s">
        <v>293</v>
      </c>
      <c r="H43" s="246" t="s">
        <v>250</v>
      </c>
      <c r="I43" s="246">
        <v>85.5</v>
      </c>
      <c r="J43" s="243">
        <v>1</v>
      </c>
      <c r="K43" s="244">
        <f>I43*0.33</f>
        <v>28.215</v>
      </c>
      <c r="L43" s="245" t="s">
        <v>54</v>
      </c>
    </row>
    <row r="44" spans="1:12" ht="12.75">
      <c r="A44" s="232"/>
      <c r="E44" t="s">
        <v>249</v>
      </c>
      <c r="F44" s="246" t="s">
        <v>313</v>
      </c>
      <c r="G44" s="246" t="s">
        <v>296</v>
      </c>
      <c r="H44" s="246" t="s">
        <v>314</v>
      </c>
      <c r="I44" s="246">
        <v>93</v>
      </c>
      <c r="J44" s="243">
        <v>1</v>
      </c>
      <c r="K44" s="244">
        <f>I44*0.33</f>
        <v>30.69</v>
      </c>
      <c r="L44" s="245" t="s">
        <v>54</v>
      </c>
    </row>
    <row r="45" spans="1:12" ht="12.75">
      <c r="A45" s="232"/>
      <c r="E45" t="s">
        <v>249</v>
      </c>
      <c r="F45" s="246" t="s">
        <v>315</v>
      </c>
      <c r="G45" s="246" t="s">
        <v>296</v>
      </c>
      <c r="H45" s="246" t="s">
        <v>250</v>
      </c>
      <c r="I45" s="246">
        <v>71</v>
      </c>
      <c r="J45" s="243">
        <v>1</v>
      </c>
      <c r="K45" s="247">
        <f>I45*0.33</f>
        <v>23.43</v>
      </c>
      <c r="L45" s="245" t="s">
        <v>54</v>
      </c>
    </row>
    <row r="46" spans="6:11" ht="12.75">
      <c r="F46" s="246"/>
      <c r="G46" s="246"/>
      <c r="H46" s="248"/>
      <c r="I46" s="246"/>
      <c r="J46" s="243"/>
      <c r="K46" s="244">
        <f>SUM(K43:K45)</f>
        <v>82.33500000000001</v>
      </c>
    </row>
    <row r="47" spans="6:11" ht="12.75">
      <c r="F47" s="246"/>
      <c r="G47" s="246"/>
      <c r="H47" s="248"/>
      <c r="I47" s="246"/>
      <c r="J47" s="243"/>
      <c r="K47" s="244"/>
    </row>
    <row r="48" spans="1:12" ht="12.75">
      <c r="A48" s="232" t="s">
        <v>316</v>
      </c>
      <c r="C48" t="s">
        <v>246</v>
      </c>
      <c r="D48" t="s">
        <v>247</v>
      </c>
      <c r="F48" s="246" t="s">
        <v>307</v>
      </c>
      <c r="G48" s="246" t="s">
        <v>293</v>
      </c>
      <c r="H48" s="246" t="s">
        <v>308</v>
      </c>
      <c r="I48" s="246">
        <v>140</v>
      </c>
      <c r="J48" s="243">
        <v>1</v>
      </c>
      <c r="K48" s="244">
        <f>I48*0.33</f>
        <v>46.2</v>
      </c>
      <c r="L48" s="245" t="s">
        <v>54</v>
      </c>
    </row>
    <row r="49" spans="1:12" ht="12.75">
      <c r="A49" s="232"/>
      <c r="D49" t="s">
        <v>247</v>
      </c>
      <c r="F49" s="246" t="s">
        <v>309</v>
      </c>
      <c r="G49" s="246" t="s">
        <v>296</v>
      </c>
      <c r="H49" s="246" t="s">
        <v>248</v>
      </c>
      <c r="I49" s="246">
        <v>79</v>
      </c>
      <c r="J49" s="243">
        <v>1</v>
      </c>
      <c r="K49" s="244">
        <f>I49*0.33</f>
        <v>26.07</v>
      </c>
      <c r="L49" s="245" t="s">
        <v>54</v>
      </c>
    </row>
    <row r="50" spans="1:12" ht="12.75">
      <c r="A50" s="232"/>
      <c r="D50" t="s">
        <v>247</v>
      </c>
      <c r="F50" s="246" t="s">
        <v>310</v>
      </c>
      <c r="G50" s="246" t="s">
        <v>296</v>
      </c>
      <c r="H50" s="246" t="s">
        <v>311</v>
      </c>
      <c r="I50" s="246">
        <v>123</v>
      </c>
      <c r="J50" s="243">
        <v>1</v>
      </c>
      <c r="K50" s="247">
        <f>I50*0.33</f>
        <v>40.59</v>
      </c>
      <c r="L50" s="245" t="s">
        <v>54</v>
      </c>
    </row>
    <row r="51" spans="1:12" ht="12.75">
      <c r="A51" s="232"/>
      <c r="F51" s="246"/>
      <c r="G51" s="246"/>
      <c r="H51" s="246"/>
      <c r="I51" s="246"/>
      <c r="J51" s="243"/>
      <c r="K51" s="244">
        <f>SUM(K48:K50)</f>
        <v>112.86000000000001</v>
      </c>
      <c r="L51" s="245"/>
    </row>
    <row r="52" spans="1:12" ht="12.75">
      <c r="A52" s="232"/>
      <c r="F52" s="246"/>
      <c r="G52" s="246"/>
      <c r="H52" s="246"/>
      <c r="I52" s="246"/>
      <c r="J52" s="243"/>
      <c r="K52" s="244"/>
      <c r="L52" s="245"/>
    </row>
    <row r="53" spans="1:12" ht="12.75">
      <c r="A53" s="232"/>
      <c r="E53" t="s">
        <v>247</v>
      </c>
      <c r="F53" s="246" t="s">
        <v>307</v>
      </c>
      <c r="G53" s="246" t="s">
        <v>293</v>
      </c>
      <c r="H53" s="246" t="s">
        <v>308</v>
      </c>
      <c r="I53" s="246">
        <v>140</v>
      </c>
      <c r="J53" s="243">
        <v>1</v>
      </c>
      <c r="K53" s="244">
        <f>I53*0.33</f>
        <v>46.2</v>
      </c>
      <c r="L53" s="245" t="s">
        <v>54</v>
      </c>
    </row>
    <row r="54" spans="1:12" ht="12.75">
      <c r="A54" s="232"/>
      <c r="E54" t="s">
        <v>247</v>
      </c>
      <c r="F54" s="246" t="s">
        <v>309</v>
      </c>
      <c r="G54" s="246" t="s">
        <v>296</v>
      </c>
      <c r="H54" s="246" t="s">
        <v>248</v>
      </c>
      <c r="I54" s="246">
        <v>79</v>
      </c>
      <c r="J54" s="243">
        <v>1</v>
      </c>
      <c r="K54" s="244">
        <f>I54*0.33</f>
        <v>26.07</v>
      </c>
      <c r="L54" s="245" t="s">
        <v>54</v>
      </c>
    </row>
    <row r="55" spans="1:12" ht="12.75">
      <c r="A55" s="232"/>
      <c r="E55" t="s">
        <v>247</v>
      </c>
      <c r="F55" s="246" t="s">
        <v>310</v>
      </c>
      <c r="G55" s="246" t="s">
        <v>296</v>
      </c>
      <c r="H55" s="246" t="s">
        <v>311</v>
      </c>
      <c r="I55" s="246">
        <v>123</v>
      </c>
      <c r="J55" s="243">
        <v>1</v>
      </c>
      <c r="K55" s="247">
        <f>I55*0.33</f>
        <v>40.59</v>
      </c>
      <c r="L55" s="245" t="s">
        <v>54</v>
      </c>
    </row>
    <row r="56" spans="1:12" ht="12.75">
      <c r="A56" s="232"/>
      <c r="F56" s="250"/>
      <c r="G56" s="246"/>
      <c r="H56" s="246"/>
      <c r="I56" s="246"/>
      <c r="J56" s="251"/>
      <c r="K56" s="244">
        <f>SUM(K53:K55)</f>
        <v>112.86000000000001</v>
      </c>
      <c r="L56" s="244"/>
    </row>
    <row r="57" spans="1:12" ht="12.75">
      <c r="A57" s="232"/>
      <c r="F57" s="250"/>
      <c r="G57" s="246"/>
      <c r="H57" s="246"/>
      <c r="I57" s="246"/>
      <c r="J57" s="251"/>
      <c r="K57" s="244"/>
      <c r="L57" s="244"/>
    </row>
    <row r="58" spans="1:12" ht="12.75">
      <c r="A58" s="232" t="s">
        <v>317</v>
      </c>
      <c r="C58" t="s">
        <v>246</v>
      </c>
      <c r="D58" t="s">
        <v>249</v>
      </c>
      <c r="F58" s="246" t="s">
        <v>312</v>
      </c>
      <c r="G58" s="246" t="s">
        <v>293</v>
      </c>
      <c r="H58" s="246" t="s">
        <v>250</v>
      </c>
      <c r="I58" s="246">
        <v>85.5</v>
      </c>
      <c r="J58" s="243">
        <v>1</v>
      </c>
      <c r="K58" s="244">
        <f>I58*0.33</f>
        <v>28.215</v>
      </c>
      <c r="L58" s="245" t="s">
        <v>54</v>
      </c>
    </row>
    <row r="59" spans="1:12" ht="12.75">
      <c r="A59" s="232"/>
      <c r="D59" t="s">
        <v>249</v>
      </c>
      <c r="F59" s="246" t="s">
        <v>313</v>
      </c>
      <c r="G59" s="246" t="s">
        <v>296</v>
      </c>
      <c r="H59" s="246" t="s">
        <v>314</v>
      </c>
      <c r="I59" s="246">
        <v>93</v>
      </c>
      <c r="J59" s="243">
        <v>1</v>
      </c>
      <c r="K59" s="244">
        <f>I59*0.33</f>
        <v>30.69</v>
      </c>
      <c r="L59" s="245" t="s">
        <v>54</v>
      </c>
    </row>
    <row r="60" spans="1:12" ht="12.75">
      <c r="A60" s="232"/>
      <c r="D60" t="s">
        <v>249</v>
      </c>
      <c r="F60" s="246" t="s">
        <v>315</v>
      </c>
      <c r="G60" s="246" t="s">
        <v>296</v>
      </c>
      <c r="H60" s="246" t="s">
        <v>250</v>
      </c>
      <c r="I60" s="246">
        <v>71</v>
      </c>
      <c r="J60" s="243">
        <v>1</v>
      </c>
      <c r="K60" s="247">
        <f>I60*0.33</f>
        <v>23.43</v>
      </c>
      <c r="L60" s="245" t="s">
        <v>54</v>
      </c>
    </row>
    <row r="61" spans="1:12" ht="12.75">
      <c r="A61" s="232"/>
      <c r="F61" s="246"/>
      <c r="G61" s="246"/>
      <c r="H61" s="246"/>
      <c r="I61" s="246"/>
      <c r="J61" s="243"/>
      <c r="K61" s="244">
        <f>SUM(K58:K60)</f>
        <v>82.33500000000001</v>
      </c>
      <c r="L61" s="245"/>
    </row>
    <row r="62" spans="1:12" ht="12.75">
      <c r="A62" s="232"/>
      <c r="E62" t="s">
        <v>249</v>
      </c>
      <c r="F62" s="246" t="s">
        <v>312</v>
      </c>
      <c r="G62" s="246" t="s">
        <v>293</v>
      </c>
      <c r="H62" s="246" t="s">
        <v>250</v>
      </c>
      <c r="I62" s="246">
        <v>85.5</v>
      </c>
      <c r="J62" s="243">
        <v>1</v>
      </c>
      <c r="K62" s="244">
        <f>I62*0.33</f>
        <v>28.215</v>
      </c>
      <c r="L62" s="245" t="s">
        <v>54</v>
      </c>
    </row>
    <row r="63" spans="1:12" ht="12.75">
      <c r="A63" s="232"/>
      <c r="E63" t="s">
        <v>249</v>
      </c>
      <c r="F63" s="246" t="s">
        <v>313</v>
      </c>
      <c r="G63" s="246" t="s">
        <v>296</v>
      </c>
      <c r="H63" s="246" t="s">
        <v>314</v>
      </c>
      <c r="I63" s="246">
        <v>93</v>
      </c>
      <c r="J63" s="243">
        <v>1</v>
      </c>
      <c r="K63" s="244">
        <f>I63*0.33</f>
        <v>30.69</v>
      </c>
      <c r="L63" s="245" t="s">
        <v>54</v>
      </c>
    </row>
    <row r="64" spans="1:12" ht="12.75">
      <c r="A64" s="232"/>
      <c r="E64" t="s">
        <v>249</v>
      </c>
      <c r="F64" s="246" t="s">
        <v>315</v>
      </c>
      <c r="G64" s="246" t="s">
        <v>296</v>
      </c>
      <c r="H64" s="246" t="s">
        <v>250</v>
      </c>
      <c r="I64" s="246">
        <v>71</v>
      </c>
      <c r="J64" s="243">
        <v>1</v>
      </c>
      <c r="K64" s="247">
        <f>I64*0.33</f>
        <v>23.43</v>
      </c>
      <c r="L64" s="245" t="s">
        <v>54</v>
      </c>
    </row>
    <row r="65" spans="6:11" ht="12.75">
      <c r="F65" s="246"/>
      <c r="G65" s="246"/>
      <c r="H65" s="248"/>
      <c r="I65" s="246"/>
      <c r="J65" s="243"/>
      <c r="K65" s="244">
        <f>SUM(K62:K64)</f>
        <v>82.33500000000001</v>
      </c>
    </row>
    <row r="66" spans="6:11" ht="12.75">
      <c r="F66" s="246"/>
      <c r="G66" s="246"/>
      <c r="H66" s="248"/>
      <c r="I66" s="246"/>
      <c r="J66" s="243"/>
      <c r="K66" s="244"/>
    </row>
    <row r="67" spans="1:12" ht="12.75">
      <c r="A67" s="232" t="s">
        <v>318</v>
      </c>
      <c r="C67" t="s">
        <v>246</v>
      </c>
      <c r="D67" t="s">
        <v>247</v>
      </c>
      <c r="F67" s="246" t="s">
        <v>292</v>
      </c>
      <c r="G67" s="246" t="s">
        <v>293</v>
      </c>
      <c r="H67" s="246" t="s">
        <v>229</v>
      </c>
      <c r="I67" s="246">
        <v>82</v>
      </c>
      <c r="J67" s="243">
        <v>1</v>
      </c>
      <c r="K67" s="244">
        <f>I67*0.33</f>
        <v>27.060000000000002</v>
      </c>
      <c r="L67" s="245" t="s">
        <v>54</v>
      </c>
    </row>
    <row r="68" spans="1:12" ht="12.75">
      <c r="A68" s="232"/>
      <c r="D68" t="s">
        <v>247</v>
      </c>
      <c r="F68" s="246" t="s">
        <v>309</v>
      </c>
      <c r="G68" s="246" t="s">
        <v>296</v>
      </c>
      <c r="H68" s="246" t="s">
        <v>248</v>
      </c>
      <c r="I68" s="246">
        <v>79</v>
      </c>
      <c r="J68" s="243">
        <v>1</v>
      </c>
      <c r="K68" s="244">
        <f>I68*0.33</f>
        <v>26.07</v>
      </c>
      <c r="L68" s="245" t="s">
        <v>54</v>
      </c>
    </row>
    <row r="69" spans="1:12" ht="12.75">
      <c r="A69" s="232"/>
      <c r="D69" t="s">
        <v>247</v>
      </c>
      <c r="F69" s="246" t="s">
        <v>310</v>
      </c>
      <c r="G69" s="246" t="s">
        <v>296</v>
      </c>
      <c r="H69" s="246" t="s">
        <v>311</v>
      </c>
      <c r="I69" s="246">
        <v>123</v>
      </c>
      <c r="J69" s="243">
        <v>1</v>
      </c>
      <c r="K69" s="247">
        <f>I69*0.33</f>
        <v>40.59</v>
      </c>
      <c r="L69" s="245" t="s">
        <v>54</v>
      </c>
    </row>
    <row r="70" spans="1:12" ht="12.75">
      <c r="A70" s="232"/>
      <c r="F70" s="246"/>
      <c r="G70" s="246"/>
      <c r="H70" s="246"/>
      <c r="I70" s="246"/>
      <c r="J70" s="243"/>
      <c r="K70" s="244">
        <f>SUM(K67:K69)</f>
        <v>93.72</v>
      </c>
      <c r="L70" s="245"/>
    </row>
    <row r="71" spans="1:10" ht="12.75">
      <c r="A71" s="233"/>
      <c r="F71" s="250"/>
      <c r="G71" s="250"/>
      <c r="H71" s="250"/>
      <c r="I71" s="250"/>
      <c r="J71" s="233"/>
    </row>
    <row r="72" spans="1:10" ht="12.75">
      <c r="A72" s="233"/>
      <c r="F72" s="250"/>
      <c r="G72" s="250"/>
      <c r="H72" s="250"/>
      <c r="I72" s="250"/>
      <c r="J72" s="233"/>
    </row>
    <row r="73" spans="1:10" ht="12.75">
      <c r="A73" s="233"/>
      <c r="F73" s="250"/>
      <c r="G73" s="250"/>
      <c r="H73" s="250"/>
      <c r="I73" s="250"/>
      <c r="J73" s="233"/>
    </row>
    <row r="74" spans="1:10" ht="12.75">
      <c r="A74" s="233"/>
      <c r="F74" s="250"/>
      <c r="G74" s="250"/>
      <c r="H74" s="250"/>
      <c r="I74" s="250"/>
      <c r="J74" s="233"/>
    </row>
    <row r="75" spans="1:10" ht="12.75">
      <c r="A75" s="233"/>
      <c r="F75" s="250"/>
      <c r="G75" s="250"/>
      <c r="H75" s="250"/>
      <c r="I75" s="250"/>
      <c r="J75" s="233"/>
    </row>
    <row r="76" spans="1:12" ht="12.75">
      <c r="A76" s="232" t="s">
        <v>319</v>
      </c>
      <c r="C76" t="s">
        <v>246</v>
      </c>
      <c r="D76" t="s">
        <v>249</v>
      </c>
      <c r="F76" s="246" t="s">
        <v>292</v>
      </c>
      <c r="G76" s="246" t="s">
        <v>293</v>
      </c>
      <c r="H76" s="246" t="s">
        <v>229</v>
      </c>
      <c r="I76" s="246">
        <v>82</v>
      </c>
      <c r="J76" s="243">
        <v>1</v>
      </c>
      <c r="K76" s="244">
        <f>I76*0.33</f>
        <v>27.060000000000002</v>
      </c>
      <c r="L76" s="245" t="s">
        <v>54</v>
      </c>
    </row>
    <row r="77" spans="1:12" ht="12.75">
      <c r="A77" s="232"/>
      <c r="D77" t="s">
        <v>249</v>
      </c>
      <c r="F77" s="246" t="s">
        <v>313</v>
      </c>
      <c r="G77" s="246" t="s">
        <v>296</v>
      </c>
      <c r="H77" s="246" t="s">
        <v>314</v>
      </c>
      <c r="I77" s="246">
        <v>93</v>
      </c>
      <c r="J77" s="243">
        <v>1</v>
      </c>
      <c r="K77" s="244">
        <f>I77*0.33</f>
        <v>30.69</v>
      </c>
      <c r="L77" s="245" t="s">
        <v>54</v>
      </c>
    </row>
    <row r="78" spans="1:12" ht="12.75">
      <c r="A78" s="232"/>
      <c r="D78" t="s">
        <v>249</v>
      </c>
      <c r="F78" s="246" t="s">
        <v>315</v>
      </c>
      <c r="G78" s="246" t="s">
        <v>296</v>
      </c>
      <c r="H78" s="246" t="s">
        <v>250</v>
      </c>
      <c r="I78" s="246">
        <v>71</v>
      </c>
      <c r="J78" s="243">
        <v>1</v>
      </c>
      <c r="K78" s="247">
        <f>I78*0.33</f>
        <v>23.43</v>
      </c>
      <c r="L78" s="245" t="s">
        <v>54</v>
      </c>
    </row>
    <row r="79" spans="1:12" ht="12.75">
      <c r="A79" s="232"/>
      <c r="F79" s="251"/>
      <c r="G79" s="241"/>
      <c r="H79" s="241"/>
      <c r="I79" s="251"/>
      <c r="J79" s="243"/>
      <c r="K79" s="244">
        <f>SUM(K76:K78)</f>
        <v>81.18</v>
      </c>
      <c r="L79" s="245"/>
    </row>
    <row r="80" ht="12.75">
      <c r="J80" s="233"/>
    </row>
    <row r="81" spans="1:12" ht="12.75">
      <c r="A81" s="1" t="s">
        <v>320</v>
      </c>
      <c r="F81" t="s">
        <v>321</v>
      </c>
      <c r="G81" t="s">
        <v>296</v>
      </c>
      <c r="H81" t="s">
        <v>322</v>
      </c>
      <c r="I81" s="252">
        <v>132</v>
      </c>
      <c r="J81" s="243"/>
      <c r="K81" s="244">
        <f>I81*0.5</f>
        <v>66</v>
      </c>
      <c r="L81" s="245" t="s">
        <v>54</v>
      </c>
    </row>
    <row r="82" spans="1:12" ht="12.75">
      <c r="A82" s="1" t="s">
        <v>320</v>
      </c>
      <c r="F82" t="s">
        <v>323</v>
      </c>
      <c r="G82" t="s">
        <v>296</v>
      </c>
      <c r="H82" t="s">
        <v>324</v>
      </c>
      <c r="I82" s="252">
        <v>86</v>
      </c>
      <c r="J82" s="243"/>
      <c r="K82" s="247">
        <f>I82*0.5</f>
        <v>43</v>
      </c>
      <c r="L82" s="245" t="s">
        <v>54</v>
      </c>
    </row>
    <row r="83" spans="10:11" ht="12.75">
      <c r="J83" s="233"/>
      <c r="K83" s="244">
        <f>(I81+I82)/2</f>
        <v>109</v>
      </c>
    </row>
    <row r="84" spans="10:11" ht="12.75">
      <c r="J84" s="233"/>
      <c r="K84" s="244"/>
    </row>
    <row r="85" spans="1:12" ht="12.75">
      <c r="A85" t="s">
        <v>239</v>
      </c>
      <c r="I85" s="252">
        <v>63</v>
      </c>
      <c r="J85" s="233"/>
      <c r="K85" s="244"/>
      <c r="L85" s="245" t="s">
        <v>54</v>
      </c>
    </row>
    <row r="86" spans="1:12" ht="12.75">
      <c r="A86" t="s">
        <v>236</v>
      </c>
      <c r="I86" s="252">
        <v>120.62</v>
      </c>
      <c r="J86" s="233"/>
      <c r="K86" s="244"/>
      <c r="L86" s="245" t="s">
        <v>54</v>
      </c>
    </row>
    <row r="87" spans="10:11" ht="12.75">
      <c r="J87" s="233"/>
      <c r="K87" s="244"/>
    </row>
    <row r="88" spans="1:12" ht="12.75">
      <c r="A88" t="s">
        <v>325</v>
      </c>
      <c r="I88" s="252">
        <v>140.37</v>
      </c>
      <c r="J88" s="233"/>
      <c r="K88" s="244"/>
      <c r="L88" s="245" t="s">
        <v>54</v>
      </c>
    </row>
    <row r="89" spans="1:12" ht="12.75">
      <c r="A89" t="s">
        <v>241</v>
      </c>
      <c r="E89" t="s">
        <v>326</v>
      </c>
      <c r="I89" s="252">
        <v>115.55</v>
      </c>
      <c r="J89" s="233"/>
      <c r="K89" s="244"/>
      <c r="L89" s="245" t="s">
        <v>54</v>
      </c>
    </row>
    <row r="90" spans="1:11" ht="12.75">
      <c r="A90" t="s">
        <v>238</v>
      </c>
      <c r="E90" t="s">
        <v>327</v>
      </c>
      <c r="I90" s="252">
        <v>157.9</v>
      </c>
      <c r="J90" s="233"/>
      <c r="K90" s="244"/>
    </row>
    <row r="91" spans="1:11" ht="12.75">
      <c r="A91" t="s">
        <v>240</v>
      </c>
      <c r="E91" t="s">
        <v>328</v>
      </c>
      <c r="I91" s="252">
        <v>325.5</v>
      </c>
      <c r="J91" s="233"/>
      <c r="K91" s="244"/>
    </row>
    <row r="92" spans="10:11" ht="12.75">
      <c r="J92" s="233"/>
      <c r="K92" s="244"/>
    </row>
  </sheetData>
  <printOptions/>
  <pageMargins left="0.5" right="0.25" top="1" bottom="1" header="0.5" footer="0.5"/>
  <pageSetup horizontalDpi="600" verticalDpi="600" orientation="landscape" r:id="rId1"/>
  <headerFooter alignWithMargins="0">
    <oddHeader>&amp;L&amp;F&amp;C&amp;A&amp;RPage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K681"/>
  <sheetViews>
    <sheetView workbookViewId="0" topLeftCell="A81">
      <selection activeCell="K10" sqref="K10"/>
    </sheetView>
  </sheetViews>
  <sheetFormatPr defaultColWidth="9.140625" defaultRowHeight="12.75"/>
  <sheetData>
    <row r="1" spans="1:9" ht="12.75">
      <c r="A1" s="1" t="s">
        <v>559</v>
      </c>
      <c r="G1" t="s">
        <v>283</v>
      </c>
      <c r="H1" t="str">
        <f>H13</f>
        <v>PCW1X</v>
      </c>
      <c r="I1">
        <f>I13</f>
        <v>93</v>
      </c>
    </row>
    <row r="2" spans="1:9" ht="12.75">
      <c r="A2" s="1" t="s">
        <v>329</v>
      </c>
      <c r="G2" t="s">
        <v>330</v>
      </c>
      <c r="H2" t="str">
        <f>H85</f>
        <v>PCWAX</v>
      </c>
      <c r="I2">
        <f>I85</f>
        <v>2355</v>
      </c>
    </row>
    <row r="3" spans="1:9" ht="12.75">
      <c r="A3" s="1" t="s">
        <v>331</v>
      </c>
      <c r="G3" t="s">
        <v>332</v>
      </c>
      <c r="H3" t="str">
        <f>H186</f>
        <v>PCWBX</v>
      </c>
      <c r="I3">
        <f>I186</f>
        <v>6882</v>
      </c>
    </row>
    <row r="4" spans="1:9" ht="12.75">
      <c r="A4" s="1" t="s">
        <v>333</v>
      </c>
      <c r="G4" t="s">
        <v>226</v>
      </c>
      <c r="H4" t="str">
        <f>H312</f>
        <v>PCWCX</v>
      </c>
      <c r="I4">
        <f>I312</f>
        <v>30097</v>
      </c>
    </row>
    <row r="5" spans="1:9" ht="12.75">
      <c r="A5" s="1"/>
      <c r="E5" t="s">
        <v>334</v>
      </c>
      <c r="G5" t="s">
        <v>335</v>
      </c>
      <c r="H5" t="str">
        <f>H419</f>
        <v>PCWEX</v>
      </c>
      <c r="I5">
        <f>I419</f>
        <v>23852</v>
      </c>
    </row>
    <row r="6" spans="1:11" ht="12.75">
      <c r="A6" s="1" t="s">
        <v>336</v>
      </c>
      <c r="B6" t="s">
        <v>337</v>
      </c>
      <c r="C6" t="s">
        <v>115</v>
      </c>
      <c r="D6" t="s">
        <v>338</v>
      </c>
      <c r="E6" t="s">
        <v>339</v>
      </c>
      <c r="F6" s="245" t="s">
        <v>220</v>
      </c>
      <c r="G6" s="253" t="s">
        <v>255</v>
      </c>
      <c r="H6" s="253" t="s">
        <v>256</v>
      </c>
      <c r="I6">
        <f>I678</f>
        <v>33790</v>
      </c>
      <c r="K6" s="253"/>
    </row>
    <row r="7" spans="1:9" ht="12.75">
      <c r="A7">
        <v>200004</v>
      </c>
      <c r="B7" t="s">
        <v>340</v>
      </c>
      <c r="C7" t="s">
        <v>284</v>
      </c>
      <c r="D7" s="1" t="s">
        <v>341</v>
      </c>
      <c r="E7" t="s">
        <v>342</v>
      </c>
      <c r="F7">
        <v>23</v>
      </c>
      <c r="G7" s="253" t="s">
        <v>343</v>
      </c>
      <c r="H7" s="253" t="str">
        <f>H441</f>
        <v>PCWHX</v>
      </c>
      <c r="I7" s="253">
        <f>I441</f>
        <v>414</v>
      </c>
    </row>
    <row r="8" spans="1:9" ht="12.75">
      <c r="A8">
        <v>200004</v>
      </c>
      <c r="B8" t="s">
        <v>340</v>
      </c>
      <c r="C8" t="s">
        <v>284</v>
      </c>
      <c r="D8" s="1" t="s">
        <v>344</v>
      </c>
      <c r="E8" t="s">
        <v>342</v>
      </c>
      <c r="F8">
        <v>42</v>
      </c>
      <c r="G8" t="s">
        <v>258</v>
      </c>
      <c r="H8" t="str">
        <f>H455</f>
        <v>PCWJX</v>
      </c>
      <c r="I8">
        <f>I455</f>
        <v>2366</v>
      </c>
    </row>
    <row r="9" spans="1:9" ht="12.75">
      <c r="A9">
        <v>200004</v>
      </c>
      <c r="B9" t="s">
        <v>340</v>
      </c>
      <c r="C9" t="s">
        <v>284</v>
      </c>
      <c r="D9" s="1" t="s">
        <v>345</v>
      </c>
      <c r="E9" t="s">
        <v>342</v>
      </c>
      <c r="F9">
        <v>1</v>
      </c>
      <c r="G9" t="s">
        <v>346</v>
      </c>
      <c r="H9" t="str">
        <f>H528</f>
        <v>PCWKX</v>
      </c>
      <c r="I9">
        <f>I528</f>
        <v>5090</v>
      </c>
    </row>
    <row r="10" spans="1:9" ht="13.5" thickBot="1">
      <c r="A10">
        <v>200004</v>
      </c>
      <c r="B10" t="s">
        <v>347</v>
      </c>
      <c r="C10" t="s">
        <v>284</v>
      </c>
      <c r="D10" s="1" t="s">
        <v>344</v>
      </c>
      <c r="E10" t="s">
        <v>342</v>
      </c>
      <c r="F10">
        <v>12</v>
      </c>
      <c r="G10" t="s">
        <v>253</v>
      </c>
      <c r="H10" t="str">
        <f>H568</f>
        <v>PJWCX</v>
      </c>
      <c r="I10" s="190">
        <f>I568</f>
        <v>6771</v>
      </c>
    </row>
    <row r="11" spans="1:9" ht="13.5" thickTop="1">
      <c r="A11">
        <v>200004</v>
      </c>
      <c r="B11" t="s">
        <v>348</v>
      </c>
      <c r="C11" t="s">
        <v>284</v>
      </c>
      <c r="D11" s="1" t="s">
        <v>344</v>
      </c>
      <c r="E11" t="s">
        <v>342</v>
      </c>
      <c r="F11">
        <v>10</v>
      </c>
      <c r="I11">
        <f>SUM(I1:I10)</f>
        <v>111710</v>
      </c>
    </row>
    <row r="12" spans="1:6" ht="12.75">
      <c r="A12">
        <v>200004</v>
      </c>
      <c r="B12" t="s">
        <v>349</v>
      </c>
      <c r="C12" t="s">
        <v>284</v>
      </c>
      <c r="D12" s="1" t="s">
        <v>344</v>
      </c>
      <c r="E12" t="s">
        <v>342</v>
      </c>
      <c r="F12">
        <v>5</v>
      </c>
    </row>
    <row r="13" spans="1:9" ht="12.75">
      <c r="A13">
        <v>200004</v>
      </c>
      <c r="B13" t="s">
        <v>350</v>
      </c>
      <c r="C13" t="s">
        <v>351</v>
      </c>
      <c r="D13" s="1">
        <v>125</v>
      </c>
      <c r="E13" t="s">
        <v>342</v>
      </c>
      <c r="F13">
        <v>9</v>
      </c>
      <c r="H13" t="s">
        <v>284</v>
      </c>
      <c r="I13">
        <f>SUM(F7:F12)</f>
        <v>93</v>
      </c>
    </row>
    <row r="14" spans="1:6" ht="12.75">
      <c r="A14">
        <v>200004</v>
      </c>
      <c r="B14" t="s">
        <v>350</v>
      </c>
      <c r="C14" t="s">
        <v>351</v>
      </c>
      <c r="D14" s="1" t="s">
        <v>352</v>
      </c>
      <c r="E14" t="s">
        <v>342</v>
      </c>
      <c r="F14">
        <v>33</v>
      </c>
    </row>
    <row r="15" spans="1:6" ht="12.75">
      <c r="A15">
        <v>200004</v>
      </c>
      <c r="B15" t="s">
        <v>350</v>
      </c>
      <c r="C15" t="s">
        <v>351</v>
      </c>
      <c r="D15" s="1" t="s">
        <v>353</v>
      </c>
      <c r="E15" t="s">
        <v>342</v>
      </c>
      <c r="F15">
        <v>130</v>
      </c>
    </row>
    <row r="16" spans="1:7" ht="12.75">
      <c r="A16">
        <v>200004</v>
      </c>
      <c r="B16" t="s">
        <v>350</v>
      </c>
      <c r="C16" t="s">
        <v>351</v>
      </c>
      <c r="D16" s="1" t="s">
        <v>354</v>
      </c>
      <c r="E16" t="s">
        <v>342</v>
      </c>
      <c r="F16">
        <v>1</v>
      </c>
      <c r="G16" t="s">
        <v>282</v>
      </c>
    </row>
    <row r="17" spans="1:10" ht="12.75">
      <c r="A17">
        <v>200004</v>
      </c>
      <c r="B17" t="s">
        <v>350</v>
      </c>
      <c r="C17" t="s">
        <v>351</v>
      </c>
      <c r="D17" s="1" t="s">
        <v>355</v>
      </c>
      <c r="E17" t="s">
        <v>342</v>
      </c>
      <c r="F17">
        <v>9</v>
      </c>
      <c r="G17" t="str">
        <f>G10</f>
        <v>LO</v>
      </c>
      <c r="H17" t="str">
        <f>H10</f>
        <v>PJWCX</v>
      </c>
      <c r="I17">
        <f>I10</f>
        <v>6771</v>
      </c>
      <c r="J17" s="254">
        <f>I17/I22</f>
        <v>0.10125314032779041</v>
      </c>
    </row>
    <row r="18" spans="1:10" ht="12.75">
      <c r="A18">
        <v>200004</v>
      </c>
      <c r="B18" t="s">
        <v>350</v>
      </c>
      <c r="C18" t="s">
        <v>351</v>
      </c>
      <c r="D18" s="1" t="s">
        <v>341</v>
      </c>
      <c r="E18" t="s">
        <v>342</v>
      </c>
      <c r="F18">
        <v>116</v>
      </c>
      <c r="G18" t="str">
        <f>G6</f>
        <v>LS</v>
      </c>
      <c r="H18" t="str">
        <f>H6</f>
        <v>PJWHX</v>
      </c>
      <c r="I18">
        <f>I6</f>
        <v>33790</v>
      </c>
      <c r="J18" s="254">
        <f>I18/I22</f>
        <v>0.5052936954181122</v>
      </c>
    </row>
    <row r="19" spans="1:10" ht="12.75">
      <c r="A19">
        <v>200004</v>
      </c>
      <c r="B19" t="s">
        <v>350</v>
      </c>
      <c r="C19" t="s">
        <v>351</v>
      </c>
      <c r="D19" s="1" t="s">
        <v>356</v>
      </c>
      <c r="E19" t="s">
        <v>342</v>
      </c>
      <c r="F19">
        <v>2</v>
      </c>
      <c r="G19" t="str">
        <f>G8</f>
        <v>GS</v>
      </c>
      <c r="H19" t="str">
        <f>H8</f>
        <v>PCWJX</v>
      </c>
      <c r="I19">
        <f>I8</f>
        <v>2366</v>
      </c>
      <c r="J19" s="254">
        <f>I19/I22</f>
        <v>0.035381026438569205</v>
      </c>
    </row>
    <row r="20" spans="1:10" ht="12.75">
      <c r="A20">
        <v>200004</v>
      </c>
      <c r="B20" t="s">
        <v>350</v>
      </c>
      <c r="C20" t="s">
        <v>351</v>
      </c>
      <c r="D20" s="1" t="s">
        <v>357</v>
      </c>
      <c r="E20" t="s">
        <v>342</v>
      </c>
      <c r="F20">
        <v>145</v>
      </c>
      <c r="G20" t="str">
        <f>G1</f>
        <v>RB</v>
      </c>
      <c r="H20" t="str">
        <f>H1</f>
        <v>PCW1X</v>
      </c>
      <c r="I20">
        <f>I1</f>
        <v>93</v>
      </c>
      <c r="J20" s="254">
        <f>I20/I22</f>
        <v>0.0013907165928938867</v>
      </c>
    </row>
    <row r="21" spans="1:10" ht="13.5" thickBot="1">
      <c r="A21">
        <v>200004</v>
      </c>
      <c r="B21" t="s">
        <v>350</v>
      </c>
      <c r="C21" t="s">
        <v>351</v>
      </c>
      <c r="D21" s="1" t="s">
        <v>358</v>
      </c>
      <c r="E21" t="s">
        <v>342</v>
      </c>
      <c r="F21">
        <v>14</v>
      </c>
      <c r="G21" t="str">
        <f>G5</f>
        <v>NO S</v>
      </c>
      <c r="H21" t="str">
        <f>H5</f>
        <v>PCWEX</v>
      </c>
      <c r="I21" s="190">
        <f>I5</f>
        <v>23852</v>
      </c>
      <c r="J21" s="255">
        <f>I21/I22</f>
        <v>0.3566814212226343</v>
      </c>
    </row>
    <row r="22" spans="1:10" ht="13.5" thickTop="1">
      <c r="A22">
        <v>200004</v>
      </c>
      <c r="B22" t="s">
        <v>350</v>
      </c>
      <c r="C22" t="s">
        <v>351</v>
      </c>
      <c r="D22" s="1" t="s">
        <v>359</v>
      </c>
      <c r="E22" t="s">
        <v>342</v>
      </c>
      <c r="F22">
        <v>2</v>
      </c>
      <c r="I22">
        <f>SUM(I17:I21)</f>
        <v>66872</v>
      </c>
      <c r="J22" s="254">
        <f>I22/I22</f>
        <v>1</v>
      </c>
    </row>
    <row r="23" spans="1:6" ht="12.75">
      <c r="A23">
        <v>200004</v>
      </c>
      <c r="B23" t="s">
        <v>207</v>
      </c>
      <c r="C23" t="s">
        <v>351</v>
      </c>
      <c r="D23" s="1" t="s">
        <v>341</v>
      </c>
      <c r="E23" t="s">
        <v>342</v>
      </c>
      <c r="F23">
        <v>91</v>
      </c>
    </row>
    <row r="24" spans="1:7" ht="12.75">
      <c r="A24">
        <v>200004</v>
      </c>
      <c r="B24" t="s">
        <v>207</v>
      </c>
      <c r="C24" t="s">
        <v>351</v>
      </c>
      <c r="D24" s="1" t="s">
        <v>360</v>
      </c>
      <c r="E24" t="s">
        <v>342</v>
      </c>
      <c r="F24">
        <v>1</v>
      </c>
      <c r="G24" t="s">
        <v>252</v>
      </c>
    </row>
    <row r="25" spans="1:10" ht="12.75">
      <c r="A25">
        <v>200004</v>
      </c>
      <c r="B25" t="s">
        <v>361</v>
      </c>
      <c r="C25" t="s">
        <v>351</v>
      </c>
      <c r="D25" s="1" t="s">
        <v>352</v>
      </c>
      <c r="E25" t="s">
        <v>342</v>
      </c>
      <c r="F25">
        <v>14</v>
      </c>
      <c r="G25" t="str">
        <f>G10</f>
        <v>LO</v>
      </c>
      <c r="H25" t="str">
        <f>H10</f>
        <v>PJWCX</v>
      </c>
      <c r="I25">
        <f>I10</f>
        <v>6771</v>
      </c>
      <c r="J25" s="254">
        <f>I25/I29</f>
        <v>0.10139415085580797</v>
      </c>
    </row>
    <row r="26" spans="1:10" ht="12.75">
      <c r="A26">
        <v>200004</v>
      </c>
      <c r="B26" t="s">
        <v>361</v>
      </c>
      <c r="C26" t="s">
        <v>351</v>
      </c>
      <c r="D26" s="1" t="s">
        <v>362</v>
      </c>
      <c r="E26" t="s">
        <v>342</v>
      </c>
      <c r="F26">
        <v>4</v>
      </c>
      <c r="G26" t="str">
        <f>G6</f>
        <v>LS</v>
      </c>
      <c r="H26" t="str">
        <f>H6</f>
        <v>PJWHX</v>
      </c>
      <c r="I26">
        <f>I6</f>
        <v>33790</v>
      </c>
      <c r="J26" s="254">
        <f>I26/I29</f>
        <v>0.5059973943904521</v>
      </c>
    </row>
    <row r="27" spans="1:10" ht="12.75">
      <c r="A27">
        <v>200004</v>
      </c>
      <c r="B27" t="s">
        <v>361</v>
      </c>
      <c r="C27" t="s">
        <v>351</v>
      </c>
      <c r="D27" s="1" t="s">
        <v>363</v>
      </c>
      <c r="E27" t="s">
        <v>342</v>
      </c>
      <c r="F27">
        <v>2</v>
      </c>
      <c r="G27" t="str">
        <f>G8</f>
        <v>GS</v>
      </c>
      <c r="H27" t="str">
        <f>H8</f>
        <v>PCWJX</v>
      </c>
      <c r="I27">
        <f>I8</f>
        <v>2366</v>
      </c>
      <c r="J27" s="254">
        <f>I27/I29</f>
        <v>0.03543029994459336</v>
      </c>
    </row>
    <row r="28" spans="1:10" ht="13.5" thickBot="1">
      <c r="A28">
        <v>200004</v>
      </c>
      <c r="B28" t="s">
        <v>361</v>
      </c>
      <c r="C28" t="s">
        <v>351</v>
      </c>
      <c r="D28" s="1" t="s">
        <v>341</v>
      </c>
      <c r="E28" t="s">
        <v>342</v>
      </c>
      <c r="F28">
        <v>3</v>
      </c>
      <c r="G28" t="str">
        <f>G5</f>
        <v>NO S</v>
      </c>
      <c r="H28" t="str">
        <f>H5</f>
        <v>PCWEX</v>
      </c>
      <c r="I28" s="190">
        <f>I5</f>
        <v>23852</v>
      </c>
      <c r="J28" s="255">
        <f>I28/I29</f>
        <v>0.3571781548091466</v>
      </c>
    </row>
    <row r="29" spans="1:10" ht="13.5" thickTop="1">
      <c r="A29">
        <v>200004</v>
      </c>
      <c r="B29" t="s">
        <v>361</v>
      </c>
      <c r="C29" t="s">
        <v>351</v>
      </c>
      <c r="D29" s="1" t="s">
        <v>356</v>
      </c>
      <c r="E29" t="s">
        <v>342</v>
      </c>
      <c r="F29">
        <v>3</v>
      </c>
      <c r="I29">
        <f>SUM(I25:I28)</f>
        <v>66779</v>
      </c>
      <c r="J29" s="254">
        <f>I29/I29</f>
        <v>1</v>
      </c>
    </row>
    <row r="30" spans="1:6" ht="12.75">
      <c r="A30">
        <v>200004</v>
      </c>
      <c r="B30" t="s">
        <v>361</v>
      </c>
      <c r="C30" t="s">
        <v>351</v>
      </c>
      <c r="D30" s="1" t="s">
        <v>357</v>
      </c>
      <c r="E30" t="s">
        <v>342</v>
      </c>
      <c r="F30">
        <v>4</v>
      </c>
    </row>
    <row r="31" spans="1:6" ht="12.75">
      <c r="A31">
        <v>200004</v>
      </c>
      <c r="B31" t="s">
        <v>364</v>
      </c>
      <c r="C31" t="s">
        <v>351</v>
      </c>
      <c r="D31" s="1" t="s">
        <v>365</v>
      </c>
      <c r="E31" t="s">
        <v>342</v>
      </c>
      <c r="F31">
        <v>1</v>
      </c>
    </row>
    <row r="32" spans="1:6" ht="12.75">
      <c r="A32">
        <v>200004</v>
      </c>
      <c r="B32" t="s">
        <v>364</v>
      </c>
      <c r="C32" t="s">
        <v>351</v>
      </c>
      <c r="D32" s="1" t="s">
        <v>366</v>
      </c>
      <c r="E32" t="s">
        <v>342</v>
      </c>
      <c r="F32">
        <v>26</v>
      </c>
    </row>
    <row r="33" spans="1:6" ht="12.75">
      <c r="A33">
        <v>200004</v>
      </c>
      <c r="B33" t="s">
        <v>367</v>
      </c>
      <c r="C33" t="s">
        <v>351</v>
      </c>
      <c r="D33" s="1" t="s">
        <v>366</v>
      </c>
      <c r="E33" t="s">
        <v>342</v>
      </c>
      <c r="F33">
        <v>11</v>
      </c>
    </row>
    <row r="34" spans="1:6" ht="12.75">
      <c r="A34">
        <v>200004</v>
      </c>
      <c r="B34" t="s">
        <v>340</v>
      </c>
      <c r="C34" t="s">
        <v>351</v>
      </c>
      <c r="D34" s="1" t="s">
        <v>341</v>
      </c>
      <c r="E34" t="s">
        <v>342</v>
      </c>
      <c r="F34">
        <v>360</v>
      </c>
    </row>
    <row r="35" spans="1:6" ht="12.75">
      <c r="A35">
        <v>200004</v>
      </c>
      <c r="B35" t="s">
        <v>340</v>
      </c>
      <c r="C35" t="s">
        <v>351</v>
      </c>
      <c r="D35" s="1" t="s">
        <v>360</v>
      </c>
      <c r="E35" t="s">
        <v>342</v>
      </c>
      <c r="F35">
        <v>1</v>
      </c>
    </row>
    <row r="36" spans="1:6" ht="12.75">
      <c r="A36">
        <v>200004</v>
      </c>
      <c r="B36" t="s">
        <v>340</v>
      </c>
      <c r="C36" t="s">
        <v>351</v>
      </c>
      <c r="D36" s="1" t="s">
        <v>368</v>
      </c>
      <c r="E36" t="s">
        <v>342</v>
      </c>
      <c r="F36">
        <v>1</v>
      </c>
    </row>
    <row r="37" spans="1:6" ht="12.75">
      <c r="A37">
        <v>200004</v>
      </c>
      <c r="B37" t="s">
        <v>369</v>
      </c>
      <c r="C37" t="s">
        <v>351</v>
      </c>
      <c r="D37" s="1" t="s">
        <v>353</v>
      </c>
      <c r="E37" t="s">
        <v>342</v>
      </c>
      <c r="F37">
        <v>4</v>
      </c>
    </row>
    <row r="38" spans="1:6" ht="12.75">
      <c r="A38">
        <v>200004</v>
      </c>
      <c r="B38" t="s">
        <v>369</v>
      </c>
      <c r="C38" t="s">
        <v>351</v>
      </c>
      <c r="D38" s="1" t="s">
        <v>355</v>
      </c>
      <c r="E38" t="s">
        <v>342</v>
      </c>
      <c r="F38">
        <v>8</v>
      </c>
    </row>
    <row r="39" spans="1:6" ht="12.75">
      <c r="A39">
        <v>200004</v>
      </c>
      <c r="B39" t="s">
        <v>369</v>
      </c>
      <c r="C39" t="s">
        <v>351</v>
      </c>
      <c r="D39" s="1" t="s">
        <v>370</v>
      </c>
      <c r="E39" t="s">
        <v>342</v>
      </c>
      <c r="F39">
        <v>2</v>
      </c>
    </row>
    <row r="40" spans="1:6" ht="12.75">
      <c r="A40">
        <v>200004</v>
      </c>
      <c r="B40" t="s">
        <v>369</v>
      </c>
      <c r="C40" t="s">
        <v>351</v>
      </c>
      <c r="D40" s="1" t="s">
        <v>341</v>
      </c>
      <c r="E40" t="s">
        <v>342</v>
      </c>
      <c r="F40">
        <v>8</v>
      </c>
    </row>
    <row r="41" spans="1:6" ht="12.75">
      <c r="A41">
        <v>200004</v>
      </c>
      <c r="B41" t="s">
        <v>369</v>
      </c>
      <c r="C41" t="s">
        <v>351</v>
      </c>
      <c r="D41" s="1" t="s">
        <v>356</v>
      </c>
      <c r="E41" t="s">
        <v>342</v>
      </c>
      <c r="F41">
        <v>30</v>
      </c>
    </row>
    <row r="42" spans="1:6" ht="12.75">
      <c r="A42">
        <v>200004</v>
      </c>
      <c r="B42" t="s">
        <v>347</v>
      </c>
      <c r="C42" t="s">
        <v>351</v>
      </c>
      <c r="D42" s="1" t="s">
        <v>341</v>
      </c>
      <c r="E42" t="s">
        <v>342</v>
      </c>
      <c r="F42">
        <v>100</v>
      </c>
    </row>
    <row r="43" spans="1:6" ht="12.75">
      <c r="A43">
        <v>200004</v>
      </c>
      <c r="B43" t="s">
        <v>348</v>
      </c>
      <c r="C43" t="s">
        <v>351</v>
      </c>
      <c r="D43" s="1" t="s">
        <v>341</v>
      </c>
      <c r="E43" t="s">
        <v>342</v>
      </c>
      <c r="F43">
        <v>37</v>
      </c>
    </row>
    <row r="44" spans="1:6" ht="12.75">
      <c r="A44">
        <v>200004</v>
      </c>
      <c r="B44" t="s">
        <v>371</v>
      </c>
      <c r="C44" t="s">
        <v>351</v>
      </c>
      <c r="D44" s="1" t="s">
        <v>365</v>
      </c>
      <c r="E44" t="s">
        <v>342</v>
      </c>
      <c r="F44">
        <v>3</v>
      </c>
    </row>
    <row r="45" spans="1:6" ht="12.75">
      <c r="A45">
        <v>200004</v>
      </c>
      <c r="B45" t="s">
        <v>371</v>
      </c>
      <c r="C45" t="s">
        <v>351</v>
      </c>
      <c r="D45" s="1" t="s">
        <v>352</v>
      </c>
      <c r="E45" t="s">
        <v>342</v>
      </c>
      <c r="F45">
        <v>21</v>
      </c>
    </row>
    <row r="46" spans="1:6" ht="12.75">
      <c r="A46">
        <v>200004</v>
      </c>
      <c r="B46" t="s">
        <v>371</v>
      </c>
      <c r="C46" t="s">
        <v>351</v>
      </c>
      <c r="D46" s="1" t="s">
        <v>366</v>
      </c>
      <c r="E46" t="s">
        <v>342</v>
      </c>
      <c r="F46">
        <v>161</v>
      </c>
    </row>
    <row r="47" spans="1:6" ht="12.75">
      <c r="A47">
        <v>200004</v>
      </c>
      <c r="B47" t="s">
        <v>371</v>
      </c>
      <c r="C47" t="s">
        <v>351</v>
      </c>
      <c r="D47" s="1" t="s">
        <v>353</v>
      </c>
      <c r="E47" t="s">
        <v>342</v>
      </c>
      <c r="F47">
        <v>24</v>
      </c>
    </row>
    <row r="48" spans="1:6" ht="12.75">
      <c r="A48">
        <v>200004</v>
      </c>
      <c r="B48" t="s">
        <v>371</v>
      </c>
      <c r="C48" t="s">
        <v>351</v>
      </c>
      <c r="D48" s="1" t="s">
        <v>372</v>
      </c>
      <c r="E48" t="s">
        <v>342</v>
      </c>
      <c r="F48">
        <v>2</v>
      </c>
    </row>
    <row r="49" spans="1:6" ht="12.75">
      <c r="A49">
        <v>200004</v>
      </c>
      <c r="B49" t="s">
        <v>371</v>
      </c>
      <c r="C49" t="s">
        <v>351</v>
      </c>
      <c r="D49" s="1" t="s">
        <v>362</v>
      </c>
      <c r="E49" t="s">
        <v>342</v>
      </c>
      <c r="F49">
        <v>31</v>
      </c>
    </row>
    <row r="50" spans="1:6" ht="12.75">
      <c r="A50">
        <v>200004</v>
      </c>
      <c r="B50" t="s">
        <v>371</v>
      </c>
      <c r="C50" t="s">
        <v>351</v>
      </c>
      <c r="D50" s="1" t="s">
        <v>373</v>
      </c>
      <c r="E50" t="s">
        <v>342</v>
      </c>
      <c r="F50">
        <v>17</v>
      </c>
    </row>
    <row r="51" spans="1:6" ht="12.75">
      <c r="A51">
        <v>200004</v>
      </c>
      <c r="B51" t="s">
        <v>371</v>
      </c>
      <c r="C51" t="s">
        <v>351</v>
      </c>
      <c r="D51" s="1" t="s">
        <v>354</v>
      </c>
      <c r="E51" t="s">
        <v>342</v>
      </c>
      <c r="F51">
        <v>8</v>
      </c>
    </row>
    <row r="52" spans="1:6" ht="12.75">
      <c r="A52">
        <v>200004</v>
      </c>
      <c r="B52" t="s">
        <v>371</v>
      </c>
      <c r="C52" t="s">
        <v>351</v>
      </c>
      <c r="D52" s="1" t="s">
        <v>355</v>
      </c>
      <c r="E52" t="s">
        <v>342</v>
      </c>
      <c r="F52">
        <v>11</v>
      </c>
    </row>
    <row r="53" spans="1:6" ht="12.75">
      <c r="A53">
        <v>200004</v>
      </c>
      <c r="B53" t="s">
        <v>371</v>
      </c>
      <c r="C53" t="s">
        <v>351</v>
      </c>
      <c r="D53" s="1" t="s">
        <v>374</v>
      </c>
      <c r="E53" t="s">
        <v>342</v>
      </c>
      <c r="F53">
        <v>8</v>
      </c>
    </row>
    <row r="54" spans="1:6" ht="12.75">
      <c r="A54">
        <v>200004</v>
      </c>
      <c r="B54" t="s">
        <v>371</v>
      </c>
      <c r="C54" t="s">
        <v>351</v>
      </c>
      <c r="D54" s="1" t="s">
        <v>375</v>
      </c>
      <c r="E54" t="s">
        <v>342</v>
      </c>
      <c r="F54">
        <v>1</v>
      </c>
    </row>
    <row r="55" spans="1:6" ht="12.75">
      <c r="A55">
        <v>200004</v>
      </c>
      <c r="B55" t="s">
        <v>371</v>
      </c>
      <c r="C55" t="s">
        <v>351</v>
      </c>
      <c r="D55" s="1" t="s">
        <v>341</v>
      </c>
      <c r="E55" t="s">
        <v>342</v>
      </c>
      <c r="F55">
        <v>33</v>
      </c>
    </row>
    <row r="56" spans="1:6" ht="12.75">
      <c r="A56">
        <v>200004</v>
      </c>
      <c r="B56" t="s">
        <v>349</v>
      </c>
      <c r="C56" t="s">
        <v>351</v>
      </c>
      <c r="D56" s="1" t="s">
        <v>341</v>
      </c>
      <c r="E56" t="s">
        <v>342</v>
      </c>
      <c r="F56">
        <v>58</v>
      </c>
    </row>
    <row r="57" spans="1:6" ht="12.75">
      <c r="A57">
        <v>200004</v>
      </c>
      <c r="B57" t="s">
        <v>349</v>
      </c>
      <c r="C57" t="s">
        <v>351</v>
      </c>
      <c r="D57" s="1" t="s">
        <v>376</v>
      </c>
      <c r="E57" t="s">
        <v>342</v>
      </c>
      <c r="F57">
        <v>10</v>
      </c>
    </row>
    <row r="58" spans="1:6" ht="12.75">
      <c r="A58">
        <v>200004</v>
      </c>
      <c r="B58" t="s">
        <v>377</v>
      </c>
      <c r="C58" t="s">
        <v>351</v>
      </c>
      <c r="D58" s="1" t="s">
        <v>352</v>
      </c>
      <c r="E58" t="s">
        <v>342</v>
      </c>
      <c r="F58">
        <v>2</v>
      </c>
    </row>
    <row r="59" spans="1:6" ht="12.75">
      <c r="A59">
        <v>200004</v>
      </c>
      <c r="B59" t="s">
        <v>377</v>
      </c>
      <c r="C59" t="s">
        <v>351</v>
      </c>
      <c r="D59" s="1" t="s">
        <v>353</v>
      </c>
      <c r="E59" t="s">
        <v>342</v>
      </c>
      <c r="F59">
        <v>8</v>
      </c>
    </row>
    <row r="60" spans="1:6" ht="12.75">
      <c r="A60">
        <v>200004</v>
      </c>
      <c r="B60" t="s">
        <v>377</v>
      </c>
      <c r="C60" t="s">
        <v>351</v>
      </c>
      <c r="D60" s="1" t="s">
        <v>378</v>
      </c>
      <c r="E60" t="s">
        <v>342</v>
      </c>
      <c r="F60">
        <v>5</v>
      </c>
    </row>
    <row r="61" spans="1:6" ht="12.75">
      <c r="A61">
        <v>200004</v>
      </c>
      <c r="B61" t="s">
        <v>377</v>
      </c>
      <c r="C61" t="s">
        <v>351</v>
      </c>
      <c r="D61" s="1" t="s">
        <v>341</v>
      </c>
      <c r="E61" t="s">
        <v>342</v>
      </c>
      <c r="F61">
        <v>15</v>
      </c>
    </row>
    <row r="62" spans="1:6" ht="12.75">
      <c r="A62">
        <v>200004</v>
      </c>
      <c r="B62" t="s">
        <v>377</v>
      </c>
      <c r="C62" t="s">
        <v>351</v>
      </c>
      <c r="D62" s="1" t="s">
        <v>356</v>
      </c>
      <c r="E62" t="s">
        <v>342</v>
      </c>
      <c r="F62">
        <v>32</v>
      </c>
    </row>
    <row r="63" spans="1:6" ht="12.75">
      <c r="A63">
        <v>200004</v>
      </c>
      <c r="B63" t="s">
        <v>377</v>
      </c>
      <c r="C63" t="s">
        <v>351</v>
      </c>
      <c r="D63" s="1" t="s">
        <v>357</v>
      </c>
      <c r="E63" t="s">
        <v>342</v>
      </c>
      <c r="F63">
        <v>9</v>
      </c>
    </row>
    <row r="64" spans="1:6" ht="12.75">
      <c r="A64">
        <v>200004</v>
      </c>
      <c r="B64" t="s">
        <v>379</v>
      </c>
      <c r="C64" t="s">
        <v>351</v>
      </c>
      <c r="D64" s="1" t="s">
        <v>352</v>
      </c>
      <c r="E64" t="s">
        <v>342</v>
      </c>
      <c r="F64">
        <v>95</v>
      </c>
    </row>
    <row r="65" spans="1:6" ht="12.75">
      <c r="A65">
        <v>200004</v>
      </c>
      <c r="B65" t="s">
        <v>379</v>
      </c>
      <c r="C65" t="s">
        <v>351</v>
      </c>
      <c r="D65" s="1" t="s">
        <v>366</v>
      </c>
      <c r="E65" t="s">
        <v>342</v>
      </c>
      <c r="F65">
        <v>267</v>
      </c>
    </row>
    <row r="66" spans="1:6" ht="12.75">
      <c r="A66">
        <v>200004</v>
      </c>
      <c r="B66" t="s">
        <v>379</v>
      </c>
      <c r="C66" t="s">
        <v>351</v>
      </c>
      <c r="D66" s="1" t="s">
        <v>353</v>
      </c>
      <c r="E66" t="s">
        <v>342</v>
      </c>
      <c r="F66">
        <v>47</v>
      </c>
    </row>
    <row r="67" spans="1:6" ht="12.75">
      <c r="A67">
        <v>200004</v>
      </c>
      <c r="B67" t="s">
        <v>379</v>
      </c>
      <c r="C67" t="s">
        <v>351</v>
      </c>
      <c r="D67" s="1" t="s">
        <v>362</v>
      </c>
      <c r="E67" t="s">
        <v>342</v>
      </c>
      <c r="F67">
        <v>30</v>
      </c>
    </row>
    <row r="68" spans="1:6" ht="12.75">
      <c r="A68">
        <v>200004</v>
      </c>
      <c r="B68" t="s">
        <v>379</v>
      </c>
      <c r="C68" t="s">
        <v>351</v>
      </c>
      <c r="D68" s="1" t="s">
        <v>354</v>
      </c>
      <c r="E68" t="s">
        <v>342</v>
      </c>
      <c r="F68">
        <v>3</v>
      </c>
    </row>
    <row r="69" spans="1:6" ht="12.75">
      <c r="A69">
        <v>200004</v>
      </c>
      <c r="B69" t="s">
        <v>379</v>
      </c>
      <c r="C69" t="s">
        <v>351</v>
      </c>
      <c r="D69" s="1" t="s">
        <v>355</v>
      </c>
      <c r="E69" t="s">
        <v>342</v>
      </c>
      <c r="F69">
        <v>22</v>
      </c>
    </row>
    <row r="70" spans="1:6" ht="12.75">
      <c r="A70">
        <v>200004</v>
      </c>
      <c r="B70" t="s">
        <v>379</v>
      </c>
      <c r="C70" t="s">
        <v>351</v>
      </c>
      <c r="D70" s="1" t="s">
        <v>380</v>
      </c>
      <c r="E70" t="s">
        <v>342</v>
      </c>
      <c r="F70">
        <v>2</v>
      </c>
    </row>
    <row r="71" spans="1:6" ht="12.75">
      <c r="A71">
        <v>200004</v>
      </c>
      <c r="B71" t="s">
        <v>379</v>
      </c>
      <c r="C71" t="s">
        <v>351</v>
      </c>
      <c r="D71" s="1" t="s">
        <v>381</v>
      </c>
      <c r="E71" t="s">
        <v>342</v>
      </c>
      <c r="F71">
        <v>1</v>
      </c>
    </row>
    <row r="72" spans="1:6" ht="12.75">
      <c r="A72">
        <v>200004</v>
      </c>
      <c r="B72" t="s">
        <v>379</v>
      </c>
      <c r="C72" t="s">
        <v>351</v>
      </c>
      <c r="D72" s="1" t="s">
        <v>382</v>
      </c>
      <c r="E72" t="s">
        <v>342</v>
      </c>
      <c r="F72">
        <v>2</v>
      </c>
    </row>
    <row r="73" spans="1:6" ht="12.75">
      <c r="A73">
        <v>200004</v>
      </c>
      <c r="B73" t="s">
        <v>379</v>
      </c>
      <c r="C73" t="s">
        <v>351</v>
      </c>
      <c r="D73" s="1" t="s">
        <v>374</v>
      </c>
      <c r="E73" t="s">
        <v>342</v>
      </c>
      <c r="F73">
        <v>28</v>
      </c>
    </row>
    <row r="74" spans="1:6" ht="12.75">
      <c r="A74">
        <v>200004</v>
      </c>
      <c r="B74" t="s">
        <v>379</v>
      </c>
      <c r="C74" t="s">
        <v>351</v>
      </c>
      <c r="D74" s="1" t="s">
        <v>383</v>
      </c>
      <c r="E74" t="s">
        <v>342</v>
      </c>
      <c r="F74">
        <v>2</v>
      </c>
    </row>
    <row r="75" spans="1:6" ht="12.75">
      <c r="A75">
        <v>200004</v>
      </c>
      <c r="B75" t="s">
        <v>379</v>
      </c>
      <c r="C75" t="s">
        <v>351</v>
      </c>
      <c r="D75" s="1" t="s">
        <v>384</v>
      </c>
      <c r="E75" t="s">
        <v>342</v>
      </c>
      <c r="F75">
        <v>3</v>
      </c>
    </row>
    <row r="76" spans="1:6" ht="12.75">
      <c r="A76">
        <v>200004</v>
      </c>
      <c r="B76" t="s">
        <v>379</v>
      </c>
      <c r="C76" t="s">
        <v>351</v>
      </c>
      <c r="D76" s="1" t="s">
        <v>341</v>
      </c>
      <c r="E76" t="s">
        <v>342</v>
      </c>
      <c r="F76">
        <v>113</v>
      </c>
    </row>
    <row r="77" spans="1:6" ht="12.75">
      <c r="A77">
        <v>200004</v>
      </c>
      <c r="B77" t="s">
        <v>379</v>
      </c>
      <c r="C77" t="s">
        <v>351</v>
      </c>
      <c r="D77" s="1" t="s">
        <v>385</v>
      </c>
      <c r="E77" t="s">
        <v>342</v>
      </c>
      <c r="F77">
        <v>2</v>
      </c>
    </row>
    <row r="78" spans="1:6" ht="12.75">
      <c r="A78">
        <v>200004</v>
      </c>
      <c r="B78" t="s">
        <v>379</v>
      </c>
      <c r="C78" t="s">
        <v>351</v>
      </c>
      <c r="D78" s="1" t="s">
        <v>386</v>
      </c>
      <c r="E78" t="s">
        <v>342</v>
      </c>
      <c r="F78">
        <v>1</v>
      </c>
    </row>
    <row r="79" spans="1:6" ht="12.75">
      <c r="A79">
        <v>200004</v>
      </c>
      <c r="B79" t="s">
        <v>387</v>
      </c>
      <c r="C79" t="s">
        <v>351</v>
      </c>
      <c r="D79" s="1" t="s">
        <v>352</v>
      </c>
      <c r="E79" t="s">
        <v>342</v>
      </c>
      <c r="F79">
        <v>14</v>
      </c>
    </row>
    <row r="80" spans="1:6" ht="12.75">
      <c r="A80">
        <v>200004</v>
      </c>
      <c r="B80" t="s">
        <v>387</v>
      </c>
      <c r="C80" t="s">
        <v>351</v>
      </c>
      <c r="D80" s="1" t="s">
        <v>388</v>
      </c>
      <c r="E80" t="s">
        <v>342</v>
      </c>
      <c r="F80">
        <v>2</v>
      </c>
    </row>
    <row r="81" spans="1:6" ht="12.75">
      <c r="A81">
        <v>200004</v>
      </c>
      <c r="B81" t="s">
        <v>387</v>
      </c>
      <c r="C81" t="s">
        <v>351</v>
      </c>
      <c r="D81" s="1" t="s">
        <v>363</v>
      </c>
      <c r="E81" t="s">
        <v>342</v>
      </c>
      <c r="F81">
        <v>2</v>
      </c>
    </row>
    <row r="82" spans="1:6" ht="12.75">
      <c r="A82">
        <v>200004</v>
      </c>
      <c r="B82" t="s">
        <v>387</v>
      </c>
      <c r="C82" t="s">
        <v>351</v>
      </c>
      <c r="D82" s="1" t="s">
        <v>389</v>
      </c>
      <c r="E82" t="s">
        <v>342</v>
      </c>
      <c r="F82">
        <v>40</v>
      </c>
    </row>
    <row r="83" spans="1:6" ht="12.75">
      <c r="A83">
        <v>200004</v>
      </c>
      <c r="B83" t="s">
        <v>387</v>
      </c>
      <c r="C83" t="s">
        <v>351</v>
      </c>
      <c r="D83" s="1" t="s">
        <v>341</v>
      </c>
      <c r="E83" t="s">
        <v>342</v>
      </c>
      <c r="F83">
        <v>32</v>
      </c>
    </row>
    <row r="84" spans="1:6" ht="12.75">
      <c r="A84">
        <v>200004</v>
      </c>
      <c r="B84" t="s">
        <v>387</v>
      </c>
      <c r="C84" t="s">
        <v>351</v>
      </c>
      <c r="D84" s="1" t="s">
        <v>356</v>
      </c>
      <c r="E84" t="s">
        <v>342</v>
      </c>
      <c r="F84">
        <v>15</v>
      </c>
    </row>
    <row r="85" spans="1:9" ht="12.75">
      <c r="A85">
        <v>200004</v>
      </c>
      <c r="B85" t="s">
        <v>387</v>
      </c>
      <c r="C85" t="s">
        <v>351</v>
      </c>
      <c r="D85" s="1" t="s">
        <v>390</v>
      </c>
      <c r="E85" t="s">
        <v>342</v>
      </c>
      <c r="F85">
        <v>1</v>
      </c>
      <c r="H85" t="s">
        <v>351</v>
      </c>
      <c r="I85">
        <f>SUM(F13:F85)</f>
        <v>2355</v>
      </c>
    </row>
    <row r="86" spans="1:6" ht="12.75">
      <c r="A86">
        <v>200004</v>
      </c>
      <c r="B86" t="s">
        <v>350</v>
      </c>
      <c r="C86" t="s">
        <v>391</v>
      </c>
      <c r="D86" s="1">
        <v>125</v>
      </c>
      <c r="E86" t="s">
        <v>342</v>
      </c>
      <c r="F86">
        <v>1</v>
      </c>
    </row>
    <row r="87" spans="1:6" ht="12.75">
      <c r="A87">
        <v>200004</v>
      </c>
      <c r="B87" t="s">
        <v>350</v>
      </c>
      <c r="C87" t="s">
        <v>391</v>
      </c>
      <c r="D87" s="1" t="s">
        <v>352</v>
      </c>
      <c r="E87" t="s">
        <v>342</v>
      </c>
      <c r="F87">
        <v>48</v>
      </c>
    </row>
    <row r="88" spans="1:6" ht="12.75">
      <c r="A88">
        <v>200004</v>
      </c>
      <c r="B88" t="s">
        <v>350</v>
      </c>
      <c r="C88" t="s">
        <v>391</v>
      </c>
      <c r="D88" s="1" t="s">
        <v>392</v>
      </c>
      <c r="E88" t="s">
        <v>342</v>
      </c>
      <c r="F88">
        <v>4</v>
      </c>
    </row>
    <row r="89" spans="1:6" ht="12.75">
      <c r="A89">
        <v>200004</v>
      </c>
      <c r="B89" t="s">
        <v>350</v>
      </c>
      <c r="C89" t="s">
        <v>391</v>
      </c>
      <c r="D89" s="1" t="s">
        <v>353</v>
      </c>
      <c r="E89" t="s">
        <v>342</v>
      </c>
      <c r="F89">
        <v>216</v>
      </c>
    </row>
    <row r="90" spans="1:6" ht="12.75">
      <c r="A90">
        <v>200004</v>
      </c>
      <c r="B90" t="s">
        <v>350</v>
      </c>
      <c r="C90" t="s">
        <v>391</v>
      </c>
      <c r="D90" s="1" t="s">
        <v>393</v>
      </c>
      <c r="E90" t="s">
        <v>342</v>
      </c>
      <c r="F90">
        <v>1</v>
      </c>
    </row>
    <row r="91" spans="1:6" ht="12.75">
      <c r="A91">
        <v>200004</v>
      </c>
      <c r="B91" t="s">
        <v>350</v>
      </c>
      <c r="C91" t="s">
        <v>391</v>
      </c>
      <c r="D91" s="1" t="s">
        <v>362</v>
      </c>
      <c r="E91" t="s">
        <v>342</v>
      </c>
      <c r="F91">
        <v>3</v>
      </c>
    </row>
    <row r="92" spans="1:6" ht="12.75">
      <c r="A92">
        <v>200004</v>
      </c>
      <c r="B92" t="s">
        <v>350</v>
      </c>
      <c r="C92" t="s">
        <v>391</v>
      </c>
      <c r="D92" s="1" t="s">
        <v>355</v>
      </c>
      <c r="E92" t="s">
        <v>342</v>
      </c>
      <c r="F92">
        <v>1</v>
      </c>
    </row>
    <row r="93" spans="1:6" ht="12.75">
      <c r="A93">
        <v>200004</v>
      </c>
      <c r="B93" t="s">
        <v>350</v>
      </c>
      <c r="C93" t="s">
        <v>391</v>
      </c>
      <c r="D93" s="1" t="s">
        <v>341</v>
      </c>
      <c r="E93" t="s">
        <v>342</v>
      </c>
      <c r="F93">
        <v>135</v>
      </c>
    </row>
    <row r="94" spans="1:6" ht="12.75">
      <c r="A94">
        <v>200004</v>
      </c>
      <c r="B94" t="s">
        <v>350</v>
      </c>
      <c r="C94" t="s">
        <v>391</v>
      </c>
      <c r="D94" s="1" t="s">
        <v>356</v>
      </c>
      <c r="E94" t="s">
        <v>342</v>
      </c>
      <c r="F94">
        <v>5</v>
      </c>
    </row>
    <row r="95" spans="1:6" ht="12.75">
      <c r="A95">
        <v>200004</v>
      </c>
      <c r="B95" t="s">
        <v>350</v>
      </c>
      <c r="C95" t="s">
        <v>391</v>
      </c>
      <c r="D95" s="1" t="s">
        <v>357</v>
      </c>
      <c r="E95" t="s">
        <v>342</v>
      </c>
      <c r="F95">
        <v>521</v>
      </c>
    </row>
    <row r="96" spans="1:6" ht="12.75">
      <c r="A96">
        <v>200004</v>
      </c>
      <c r="B96" t="s">
        <v>350</v>
      </c>
      <c r="C96" t="s">
        <v>391</v>
      </c>
      <c r="D96" s="1" t="s">
        <v>359</v>
      </c>
      <c r="E96" t="s">
        <v>342</v>
      </c>
      <c r="F96">
        <v>12</v>
      </c>
    </row>
    <row r="97" spans="1:6" ht="12.75">
      <c r="A97">
        <v>200004</v>
      </c>
      <c r="B97" t="s">
        <v>207</v>
      </c>
      <c r="C97" t="s">
        <v>391</v>
      </c>
      <c r="D97" s="1" t="s">
        <v>341</v>
      </c>
      <c r="E97" t="s">
        <v>342</v>
      </c>
      <c r="F97">
        <v>149</v>
      </c>
    </row>
    <row r="98" spans="1:6" ht="12.75">
      <c r="A98">
        <v>200004</v>
      </c>
      <c r="B98" t="s">
        <v>207</v>
      </c>
      <c r="C98" t="s">
        <v>391</v>
      </c>
      <c r="D98" s="1" t="s">
        <v>360</v>
      </c>
      <c r="E98" t="s">
        <v>342</v>
      </c>
      <c r="F98">
        <v>5</v>
      </c>
    </row>
    <row r="99" spans="1:6" ht="12.75">
      <c r="A99">
        <v>200004</v>
      </c>
      <c r="B99" t="s">
        <v>207</v>
      </c>
      <c r="C99" t="s">
        <v>391</v>
      </c>
      <c r="D99" s="1" t="s">
        <v>368</v>
      </c>
      <c r="E99" t="s">
        <v>342</v>
      </c>
      <c r="F99">
        <v>1</v>
      </c>
    </row>
    <row r="100" spans="1:6" ht="12.75">
      <c r="A100">
        <v>200004</v>
      </c>
      <c r="B100" t="s">
        <v>361</v>
      </c>
      <c r="C100" t="s">
        <v>391</v>
      </c>
      <c r="D100" s="1" t="s">
        <v>394</v>
      </c>
      <c r="E100" t="s">
        <v>342</v>
      </c>
      <c r="F100">
        <v>47</v>
      </c>
    </row>
    <row r="101" spans="1:6" ht="12.75">
      <c r="A101">
        <v>200004</v>
      </c>
      <c r="B101" t="s">
        <v>361</v>
      </c>
      <c r="C101" t="s">
        <v>391</v>
      </c>
      <c r="D101" s="1" t="s">
        <v>352</v>
      </c>
      <c r="E101" t="s">
        <v>342</v>
      </c>
      <c r="F101">
        <v>2</v>
      </c>
    </row>
    <row r="102" spans="1:6" ht="12.75">
      <c r="A102">
        <v>200004</v>
      </c>
      <c r="B102" t="s">
        <v>361</v>
      </c>
      <c r="C102" t="s">
        <v>391</v>
      </c>
      <c r="D102" s="1" t="s">
        <v>392</v>
      </c>
      <c r="E102" t="s">
        <v>342</v>
      </c>
      <c r="F102">
        <v>53</v>
      </c>
    </row>
    <row r="103" spans="1:6" ht="12.75">
      <c r="A103">
        <v>200004</v>
      </c>
      <c r="B103" t="s">
        <v>361</v>
      </c>
      <c r="C103" t="s">
        <v>391</v>
      </c>
      <c r="D103" s="1" t="s">
        <v>353</v>
      </c>
      <c r="E103" t="s">
        <v>342</v>
      </c>
      <c r="F103">
        <v>56</v>
      </c>
    </row>
    <row r="104" spans="1:6" ht="12.75">
      <c r="A104">
        <v>200004</v>
      </c>
      <c r="B104" t="s">
        <v>361</v>
      </c>
      <c r="C104" t="s">
        <v>391</v>
      </c>
      <c r="D104" s="1" t="s">
        <v>395</v>
      </c>
      <c r="E104" t="s">
        <v>342</v>
      </c>
      <c r="F104">
        <v>6</v>
      </c>
    </row>
    <row r="105" spans="1:6" ht="12.75">
      <c r="A105">
        <v>200004</v>
      </c>
      <c r="B105" t="s">
        <v>361</v>
      </c>
      <c r="C105" t="s">
        <v>391</v>
      </c>
      <c r="D105" s="1" t="s">
        <v>396</v>
      </c>
      <c r="E105" t="s">
        <v>342</v>
      </c>
      <c r="F105">
        <v>14</v>
      </c>
    </row>
    <row r="106" spans="1:6" ht="12.75">
      <c r="A106">
        <v>200004</v>
      </c>
      <c r="B106" t="s">
        <v>361</v>
      </c>
      <c r="C106" t="s">
        <v>391</v>
      </c>
      <c r="D106" s="1" t="s">
        <v>397</v>
      </c>
      <c r="E106" t="s">
        <v>342</v>
      </c>
      <c r="F106">
        <v>4</v>
      </c>
    </row>
    <row r="107" spans="1:6" ht="12.75">
      <c r="A107">
        <v>200004</v>
      </c>
      <c r="B107" t="s">
        <v>361</v>
      </c>
      <c r="C107" t="s">
        <v>391</v>
      </c>
      <c r="D107" s="1" t="s">
        <v>398</v>
      </c>
      <c r="E107" t="s">
        <v>342</v>
      </c>
      <c r="F107">
        <v>12</v>
      </c>
    </row>
    <row r="108" spans="1:6" ht="12.75">
      <c r="A108">
        <v>200004</v>
      </c>
      <c r="B108" t="s">
        <v>361</v>
      </c>
      <c r="C108" t="s">
        <v>391</v>
      </c>
      <c r="D108" s="1" t="s">
        <v>399</v>
      </c>
      <c r="E108" t="s">
        <v>342</v>
      </c>
      <c r="F108">
        <v>4</v>
      </c>
    </row>
    <row r="109" spans="1:6" ht="12.75">
      <c r="A109">
        <v>200004</v>
      </c>
      <c r="B109" t="s">
        <v>361</v>
      </c>
      <c r="C109" t="s">
        <v>391</v>
      </c>
      <c r="D109" s="1" t="s">
        <v>400</v>
      </c>
      <c r="E109" t="s">
        <v>342</v>
      </c>
      <c r="F109">
        <v>2</v>
      </c>
    </row>
    <row r="110" spans="1:6" ht="12.75">
      <c r="A110">
        <v>200004</v>
      </c>
      <c r="B110" t="s">
        <v>361</v>
      </c>
      <c r="C110" t="s">
        <v>391</v>
      </c>
      <c r="D110" s="1" t="s">
        <v>363</v>
      </c>
      <c r="E110" t="s">
        <v>342</v>
      </c>
      <c r="F110">
        <v>4</v>
      </c>
    </row>
    <row r="111" spans="1:6" ht="12.75">
      <c r="A111">
        <v>200004</v>
      </c>
      <c r="B111" t="s">
        <v>361</v>
      </c>
      <c r="C111" t="s">
        <v>391</v>
      </c>
      <c r="D111" s="1" t="s">
        <v>341</v>
      </c>
      <c r="E111" t="s">
        <v>342</v>
      </c>
      <c r="F111">
        <v>35</v>
      </c>
    </row>
    <row r="112" spans="1:6" ht="12.75">
      <c r="A112">
        <v>200004</v>
      </c>
      <c r="B112" t="s">
        <v>361</v>
      </c>
      <c r="C112" t="s">
        <v>391</v>
      </c>
      <c r="D112" s="1" t="s">
        <v>401</v>
      </c>
      <c r="E112" t="s">
        <v>342</v>
      </c>
      <c r="F112">
        <v>4</v>
      </c>
    </row>
    <row r="113" spans="1:6" ht="12.75">
      <c r="A113">
        <v>200004</v>
      </c>
      <c r="B113" t="s">
        <v>361</v>
      </c>
      <c r="C113" t="s">
        <v>391</v>
      </c>
      <c r="D113" s="1" t="s">
        <v>356</v>
      </c>
      <c r="E113" t="s">
        <v>342</v>
      </c>
      <c r="F113">
        <v>128</v>
      </c>
    </row>
    <row r="114" spans="1:6" ht="12.75">
      <c r="A114">
        <v>200004</v>
      </c>
      <c r="B114" t="s">
        <v>361</v>
      </c>
      <c r="C114" t="s">
        <v>391</v>
      </c>
      <c r="D114" s="1" t="s">
        <v>357</v>
      </c>
      <c r="E114" t="s">
        <v>342</v>
      </c>
      <c r="F114">
        <v>71</v>
      </c>
    </row>
    <row r="115" spans="1:6" ht="12.75">
      <c r="A115">
        <v>200004</v>
      </c>
      <c r="B115" t="s">
        <v>361</v>
      </c>
      <c r="C115" t="s">
        <v>391</v>
      </c>
      <c r="D115" s="1" t="s">
        <v>390</v>
      </c>
      <c r="E115" t="s">
        <v>342</v>
      </c>
      <c r="F115">
        <v>8</v>
      </c>
    </row>
    <row r="116" spans="1:6" ht="12.75">
      <c r="A116">
        <v>200004</v>
      </c>
      <c r="B116" t="s">
        <v>361</v>
      </c>
      <c r="C116" t="s">
        <v>391</v>
      </c>
      <c r="D116" s="1" t="s">
        <v>402</v>
      </c>
      <c r="E116" t="s">
        <v>342</v>
      </c>
      <c r="F116">
        <v>2</v>
      </c>
    </row>
    <row r="117" spans="1:6" ht="12.75">
      <c r="A117">
        <v>200004</v>
      </c>
      <c r="B117" t="s">
        <v>361</v>
      </c>
      <c r="C117" t="s">
        <v>391</v>
      </c>
      <c r="D117" s="1" t="s">
        <v>403</v>
      </c>
      <c r="E117" t="s">
        <v>342</v>
      </c>
      <c r="F117">
        <v>2</v>
      </c>
    </row>
    <row r="118" spans="1:6" ht="12.75">
      <c r="A118">
        <v>200004</v>
      </c>
      <c r="B118" t="s">
        <v>340</v>
      </c>
      <c r="C118" t="s">
        <v>391</v>
      </c>
      <c r="D118" s="1" t="s">
        <v>341</v>
      </c>
      <c r="E118" t="s">
        <v>342</v>
      </c>
      <c r="F118">
        <v>1209</v>
      </c>
    </row>
    <row r="119" spans="1:6" ht="12.75">
      <c r="A119">
        <v>200004</v>
      </c>
      <c r="B119" t="s">
        <v>340</v>
      </c>
      <c r="C119" t="s">
        <v>391</v>
      </c>
      <c r="D119" s="1" t="s">
        <v>360</v>
      </c>
      <c r="E119" t="s">
        <v>342</v>
      </c>
      <c r="F119">
        <v>1</v>
      </c>
    </row>
    <row r="120" spans="1:6" ht="12.75">
      <c r="A120">
        <v>200004</v>
      </c>
      <c r="B120" t="s">
        <v>340</v>
      </c>
      <c r="C120" t="s">
        <v>391</v>
      </c>
      <c r="D120" s="1" t="s">
        <v>376</v>
      </c>
      <c r="E120" t="s">
        <v>342</v>
      </c>
      <c r="F120">
        <v>3</v>
      </c>
    </row>
    <row r="121" spans="1:6" ht="12.75">
      <c r="A121">
        <v>200004</v>
      </c>
      <c r="B121" t="s">
        <v>369</v>
      </c>
      <c r="C121" t="s">
        <v>391</v>
      </c>
      <c r="D121" s="1" t="s">
        <v>394</v>
      </c>
      <c r="E121" t="s">
        <v>342</v>
      </c>
      <c r="F121">
        <v>4</v>
      </c>
    </row>
    <row r="122" spans="1:6" ht="12.75">
      <c r="A122">
        <v>200004</v>
      </c>
      <c r="B122" t="s">
        <v>369</v>
      </c>
      <c r="C122" t="s">
        <v>391</v>
      </c>
      <c r="D122" s="1" t="s">
        <v>352</v>
      </c>
      <c r="E122" t="s">
        <v>342</v>
      </c>
      <c r="F122">
        <v>4</v>
      </c>
    </row>
    <row r="123" spans="1:6" ht="12.75">
      <c r="A123">
        <v>200004</v>
      </c>
      <c r="B123" t="s">
        <v>369</v>
      </c>
      <c r="C123" t="s">
        <v>391</v>
      </c>
      <c r="D123" s="1" t="s">
        <v>353</v>
      </c>
      <c r="E123" t="s">
        <v>342</v>
      </c>
      <c r="F123">
        <v>50</v>
      </c>
    </row>
    <row r="124" spans="1:6" ht="12.75">
      <c r="A124">
        <v>200004</v>
      </c>
      <c r="B124" t="s">
        <v>369</v>
      </c>
      <c r="C124" t="s">
        <v>391</v>
      </c>
      <c r="D124" s="1" t="s">
        <v>404</v>
      </c>
      <c r="E124" t="s">
        <v>342</v>
      </c>
      <c r="F124">
        <v>17</v>
      </c>
    </row>
    <row r="125" spans="1:6" ht="12.75">
      <c r="A125">
        <v>200004</v>
      </c>
      <c r="B125" t="s">
        <v>369</v>
      </c>
      <c r="C125" t="s">
        <v>391</v>
      </c>
      <c r="D125" s="1" t="s">
        <v>388</v>
      </c>
      <c r="E125" t="s">
        <v>342</v>
      </c>
      <c r="F125">
        <v>2</v>
      </c>
    </row>
    <row r="126" spans="1:6" ht="12.75">
      <c r="A126">
        <v>200004</v>
      </c>
      <c r="B126" t="s">
        <v>369</v>
      </c>
      <c r="C126" t="s">
        <v>391</v>
      </c>
      <c r="D126" s="1" t="s">
        <v>405</v>
      </c>
      <c r="E126" t="s">
        <v>342</v>
      </c>
      <c r="F126">
        <v>2</v>
      </c>
    </row>
    <row r="127" spans="1:6" ht="12.75">
      <c r="A127">
        <v>200004</v>
      </c>
      <c r="B127" t="s">
        <v>369</v>
      </c>
      <c r="C127" t="s">
        <v>391</v>
      </c>
      <c r="D127" s="1" t="s">
        <v>406</v>
      </c>
      <c r="E127" t="s">
        <v>342</v>
      </c>
      <c r="F127">
        <v>8</v>
      </c>
    </row>
    <row r="128" spans="1:6" ht="12.75">
      <c r="A128">
        <v>200004</v>
      </c>
      <c r="B128" t="s">
        <v>369</v>
      </c>
      <c r="C128" t="s">
        <v>391</v>
      </c>
      <c r="D128" s="1" t="s">
        <v>407</v>
      </c>
      <c r="E128" t="s">
        <v>342</v>
      </c>
      <c r="F128">
        <v>6</v>
      </c>
    </row>
    <row r="129" spans="1:6" ht="12.75">
      <c r="A129">
        <v>200004</v>
      </c>
      <c r="B129" t="s">
        <v>369</v>
      </c>
      <c r="C129" t="s">
        <v>391</v>
      </c>
      <c r="D129" s="1" t="s">
        <v>408</v>
      </c>
      <c r="E129" t="s">
        <v>342</v>
      </c>
      <c r="F129">
        <v>2</v>
      </c>
    </row>
    <row r="130" spans="1:6" ht="12.75">
      <c r="A130">
        <v>200004</v>
      </c>
      <c r="B130" t="s">
        <v>369</v>
      </c>
      <c r="C130" t="s">
        <v>391</v>
      </c>
      <c r="D130" s="1" t="s">
        <v>341</v>
      </c>
      <c r="E130" t="s">
        <v>342</v>
      </c>
      <c r="F130">
        <v>110</v>
      </c>
    </row>
    <row r="131" spans="1:6" ht="12.75">
      <c r="A131">
        <v>200004</v>
      </c>
      <c r="B131" t="s">
        <v>369</v>
      </c>
      <c r="C131" t="s">
        <v>391</v>
      </c>
      <c r="D131" s="1" t="s">
        <v>356</v>
      </c>
      <c r="E131" t="s">
        <v>342</v>
      </c>
      <c r="F131">
        <v>45</v>
      </c>
    </row>
    <row r="132" spans="1:6" ht="12.75">
      <c r="A132">
        <v>200004</v>
      </c>
      <c r="B132" t="s">
        <v>369</v>
      </c>
      <c r="C132" t="s">
        <v>391</v>
      </c>
      <c r="D132" s="1" t="s">
        <v>357</v>
      </c>
      <c r="E132" t="s">
        <v>342</v>
      </c>
      <c r="F132">
        <v>28</v>
      </c>
    </row>
    <row r="133" spans="1:6" ht="12.75">
      <c r="A133">
        <v>200004</v>
      </c>
      <c r="B133" t="s">
        <v>369</v>
      </c>
      <c r="C133" t="s">
        <v>391</v>
      </c>
      <c r="D133" s="1" t="s">
        <v>403</v>
      </c>
      <c r="E133" t="s">
        <v>342</v>
      </c>
      <c r="F133">
        <v>2</v>
      </c>
    </row>
    <row r="134" spans="1:6" ht="12.75">
      <c r="A134">
        <v>200004</v>
      </c>
      <c r="B134" t="s">
        <v>347</v>
      </c>
      <c r="C134" t="s">
        <v>391</v>
      </c>
      <c r="D134" s="1" t="s">
        <v>341</v>
      </c>
      <c r="E134" t="s">
        <v>342</v>
      </c>
      <c r="F134">
        <v>152</v>
      </c>
    </row>
    <row r="135" spans="1:6" ht="12.75">
      <c r="A135">
        <v>200004</v>
      </c>
      <c r="B135" t="s">
        <v>347</v>
      </c>
      <c r="C135" t="s">
        <v>391</v>
      </c>
      <c r="D135" s="1" t="s">
        <v>360</v>
      </c>
      <c r="E135" t="s">
        <v>342</v>
      </c>
      <c r="F135">
        <v>2</v>
      </c>
    </row>
    <row r="136" spans="1:6" ht="12.75">
      <c r="A136">
        <v>200004</v>
      </c>
      <c r="B136" t="s">
        <v>348</v>
      </c>
      <c r="C136" t="s">
        <v>391</v>
      </c>
      <c r="D136" s="1" t="s">
        <v>341</v>
      </c>
      <c r="E136" t="s">
        <v>342</v>
      </c>
      <c r="F136">
        <v>219</v>
      </c>
    </row>
    <row r="137" spans="1:6" ht="12.75">
      <c r="A137">
        <v>200004</v>
      </c>
      <c r="B137" t="s">
        <v>371</v>
      </c>
      <c r="C137" t="s">
        <v>391</v>
      </c>
      <c r="D137" s="1" t="s">
        <v>365</v>
      </c>
      <c r="E137" t="s">
        <v>342</v>
      </c>
      <c r="F137">
        <v>13</v>
      </c>
    </row>
    <row r="138" spans="1:6" ht="12.75">
      <c r="A138">
        <v>200004</v>
      </c>
      <c r="B138" t="s">
        <v>371</v>
      </c>
      <c r="C138" t="s">
        <v>391</v>
      </c>
      <c r="D138" s="1" t="s">
        <v>352</v>
      </c>
      <c r="E138" t="s">
        <v>342</v>
      </c>
      <c r="F138">
        <v>49</v>
      </c>
    </row>
    <row r="139" spans="1:6" ht="12.75">
      <c r="A139">
        <v>200004</v>
      </c>
      <c r="B139" t="s">
        <v>371</v>
      </c>
      <c r="C139" t="s">
        <v>391</v>
      </c>
      <c r="D139" s="1" t="s">
        <v>366</v>
      </c>
      <c r="E139" t="s">
        <v>342</v>
      </c>
      <c r="F139">
        <v>598</v>
      </c>
    </row>
    <row r="140" spans="1:6" ht="12.75">
      <c r="A140">
        <v>200004</v>
      </c>
      <c r="B140" t="s">
        <v>371</v>
      </c>
      <c r="C140" t="s">
        <v>391</v>
      </c>
      <c r="D140" s="1" t="s">
        <v>353</v>
      </c>
      <c r="E140" t="s">
        <v>342</v>
      </c>
      <c r="F140">
        <v>236</v>
      </c>
    </row>
    <row r="141" spans="1:6" ht="12.75">
      <c r="A141">
        <v>200004</v>
      </c>
      <c r="B141" t="s">
        <v>371</v>
      </c>
      <c r="C141" t="s">
        <v>391</v>
      </c>
      <c r="D141" s="1" t="s">
        <v>362</v>
      </c>
      <c r="E141" t="s">
        <v>342</v>
      </c>
      <c r="F141">
        <v>1</v>
      </c>
    </row>
    <row r="142" spans="1:6" ht="12.75">
      <c r="A142">
        <v>200004</v>
      </c>
      <c r="B142" t="s">
        <v>371</v>
      </c>
      <c r="C142" t="s">
        <v>391</v>
      </c>
      <c r="D142" s="1" t="s">
        <v>373</v>
      </c>
      <c r="E142" t="s">
        <v>342</v>
      </c>
      <c r="F142">
        <v>11</v>
      </c>
    </row>
    <row r="143" spans="1:6" ht="12.75">
      <c r="A143">
        <v>200004</v>
      </c>
      <c r="B143" t="s">
        <v>371</v>
      </c>
      <c r="C143" t="s">
        <v>391</v>
      </c>
      <c r="D143" s="1" t="s">
        <v>354</v>
      </c>
      <c r="E143" t="s">
        <v>342</v>
      </c>
      <c r="F143">
        <v>30</v>
      </c>
    </row>
    <row r="144" spans="1:6" ht="12.75">
      <c r="A144">
        <v>200004</v>
      </c>
      <c r="B144" t="s">
        <v>371</v>
      </c>
      <c r="C144" t="s">
        <v>391</v>
      </c>
      <c r="D144" s="1" t="s">
        <v>355</v>
      </c>
      <c r="E144" t="s">
        <v>342</v>
      </c>
      <c r="F144">
        <v>31</v>
      </c>
    </row>
    <row r="145" spans="1:6" ht="12.75">
      <c r="A145">
        <v>200004</v>
      </c>
      <c r="B145" t="s">
        <v>371</v>
      </c>
      <c r="C145" t="s">
        <v>391</v>
      </c>
      <c r="D145" s="1" t="s">
        <v>374</v>
      </c>
      <c r="E145" t="s">
        <v>342</v>
      </c>
      <c r="F145">
        <v>4</v>
      </c>
    </row>
    <row r="146" spans="1:6" ht="12.75">
      <c r="A146">
        <v>200004</v>
      </c>
      <c r="B146" t="s">
        <v>371</v>
      </c>
      <c r="C146" t="s">
        <v>391</v>
      </c>
      <c r="D146" s="1" t="s">
        <v>384</v>
      </c>
      <c r="E146" t="s">
        <v>342</v>
      </c>
      <c r="F146">
        <v>1</v>
      </c>
    </row>
    <row r="147" spans="1:6" ht="12.75">
      <c r="A147">
        <v>200004</v>
      </c>
      <c r="B147" t="s">
        <v>371</v>
      </c>
      <c r="C147" t="s">
        <v>391</v>
      </c>
      <c r="D147" s="1" t="s">
        <v>341</v>
      </c>
      <c r="E147" t="s">
        <v>342</v>
      </c>
      <c r="F147">
        <v>75</v>
      </c>
    </row>
    <row r="148" spans="1:6" ht="12.75">
      <c r="A148">
        <v>200004</v>
      </c>
      <c r="B148" t="s">
        <v>349</v>
      </c>
      <c r="C148" t="s">
        <v>391</v>
      </c>
      <c r="D148" s="1" t="s">
        <v>341</v>
      </c>
      <c r="E148" t="s">
        <v>342</v>
      </c>
      <c r="F148">
        <v>140</v>
      </c>
    </row>
    <row r="149" spans="1:6" ht="12.75">
      <c r="A149">
        <v>200004</v>
      </c>
      <c r="B149" t="s">
        <v>349</v>
      </c>
      <c r="C149" t="s">
        <v>391</v>
      </c>
      <c r="D149" s="1" t="s">
        <v>376</v>
      </c>
      <c r="E149" t="s">
        <v>342</v>
      </c>
      <c r="F149">
        <v>1</v>
      </c>
    </row>
    <row r="150" spans="1:6" ht="12.75">
      <c r="A150">
        <v>200004</v>
      </c>
      <c r="B150" t="s">
        <v>377</v>
      </c>
      <c r="C150" t="s">
        <v>391</v>
      </c>
      <c r="D150" s="1" t="s">
        <v>352</v>
      </c>
      <c r="E150" t="s">
        <v>342</v>
      </c>
      <c r="F150">
        <v>9</v>
      </c>
    </row>
    <row r="151" spans="1:6" ht="12.75">
      <c r="A151">
        <v>200004</v>
      </c>
      <c r="B151" t="s">
        <v>377</v>
      </c>
      <c r="C151" t="s">
        <v>391</v>
      </c>
      <c r="D151" s="1" t="s">
        <v>353</v>
      </c>
      <c r="E151" t="s">
        <v>342</v>
      </c>
      <c r="F151">
        <v>13</v>
      </c>
    </row>
    <row r="152" spans="1:6" ht="12.75">
      <c r="A152">
        <v>200004</v>
      </c>
      <c r="B152" t="s">
        <v>377</v>
      </c>
      <c r="C152" t="s">
        <v>391</v>
      </c>
      <c r="D152" s="1" t="s">
        <v>409</v>
      </c>
      <c r="E152" t="s">
        <v>342</v>
      </c>
      <c r="F152">
        <v>3</v>
      </c>
    </row>
    <row r="153" spans="1:6" ht="12.75">
      <c r="A153">
        <v>200004</v>
      </c>
      <c r="B153" t="s">
        <v>377</v>
      </c>
      <c r="C153" t="s">
        <v>391</v>
      </c>
      <c r="D153" s="1" t="s">
        <v>410</v>
      </c>
      <c r="E153" t="s">
        <v>342</v>
      </c>
      <c r="F153">
        <v>18</v>
      </c>
    </row>
    <row r="154" spans="1:6" ht="12.75">
      <c r="A154">
        <v>200004</v>
      </c>
      <c r="B154" t="s">
        <v>377</v>
      </c>
      <c r="C154" t="s">
        <v>391</v>
      </c>
      <c r="D154" s="1" t="s">
        <v>411</v>
      </c>
      <c r="E154" t="s">
        <v>342</v>
      </c>
      <c r="F154">
        <v>30</v>
      </c>
    </row>
    <row r="155" spans="1:6" ht="12.75">
      <c r="A155">
        <v>200004</v>
      </c>
      <c r="B155" t="s">
        <v>377</v>
      </c>
      <c r="C155" t="s">
        <v>391</v>
      </c>
      <c r="D155" s="1" t="s">
        <v>341</v>
      </c>
      <c r="E155" t="s">
        <v>342</v>
      </c>
      <c r="F155">
        <v>42</v>
      </c>
    </row>
    <row r="156" spans="1:6" ht="12.75">
      <c r="A156">
        <v>200004</v>
      </c>
      <c r="B156" t="s">
        <v>377</v>
      </c>
      <c r="C156" t="s">
        <v>391</v>
      </c>
      <c r="D156" s="1" t="s">
        <v>401</v>
      </c>
      <c r="E156" t="s">
        <v>342</v>
      </c>
      <c r="F156">
        <v>4</v>
      </c>
    </row>
    <row r="157" spans="1:6" ht="12.75">
      <c r="A157">
        <v>200004</v>
      </c>
      <c r="B157" t="s">
        <v>377</v>
      </c>
      <c r="C157" t="s">
        <v>391</v>
      </c>
      <c r="D157" s="1" t="s">
        <v>356</v>
      </c>
      <c r="E157" t="s">
        <v>342</v>
      </c>
      <c r="F157">
        <v>65</v>
      </c>
    </row>
    <row r="158" spans="1:6" ht="12.75">
      <c r="A158">
        <v>200004</v>
      </c>
      <c r="B158" t="s">
        <v>377</v>
      </c>
      <c r="C158" t="s">
        <v>391</v>
      </c>
      <c r="D158" s="1" t="s">
        <v>357</v>
      </c>
      <c r="E158" t="s">
        <v>342</v>
      </c>
      <c r="F158">
        <v>15</v>
      </c>
    </row>
    <row r="159" spans="1:6" ht="12.75">
      <c r="A159">
        <v>200004</v>
      </c>
      <c r="B159" t="s">
        <v>379</v>
      </c>
      <c r="C159" t="s">
        <v>391</v>
      </c>
      <c r="D159" s="1" t="s">
        <v>394</v>
      </c>
      <c r="E159" t="s">
        <v>342</v>
      </c>
      <c r="F159">
        <v>13</v>
      </c>
    </row>
    <row r="160" spans="1:6" ht="12.75">
      <c r="A160">
        <v>200004</v>
      </c>
      <c r="B160" t="s">
        <v>379</v>
      </c>
      <c r="C160" t="s">
        <v>391</v>
      </c>
      <c r="D160" s="1" t="s">
        <v>352</v>
      </c>
      <c r="E160" t="s">
        <v>342</v>
      </c>
      <c r="F160">
        <v>81</v>
      </c>
    </row>
    <row r="161" spans="1:6" ht="12.75">
      <c r="A161">
        <v>200004</v>
      </c>
      <c r="B161" t="s">
        <v>379</v>
      </c>
      <c r="C161" t="s">
        <v>391</v>
      </c>
      <c r="D161" s="1" t="s">
        <v>366</v>
      </c>
      <c r="E161" t="s">
        <v>342</v>
      </c>
      <c r="F161">
        <v>776</v>
      </c>
    </row>
    <row r="162" spans="1:6" ht="12.75">
      <c r="A162">
        <v>200004</v>
      </c>
      <c r="B162" t="s">
        <v>379</v>
      </c>
      <c r="C162" t="s">
        <v>391</v>
      </c>
      <c r="D162" s="1" t="s">
        <v>412</v>
      </c>
      <c r="E162" t="s">
        <v>342</v>
      </c>
      <c r="F162">
        <v>6</v>
      </c>
    </row>
    <row r="163" spans="1:6" ht="12.75">
      <c r="A163">
        <v>200004</v>
      </c>
      <c r="B163" t="s">
        <v>379</v>
      </c>
      <c r="C163" t="s">
        <v>391</v>
      </c>
      <c r="D163" s="1" t="s">
        <v>353</v>
      </c>
      <c r="E163" t="s">
        <v>342</v>
      </c>
      <c r="F163">
        <v>153</v>
      </c>
    </row>
    <row r="164" spans="1:6" ht="12.75">
      <c r="A164">
        <v>200004</v>
      </c>
      <c r="B164" t="s">
        <v>379</v>
      </c>
      <c r="C164" t="s">
        <v>391</v>
      </c>
      <c r="D164" s="1" t="s">
        <v>362</v>
      </c>
      <c r="E164" t="s">
        <v>342</v>
      </c>
      <c r="F164">
        <v>6</v>
      </c>
    </row>
    <row r="165" spans="1:6" ht="12.75">
      <c r="A165">
        <v>200004</v>
      </c>
      <c r="B165" t="s">
        <v>379</v>
      </c>
      <c r="C165" t="s">
        <v>391</v>
      </c>
      <c r="D165" s="1" t="s">
        <v>354</v>
      </c>
      <c r="E165" t="s">
        <v>342</v>
      </c>
      <c r="F165">
        <v>4</v>
      </c>
    </row>
    <row r="166" spans="1:6" ht="12.75">
      <c r="A166">
        <v>200004</v>
      </c>
      <c r="B166" t="s">
        <v>379</v>
      </c>
      <c r="C166" t="s">
        <v>391</v>
      </c>
      <c r="D166" s="1" t="s">
        <v>355</v>
      </c>
      <c r="E166" t="s">
        <v>342</v>
      </c>
      <c r="F166">
        <v>12</v>
      </c>
    </row>
    <row r="167" spans="1:6" ht="12.75">
      <c r="A167">
        <v>200004</v>
      </c>
      <c r="B167" t="s">
        <v>379</v>
      </c>
      <c r="C167" t="s">
        <v>391</v>
      </c>
      <c r="D167" s="1" t="s">
        <v>374</v>
      </c>
      <c r="E167" t="s">
        <v>342</v>
      </c>
      <c r="F167">
        <v>5</v>
      </c>
    </row>
    <row r="168" spans="1:6" ht="12.75">
      <c r="A168">
        <v>200004</v>
      </c>
      <c r="B168" t="s">
        <v>379</v>
      </c>
      <c r="C168" t="s">
        <v>391</v>
      </c>
      <c r="D168" s="1" t="s">
        <v>384</v>
      </c>
      <c r="E168" t="s">
        <v>342</v>
      </c>
      <c r="F168">
        <v>7</v>
      </c>
    </row>
    <row r="169" spans="1:6" ht="12.75">
      <c r="A169">
        <v>200004</v>
      </c>
      <c r="B169" t="s">
        <v>379</v>
      </c>
      <c r="C169" t="s">
        <v>391</v>
      </c>
      <c r="D169" s="1" t="s">
        <v>341</v>
      </c>
      <c r="E169" t="s">
        <v>342</v>
      </c>
      <c r="F169">
        <v>346</v>
      </c>
    </row>
    <row r="170" spans="1:6" ht="12.75">
      <c r="A170">
        <v>200004</v>
      </c>
      <c r="B170" t="s">
        <v>379</v>
      </c>
      <c r="C170" t="s">
        <v>391</v>
      </c>
      <c r="D170" s="1" t="s">
        <v>385</v>
      </c>
      <c r="E170" t="s">
        <v>342</v>
      </c>
      <c r="F170">
        <v>2</v>
      </c>
    </row>
    <row r="171" spans="1:6" ht="12.75">
      <c r="A171">
        <v>200004</v>
      </c>
      <c r="B171" t="s">
        <v>387</v>
      </c>
      <c r="C171" t="s">
        <v>391</v>
      </c>
      <c r="D171" s="1" t="s">
        <v>352</v>
      </c>
      <c r="E171" t="s">
        <v>342</v>
      </c>
      <c r="F171">
        <v>2</v>
      </c>
    </row>
    <row r="172" spans="1:6" ht="12.75">
      <c r="A172">
        <v>200004</v>
      </c>
      <c r="B172" t="s">
        <v>387</v>
      </c>
      <c r="C172" t="s">
        <v>391</v>
      </c>
      <c r="D172" s="1" t="s">
        <v>392</v>
      </c>
      <c r="E172" t="s">
        <v>342</v>
      </c>
      <c r="F172">
        <v>16</v>
      </c>
    </row>
    <row r="173" spans="1:6" ht="12.75">
      <c r="A173">
        <v>200004</v>
      </c>
      <c r="B173" t="s">
        <v>387</v>
      </c>
      <c r="C173" t="s">
        <v>391</v>
      </c>
      <c r="D173" s="1" t="s">
        <v>353</v>
      </c>
      <c r="E173" t="s">
        <v>342</v>
      </c>
      <c r="F173">
        <v>30</v>
      </c>
    </row>
    <row r="174" spans="1:6" ht="12.75">
      <c r="A174">
        <v>200004</v>
      </c>
      <c r="B174" t="s">
        <v>387</v>
      </c>
      <c r="C174" t="s">
        <v>391</v>
      </c>
      <c r="D174" s="1" t="s">
        <v>413</v>
      </c>
      <c r="E174" t="s">
        <v>342</v>
      </c>
      <c r="F174">
        <v>4</v>
      </c>
    </row>
    <row r="175" spans="1:6" ht="12.75">
      <c r="A175">
        <v>200004</v>
      </c>
      <c r="B175" t="s">
        <v>387</v>
      </c>
      <c r="C175" t="s">
        <v>391</v>
      </c>
      <c r="D175" s="1" t="s">
        <v>404</v>
      </c>
      <c r="E175" t="s">
        <v>342</v>
      </c>
      <c r="F175">
        <v>154</v>
      </c>
    </row>
    <row r="176" spans="1:6" ht="12.75">
      <c r="A176">
        <v>200004</v>
      </c>
      <c r="B176" t="s">
        <v>387</v>
      </c>
      <c r="C176" t="s">
        <v>391</v>
      </c>
      <c r="D176" s="1" t="s">
        <v>414</v>
      </c>
      <c r="E176" t="s">
        <v>342</v>
      </c>
      <c r="F176">
        <v>21</v>
      </c>
    </row>
    <row r="177" spans="1:6" ht="12.75">
      <c r="A177">
        <v>200004</v>
      </c>
      <c r="B177" t="s">
        <v>387</v>
      </c>
      <c r="C177" t="s">
        <v>391</v>
      </c>
      <c r="D177" s="1" t="s">
        <v>415</v>
      </c>
      <c r="E177" t="s">
        <v>342</v>
      </c>
      <c r="F177">
        <v>12</v>
      </c>
    </row>
    <row r="178" spans="1:6" ht="12.75">
      <c r="A178">
        <v>200004</v>
      </c>
      <c r="B178" t="s">
        <v>387</v>
      </c>
      <c r="C178" t="s">
        <v>391</v>
      </c>
      <c r="D178" s="1" t="s">
        <v>416</v>
      </c>
      <c r="E178" t="s">
        <v>342</v>
      </c>
      <c r="F178">
        <v>34</v>
      </c>
    </row>
    <row r="179" spans="1:6" ht="12.75">
      <c r="A179">
        <v>200004</v>
      </c>
      <c r="B179" t="s">
        <v>387</v>
      </c>
      <c r="C179" t="s">
        <v>391</v>
      </c>
      <c r="D179" s="1" t="s">
        <v>398</v>
      </c>
      <c r="E179" t="s">
        <v>342</v>
      </c>
      <c r="F179">
        <v>2</v>
      </c>
    </row>
    <row r="180" spans="1:6" ht="12.75">
      <c r="A180">
        <v>200004</v>
      </c>
      <c r="B180" t="s">
        <v>387</v>
      </c>
      <c r="C180" t="s">
        <v>391</v>
      </c>
      <c r="D180" s="1" t="s">
        <v>417</v>
      </c>
      <c r="E180" t="s">
        <v>342</v>
      </c>
      <c r="F180">
        <v>14</v>
      </c>
    </row>
    <row r="181" spans="1:6" ht="12.75">
      <c r="A181">
        <v>200004</v>
      </c>
      <c r="B181" t="s">
        <v>387</v>
      </c>
      <c r="C181" t="s">
        <v>391</v>
      </c>
      <c r="D181" s="1" t="s">
        <v>341</v>
      </c>
      <c r="E181" t="s">
        <v>342</v>
      </c>
      <c r="F181">
        <v>52</v>
      </c>
    </row>
    <row r="182" spans="1:6" ht="12.75">
      <c r="A182">
        <v>200004</v>
      </c>
      <c r="B182" t="s">
        <v>387</v>
      </c>
      <c r="C182" t="s">
        <v>391</v>
      </c>
      <c r="D182" s="1" t="s">
        <v>356</v>
      </c>
      <c r="E182" t="s">
        <v>342</v>
      </c>
      <c r="F182">
        <v>174</v>
      </c>
    </row>
    <row r="183" spans="1:6" ht="12.75">
      <c r="A183">
        <v>200004</v>
      </c>
      <c r="B183" t="s">
        <v>387</v>
      </c>
      <c r="C183" t="s">
        <v>391</v>
      </c>
      <c r="D183" s="1" t="s">
        <v>357</v>
      </c>
      <c r="E183" t="s">
        <v>342</v>
      </c>
      <c r="F183">
        <v>128</v>
      </c>
    </row>
    <row r="184" spans="1:6" ht="12.75">
      <c r="A184">
        <v>200004</v>
      </c>
      <c r="B184" t="s">
        <v>387</v>
      </c>
      <c r="C184" t="s">
        <v>391</v>
      </c>
      <c r="D184" s="1" t="s">
        <v>418</v>
      </c>
      <c r="E184" t="s">
        <v>342</v>
      </c>
      <c r="F184">
        <v>11</v>
      </c>
    </row>
    <row r="185" spans="1:6" ht="12.75">
      <c r="A185">
        <v>200004</v>
      </c>
      <c r="B185" t="s">
        <v>387</v>
      </c>
      <c r="C185" t="s">
        <v>391</v>
      </c>
      <c r="D185" s="1" t="s">
        <v>402</v>
      </c>
      <c r="E185" t="s">
        <v>342</v>
      </c>
      <c r="F185">
        <v>2</v>
      </c>
    </row>
    <row r="186" spans="1:9" ht="12.75">
      <c r="A186">
        <v>200004</v>
      </c>
      <c r="B186" t="s">
        <v>387</v>
      </c>
      <c r="C186" t="s">
        <v>391</v>
      </c>
      <c r="D186" s="1" t="s">
        <v>403</v>
      </c>
      <c r="E186" t="s">
        <v>342</v>
      </c>
      <c r="F186">
        <v>4</v>
      </c>
      <c r="H186" t="s">
        <v>391</v>
      </c>
      <c r="I186">
        <f>SUM(F86:F186)</f>
        <v>6882</v>
      </c>
    </row>
    <row r="187" spans="1:6" ht="12.75">
      <c r="A187">
        <v>200004</v>
      </c>
      <c r="B187" t="s">
        <v>350</v>
      </c>
      <c r="C187" t="s">
        <v>419</v>
      </c>
      <c r="D187" s="1" t="s">
        <v>394</v>
      </c>
      <c r="E187" t="s">
        <v>342</v>
      </c>
      <c r="F187">
        <v>23</v>
      </c>
    </row>
    <row r="188" spans="1:6" ht="12.75">
      <c r="A188">
        <v>200004</v>
      </c>
      <c r="B188" t="s">
        <v>350</v>
      </c>
      <c r="C188" t="s">
        <v>419</v>
      </c>
      <c r="D188" s="1" t="s">
        <v>352</v>
      </c>
      <c r="E188" t="s">
        <v>342</v>
      </c>
      <c r="F188">
        <v>156</v>
      </c>
    </row>
    <row r="189" spans="1:6" ht="12.75">
      <c r="A189">
        <v>200004</v>
      </c>
      <c r="B189" t="s">
        <v>350</v>
      </c>
      <c r="C189" t="s">
        <v>419</v>
      </c>
      <c r="D189" s="1" t="s">
        <v>392</v>
      </c>
      <c r="E189" t="s">
        <v>342</v>
      </c>
      <c r="F189">
        <v>14</v>
      </c>
    </row>
    <row r="190" spans="1:6" ht="12.75">
      <c r="A190">
        <v>200004</v>
      </c>
      <c r="B190" t="s">
        <v>350</v>
      </c>
      <c r="C190" t="s">
        <v>419</v>
      </c>
      <c r="D190" s="1" t="s">
        <v>353</v>
      </c>
      <c r="E190" t="s">
        <v>342</v>
      </c>
      <c r="F190">
        <v>1079</v>
      </c>
    </row>
    <row r="191" spans="1:6" ht="12.75">
      <c r="A191">
        <v>200004</v>
      </c>
      <c r="B191" t="s">
        <v>350</v>
      </c>
      <c r="C191" t="s">
        <v>419</v>
      </c>
      <c r="D191" s="1" t="s">
        <v>420</v>
      </c>
      <c r="E191" t="s">
        <v>342</v>
      </c>
      <c r="F191">
        <v>5</v>
      </c>
    </row>
    <row r="192" spans="1:6" ht="12.75">
      <c r="A192">
        <v>200004</v>
      </c>
      <c r="B192" t="s">
        <v>350</v>
      </c>
      <c r="C192" t="s">
        <v>419</v>
      </c>
      <c r="D192" s="1" t="s">
        <v>362</v>
      </c>
      <c r="E192" t="s">
        <v>342</v>
      </c>
      <c r="F192">
        <v>5</v>
      </c>
    </row>
    <row r="193" spans="1:6" ht="12.75">
      <c r="A193">
        <v>200004</v>
      </c>
      <c r="B193" t="s">
        <v>350</v>
      </c>
      <c r="C193" t="s">
        <v>419</v>
      </c>
      <c r="D193" s="1" t="s">
        <v>354</v>
      </c>
      <c r="E193" t="s">
        <v>342</v>
      </c>
      <c r="F193">
        <v>19</v>
      </c>
    </row>
    <row r="194" spans="1:6" ht="12.75">
      <c r="A194">
        <v>200004</v>
      </c>
      <c r="B194" t="s">
        <v>350</v>
      </c>
      <c r="C194" t="s">
        <v>419</v>
      </c>
      <c r="D194" s="1" t="s">
        <v>355</v>
      </c>
      <c r="E194" t="s">
        <v>342</v>
      </c>
      <c r="F194">
        <v>6</v>
      </c>
    </row>
    <row r="195" spans="1:6" ht="12.75">
      <c r="A195">
        <v>200004</v>
      </c>
      <c r="B195" t="s">
        <v>350</v>
      </c>
      <c r="C195" t="s">
        <v>419</v>
      </c>
      <c r="D195" s="1" t="s">
        <v>341</v>
      </c>
      <c r="E195" t="s">
        <v>342</v>
      </c>
      <c r="F195">
        <v>335</v>
      </c>
    </row>
    <row r="196" spans="1:6" ht="12.75">
      <c r="A196">
        <v>200004</v>
      </c>
      <c r="B196" t="s">
        <v>350</v>
      </c>
      <c r="C196" t="s">
        <v>419</v>
      </c>
      <c r="D196" s="1" t="s">
        <v>401</v>
      </c>
      <c r="E196" t="s">
        <v>342</v>
      </c>
      <c r="F196">
        <v>23</v>
      </c>
    </row>
    <row r="197" spans="1:6" ht="12.75">
      <c r="A197">
        <v>200004</v>
      </c>
      <c r="B197" t="s">
        <v>350</v>
      </c>
      <c r="C197" t="s">
        <v>419</v>
      </c>
      <c r="D197" s="1" t="s">
        <v>356</v>
      </c>
      <c r="E197" t="s">
        <v>342</v>
      </c>
      <c r="F197">
        <v>5</v>
      </c>
    </row>
    <row r="198" spans="1:6" ht="12.75">
      <c r="A198">
        <v>200004</v>
      </c>
      <c r="B198" t="s">
        <v>350</v>
      </c>
      <c r="C198" t="s">
        <v>419</v>
      </c>
      <c r="D198" s="1" t="s">
        <v>357</v>
      </c>
      <c r="E198" t="s">
        <v>342</v>
      </c>
      <c r="F198">
        <v>3254</v>
      </c>
    </row>
    <row r="199" spans="1:6" ht="12.75">
      <c r="A199">
        <v>200004</v>
      </c>
      <c r="B199" t="s">
        <v>207</v>
      </c>
      <c r="C199" t="s">
        <v>419</v>
      </c>
      <c r="D199" s="1" t="s">
        <v>421</v>
      </c>
      <c r="E199" t="s">
        <v>342</v>
      </c>
      <c r="F199">
        <v>2</v>
      </c>
    </row>
    <row r="200" spans="1:6" ht="12.75">
      <c r="A200">
        <v>200004</v>
      </c>
      <c r="B200" t="s">
        <v>207</v>
      </c>
      <c r="C200" t="s">
        <v>419</v>
      </c>
      <c r="D200" s="1" t="s">
        <v>341</v>
      </c>
      <c r="E200" t="s">
        <v>342</v>
      </c>
      <c r="F200">
        <v>1252</v>
      </c>
    </row>
    <row r="201" spans="1:6" ht="12.75">
      <c r="A201">
        <v>200004</v>
      </c>
      <c r="B201" t="s">
        <v>207</v>
      </c>
      <c r="C201" t="s">
        <v>419</v>
      </c>
      <c r="D201" s="1" t="s">
        <v>360</v>
      </c>
      <c r="E201" t="s">
        <v>342</v>
      </c>
      <c r="F201">
        <v>8</v>
      </c>
    </row>
    <row r="202" spans="1:6" ht="12.75">
      <c r="A202">
        <v>200004</v>
      </c>
      <c r="B202" t="s">
        <v>207</v>
      </c>
      <c r="C202" t="s">
        <v>419</v>
      </c>
      <c r="D202" s="1" t="s">
        <v>368</v>
      </c>
      <c r="E202" t="s">
        <v>342</v>
      </c>
      <c r="F202">
        <v>3</v>
      </c>
    </row>
    <row r="203" spans="1:6" ht="12.75">
      <c r="A203">
        <v>200004</v>
      </c>
      <c r="B203" t="s">
        <v>361</v>
      </c>
      <c r="C203" t="s">
        <v>419</v>
      </c>
      <c r="D203" s="1" t="s">
        <v>422</v>
      </c>
      <c r="E203" t="s">
        <v>342</v>
      </c>
      <c r="F203">
        <v>68</v>
      </c>
    </row>
    <row r="204" spans="1:6" ht="12.75">
      <c r="A204">
        <v>200004</v>
      </c>
      <c r="B204" t="s">
        <v>361</v>
      </c>
      <c r="C204" t="s">
        <v>419</v>
      </c>
      <c r="D204" s="1" t="s">
        <v>394</v>
      </c>
      <c r="E204" t="s">
        <v>342</v>
      </c>
      <c r="F204">
        <v>4</v>
      </c>
    </row>
    <row r="205" spans="1:6" ht="12.75">
      <c r="A205">
        <v>200004</v>
      </c>
      <c r="B205" t="s">
        <v>361</v>
      </c>
      <c r="C205" t="s">
        <v>419</v>
      </c>
      <c r="D205" s="1" t="s">
        <v>352</v>
      </c>
      <c r="E205" t="s">
        <v>342</v>
      </c>
      <c r="F205">
        <v>2</v>
      </c>
    </row>
    <row r="206" spans="1:6" ht="12.75">
      <c r="A206">
        <v>200004</v>
      </c>
      <c r="B206" t="s">
        <v>361</v>
      </c>
      <c r="C206" t="s">
        <v>419</v>
      </c>
      <c r="D206" s="1" t="s">
        <v>392</v>
      </c>
      <c r="E206" t="s">
        <v>342</v>
      </c>
      <c r="F206">
        <v>26</v>
      </c>
    </row>
    <row r="207" spans="1:6" ht="12.75">
      <c r="A207">
        <v>200004</v>
      </c>
      <c r="B207" t="s">
        <v>361</v>
      </c>
      <c r="C207" t="s">
        <v>419</v>
      </c>
      <c r="D207" s="1" t="s">
        <v>353</v>
      </c>
      <c r="E207" t="s">
        <v>342</v>
      </c>
      <c r="F207">
        <v>102</v>
      </c>
    </row>
    <row r="208" spans="1:6" ht="12.75">
      <c r="A208">
        <v>200004</v>
      </c>
      <c r="B208" t="s">
        <v>361</v>
      </c>
      <c r="C208" t="s">
        <v>419</v>
      </c>
      <c r="D208" s="1" t="s">
        <v>423</v>
      </c>
      <c r="E208" t="s">
        <v>342</v>
      </c>
      <c r="F208">
        <v>2</v>
      </c>
    </row>
    <row r="209" spans="1:6" ht="12.75">
      <c r="A209">
        <v>200004</v>
      </c>
      <c r="B209" t="s">
        <v>361</v>
      </c>
      <c r="C209" t="s">
        <v>419</v>
      </c>
      <c r="D209" s="1" t="s">
        <v>413</v>
      </c>
      <c r="E209" t="s">
        <v>342</v>
      </c>
      <c r="F209">
        <v>6</v>
      </c>
    </row>
    <row r="210" spans="1:6" ht="12.75">
      <c r="A210">
        <v>200004</v>
      </c>
      <c r="B210" t="s">
        <v>361</v>
      </c>
      <c r="C210" t="s">
        <v>419</v>
      </c>
      <c r="D210" s="1" t="s">
        <v>396</v>
      </c>
      <c r="E210" t="s">
        <v>342</v>
      </c>
      <c r="F210">
        <v>2</v>
      </c>
    </row>
    <row r="211" spans="1:6" ht="12.75">
      <c r="A211">
        <v>200004</v>
      </c>
      <c r="B211" t="s">
        <v>361</v>
      </c>
      <c r="C211" t="s">
        <v>419</v>
      </c>
      <c r="D211" s="1" t="s">
        <v>362</v>
      </c>
      <c r="E211" t="s">
        <v>342</v>
      </c>
      <c r="F211">
        <v>9</v>
      </c>
    </row>
    <row r="212" spans="1:6" ht="12.75">
      <c r="A212">
        <v>200004</v>
      </c>
      <c r="B212" t="s">
        <v>361</v>
      </c>
      <c r="C212" t="s">
        <v>419</v>
      </c>
      <c r="D212" s="1" t="s">
        <v>406</v>
      </c>
      <c r="E212" t="s">
        <v>342</v>
      </c>
      <c r="F212">
        <v>2</v>
      </c>
    </row>
    <row r="213" spans="1:6" ht="12.75">
      <c r="A213">
        <v>200004</v>
      </c>
      <c r="B213" t="s">
        <v>361</v>
      </c>
      <c r="C213" t="s">
        <v>419</v>
      </c>
      <c r="D213" s="1" t="s">
        <v>389</v>
      </c>
      <c r="E213" t="s">
        <v>342</v>
      </c>
      <c r="F213">
        <v>6</v>
      </c>
    </row>
    <row r="214" spans="1:6" ht="12.75">
      <c r="A214">
        <v>200004</v>
      </c>
      <c r="B214" t="s">
        <v>361</v>
      </c>
      <c r="C214" t="s">
        <v>419</v>
      </c>
      <c r="D214" s="1" t="s">
        <v>341</v>
      </c>
      <c r="E214" t="s">
        <v>342</v>
      </c>
      <c r="F214">
        <v>61</v>
      </c>
    </row>
    <row r="215" spans="1:6" ht="12.75">
      <c r="A215">
        <v>200004</v>
      </c>
      <c r="B215" t="s">
        <v>361</v>
      </c>
      <c r="C215" t="s">
        <v>419</v>
      </c>
      <c r="D215" s="1" t="s">
        <v>424</v>
      </c>
      <c r="E215" t="s">
        <v>342</v>
      </c>
      <c r="F215">
        <v>2</v>
      </c>
    </row>
    <row r="216" spans="1:6" ht="12.75">
      <c r="A216">
        <v>200004</v>
      </c>
      <c r="B216" t="s">
        <v>361</v>
      </c>
      <c r="C216" t="s">
        <v>419</v>
      </c>
      <c r="D216" s="1" t="s">
        <v>356</v>
      </c>
      <c r="E216" t="s">
        <v>342</v>
      </c>
      <c r="F216">
        <v>331</v>
      </c>
    </row>
    <row r="217" spans="1:6" ht="12.75">
      <c r="A217">
        <v>200004</v>
      </c>
      <c r="B217" t="s">
        <v>361</v>
      </c>
      <c r="C217" t="s">
        <v>419</v>
      </c>
      <c r="D217" s="1" t="s">
        <v>357</v>
      </c>
      <c r="E217" t="s">
        <v>342</v>
      </c>
      <c r="F217">
        <v>42</v>
      </c>
    </row>
    <row r="218" spans="1:6" ht="12.75">
      <c r="A218">
        <v>200004</v>
      </c>
      <c r="B218" t="s">
        <v>361</v>
      </c>
      <c r="C218" t="s">
        <v>419</v>
      </c>
      <c r="D218" s="1" t="s">
        <v>390</v>
      </c>
      <c r="E218" t="s">
        <v>342</v>
      </c>
      <c r="F218">
        <v>22</v>
      </c>
    </row>
    <row r="219" spans="1:6" ht="12.75">
      <c r="A219">
        <v>200004</v>
      </c>
      <c r="B219" t="s">
        <v>364</v>
      </c>
      <c r="C219" t="s">
        <v>419</v>
      </c>
      <c r="D219" s="1" t="s">
        <v>365</v>
      </c>
      <c r="E219" t="s">
        <v>342</v>
      </c>
      <c r="F219">
        <v>4</v>
      </c>
    </row>
    <row r="220" spans="1:6" ht="12.75">
      <c r="A220">
        <v>200004</v>
      </c>
      <c r="B220" t="s">
        <v>364</v>
      </c>
      <c r="C220" t="s">
        <v>419</v>
      </c>
      <c r="D220" s="1" t="s">
        <v>341</v>
      </c>
      <c r="E220" t="s">
        <v>342</v>
      </c>
      <c r="F220">
        <v>6</v>
      </c>
    </row>
    <row r="221" spans="1:6" ht="12.75">
      <c r="A221">
        <v>200004</v>
      </c>
      <c r="B221" t="s">
        <v>367</v>
      </c>
      <c r="C221" t="s">
        <v>419</v>
      </c>
      <c r="D221" s="1" t="s">
        <v>366</v>
      </c>
      <c r="E221" t="s">
        <v>342</v>
      </c>
      <c r="F221">
        <v>2</v>
      </c>
    </row>
    <row r="222" spans="1:6" ht="12.75">
      <c r="A222">
        <v>200004</v>
      </c>
      <c r="B222" t="s">
        <v>340</v>
      </c>
      <c r="C222" t="s">
        <v>419</v>
      </c>
      <c r="D222" s="1" t="s">
        <v>388</v>
      </c>
      <c r="E222" t="s">
        <v>342</v>
      </c>
      <c r="F222">
        <v>5</v>
      </c>
    </row>
    <row r="223" spans="1:6" ht="12.75">
      <c r="A223">
        <v>200004</v>
      </c>
      <c r="B223" t="s">
        <v>340</v>
      </c>
      <c r="C223" t="s">
        <v>419</v>
      </c>
      <c r="D223" s="1" t="s">
        <v>421</v>
      </c>
      <c r="E223" t="s">
        <v>342</v>
      </c>
      <c r="F223">
        <v>1</v>
      </c>
    </row>
    <row r="224" spans="1:6" ht="12.75">
      <c r="A224">
        <v>200004</v>
      </c>
      <c r="B224" t="s">
        <v>340</v>
      </c>
      <c r="C224" t="s">
        <v>419</v>
      </c>
      <c r="D224" s="1" t="s">
        <v>341</v>
      </c>
      <c r="E224" t="s">
        <v>342</v>
      </c>
      <c r="F224">
        <v>4323</v>
      </c>
    </row>
    <row r="225" spans="1:6" ht="12.75">
      <c r="A225">
        <v>200004</v>
      </c>
      <c r="B225" t="s">
        <v>340</v>
      </c>
      <c r="C225" t="s">
        <v>419</v>
      </c>
      <c r="D225" s="1" t="s">
        <v>360</v>
      </c>
      <c r="E225" t="s">
        <v>342</v>
      </c>
      <c r="F225">
        <v>96</v>
      </c>
    </row>
    <row r="226" spans="1:6" ht="12.75">
      <c r="A226">
        <v>200004</v>
      </c>
      <c r="B226" t="s">
        <v>340</v>
      </c>
      <c r="C226" t="s">
        <v>419</v>
      </c>
      <c r="D226" s="1" t="s">
        <v>368</v>
      </c>
      <c r="E226" t="s">
        <v>342</v>
      </c>
      <c r="F226">
        <v>1</v>
      </c>
    </row>
    <row r="227" spans="1:6" ht="12.75">
      <c r="A227">
        <v>200004</v>
      </c>
      <c r="B227" t="s">
        <v>369</v>
      </c>
      <c r="C227" t="s">
        <v>419</v>
      </c>
      <c r="D227" s="1" t="s">
        <v>394</v>
      </c>
      <c r="E227" t="s">
        <v>342</v>
      </c>
      <c r="F227">
        <v>22</v>
      </c>
    </row>
    <row r="228" spans="1:6" ht="12.75">
      <c r="A228">
        <v>200004</v>
      </c>
      <c r="B228" t="s">
        <v>369</v>
      </c>
      <c r="C228" t="s">
        <v>419</v>
      </c>
      <c r="D228" s="1" t="s">
        <v>352</v>
      </c>
      <c r="E228" t="s">
        <v>342</v>
      </c>
      <c r="F228">
        <v>12</v>
      </c>
    </row>
    <row r="229" spans="1:6" ht="12.75">
      <c r="A229">
        <v>200004</v>
      </c>
      <c r="B229" t="s">
        <v>369</v>
      </c>
      <c r="C229" t="s">
        <v>419</v>
      </c>
      <c r="D229" s="1" t="s">
        <v>353</v>
      </c>
      <c r="E229" t="s">
        <v>342</v>
      </c>
      <c r="F229">
        <v>39</v>
      </c>
    </row>
    <row r="230" spans="1:6" ht="12.75">
      <c r="A230">
        <v>200004</v>
      </c>
      <c r="B230" t="s">
        <v>369</v>
      </c>
      <c r="C230" t="s">
        <v>419</v>
      </c>
      <c r="D230" s="1" t="s">
        <v>404</v>
      </c>
      <c r="E230" t="s">
        <v>342</v>
      </c>
      <c r="F230">
        <v>6</v>
      </c>
    </row>
    <row r="231" spans="1:6" ht="12.75">
      <c r="A231">
        <v>200004</v>
      </c>
      <c r="B231" t="s">
        <v>369</v>
      </c>
      <c r="C231" t="s">
        <v>419</v>
      </c>
      <c r="D231" s="1" t="s">
        <v>425</v>
      </c>
      <c r="E231" t="s">
        <v>342</v>
      </c>
      <c r="F231">
        <v>2</v>
      </c>
    </row>
    <row r="232" spans="1:6" ht="12.75">
      <c r="A232">
        <v>200004</v>
      </c>
      <c r="B232" t="s">
        <v>369</v>
      </c>
      <c r="C232" t="s">
        <v>419</v>
      </c>
      <c r="D232" s="1" t="s">
        <v>389</v>
      </c>
      <c r="E232" t="s">
        <v>342</v>
      </c>
      <c r="F232">
        <v>2</v>
      </c>
    </row>
    <row r="233" spans="1:6" ht="12.75">
      <c r="A233">
        <v>200004</v>
      </c>
      <c r="B233" t="s">
        <v>369</v>
      </c>
      <c r="C233" t="s">
        <v>419</v>
      </c>
      <c r="D233" s="1" t="s">
        <v>426</v>
      </c>
      <c r="E233" t="s">
        <v>342</v>
      </c>
      <c r="F233">
        <v>4</v>
      </c>
    </row>
    <row r="234" spans="1:6" ht="12.75">
      <c r="A234">
        <v>200004</v>
      </c>
      <c r="B234" t="s">
        <v>369</v>
      </c>
      <c r="C234" t="s">
        <v>419</v>
      </c>
      <c r="D234" s="1" t="s">
        <v>341</v>
      </c>
      <c r="E234" t="s">
        <v>342</v>
      </c>
      <c r="F234">
        <v>118</v>
      </c>
    </row>
    <row r="235" spans="1:6" ht="12.75">
      <c r="A235">
        <v>200004</v>
      </c>
      <c r="B235" t="s">
        <v>369</v>
      </c>
      <c r="C235" t="s">
        <v>419</v>
      </c>
      <c r="D235" s="1" t="s">
        <v>356</v>
      </c>
      <c r="E235" t="s">
        <v>342</v>
      </c>
      <c r="F235">
        <v>94</v>
      </c>
    </row>
    <row r="236" spans="1:6" ht="12.75">
      <c r="A236">
        <v>200004</v>
      </c>
      <c r="B236" t="s">
        <v>369</v>
      </c>
      <c r="C236" t="s">
        <v>419</v>
      </c>
      <c r="D236" s="1" t="s">
        <v>357</v>
      </c>
      <c r="E236" t="s">
        <v>342</v>
      </c>
      <c r="F236">
        <v>28</v>
      </c>
    </row>
    <row r="237" spans="1:6" ht="12.75">
      <c r="A237">
        <v>200004</v>
      </c>
      <c r="B237" t="s">
        <v>369</v>
      </c>
      <c r="C237" t="s">
        <v>419</v>
      </c>
      <c r="D237" s="1" t="s">
        <v>390</v>
      </c>
      <c r="E237" t="s">
        <v>342</v>
      </c>
      <c r="F237">
        <v>6</v>
      </c>
    </row>
    <row r="238" spans="1:6" ht="12.75">
      <c r="A238">
        <v>200004</v>
      </c>
      <c r="B238" t="s">
        <v>369</v>
      </c>
      <c r="C238" t="s">
        <v>419</v>
      </c>
      <c r="D238" s="1" t="s">
        <v>403</v>
      </c>
      <c r="E238" t="s">
        <v>342</v>
      </c>
      <c r="F238">
        <v>34</v>
      </c>
    </row>
    <row r="239" spans="1:6" ht="12.75">
      <c r="A239">
        <v>200004</v>
      </c>
      <c r="B239" t="s">
        <v>347</v>
      </c>
      <c r="C239" t="s">
        <v>419</v>
      </c>
      <c r="D239" s="1" t="s">
        <v>341</v>
      </c>
      <c r="E239" t="s">
        <v>342</v>
      </c>
      <c r="F239">
        <v>553</v>
      </c>
    </row>
    <row r="240" spans="1:6" ht="12.75">
      <c r="A240">
        <v>200004</v>
      </c>
      <c r="B240" t="s">
        <v>348</v>
      </c>
      <c r="C240" t="s">
        <v>419</v>
      </c>
      <c r="D240" s="1" t="s">
        <v>341</v>
      </c>
      <c r="E240" t="s">
        <v>342</v>
      </c>
      <c r="F240">
        <v>820</v>
      </c>
    </row>
    <row r="241" spans="1:6" ht="12.75">
      <c r="A241">
        <v>200004</v>
      </c>
      <c r="B241" t="s">
        <v>348</v>
      </c>
      <c r="C241" t="s">
        <v>419</v>
      </c>
      <c r="D241" s="1" t="s">
        <v>376</v>
      </c>
      <c r="E241" t="s">
        <v>342</v>
      </c>
      <c r="F241">
        <v>2</v>
      </c>
    </row>
    <row r="242" spans="1:6" ht="12.75">
      <c r="A242">
        <v>200004</v>
      </c>
      <c r="B242" t="s">
        <v>371</v>
      </c>
      <c r="C242" t="s">
        <v>419</v>
      </c>
      <c r="D242" s="1" t="s">
        <v>365</v>
      </c>
      <c r="E242" t="s">
        <v>342</v>
      </c>
      <c r="F242">
        <v>13</v>
      </c>
    </row>
    <row r="243" spans="1:6" ht="12.75">
      <c r="A243">
        <v>200004</v>
      </c>
      <c r="B243" t="s">
        <v>371</v>
      </c>
      <c r="C243" t="s">
        <v>419</v>
      </c>
      <c r="D243" s="1" t="s">
        <v>394</v>
      </c>
      <c r="E243" t="s">
        <v>342</v>
      </c>
      <c r="F243">
        <v>23</v>
      </c>
    </row>
    <row r="244" spans="1:6" ht="12.75">
      <c r="A244">
        <v>200004</v>
      </c>
      <c r="B244" t="s">
        <v>371</v>
      </c>
      <c r="C244" t="s">
        <v>419</v>
      </c>
      <c r="D244" s="1" t="s">
        <v>352</v>
      </c>
      <c r="E244" t="s">
        <v>342</v>
      </c>
      <c r="F244">
        <v>151</v>
      </c>
    </row>
    <row r="245" spans="1:6" ht="12.75">
      <c r="A245">
        <v>200004</v>
      </c>
      <c r="B245" t="s">
        <v>371</v>
      </c>
      <c r="C245" t="s">
        <v>419</v>
      </c>
      <c r="D245" s="1" t="s">
        <v>366</v>
      </c>
      <c r="E245" t="s">
        <v>342</v>
      </c>
      <c r="F245">
        <v>3924</v>
      </c>
    </row>
    <row r="246" spans="1:6" ht="12.75">
      <c r="A246">
        <v>200004</v>
      </c>
      <c r="B246" t="s">
        <v>371</v>
      </c>
      <c r="C246" t="s">
        <v>419</v>
      </c>
      <c r="D246" s="1" t="s">
        <v>427</v>
      </c>
      <c r="E246" t="s">
        <v>342</v>
      </c>
      <c r="F246">
        <v>6</v>
      </c>
    </row>
    <row r="247" spans="1:6" ht="12.75">
      <c r="A247">
        <v>200004</v>
      </c>
      <c r="B247" t="s">
        <v>371</v>
      </c>
      <c r="C247" t="s">
        <v>419</v>
      </c>
      <c r="D247" s="1" t="s">
        <v>353</v>
      </c>
      <c r="E247" t="s">
        <v>342</v>
      </c>
      <c r="F247">
        <v>1424</v>
      </c>
    </row>
    <row r="248" spans="1:6" ht="12.75">
      <c r="A248">
        <v>200004</v>
      </c>
      <c r="B248" t="s">
        <v>371</v>
      </c>
      <c r="C248" t="s">
        <v>419</v>
      </c>
      <c r="D248" s="1" t="s">
        <v>372</v>
      </c>
      <c r="E248" t="s">
        <v>342</v>
      </c>
      <c r="F248">
        <v>2</v>
      </c>
    </row>
    <row r="249" spans="1:6" ht="12.75">
      <c r="A249">
        <v>200004</v>
      </c>
      <c r="B249" t="s">
        <v>371</v>
      </c>
      <c r="C249" t="s">
        <v>419</v>
      </c>
      <c r="D249" s="1" t="s">
        <v>362</v>
      </c>
      <c r="E249" t="s">
        <v>342</v>
      </c>
      <c r="F249">
        <v>75</v>
      </c>
    </row>
    <row r="250" spans="1:6" ht="12.75">
      <c r="A250">
        <v>200004</v>
      </c>
      <c r="B250" t="s">
        <v>371</v>
      </c>
      <c r="C250" t="s">
        <v>419</v>
      </c>
      <c r="D250" s="1" t="s">
        <v>373</v>
      </c>
      <c r="E250" t="s">
        <v>342</v>
      </c>
      <c r="F250">
        <v>76</v>
      </c>
    </row>
    <row r="251" spans="1:6" ht="12.75">
      <c r="A251">
        <v>200004</v>
      </c>
      <c r="B251" t="s">
        <v>371</v>
      </c>
      <c r="C251" t="s">
        <v>419</v>
      </c>
      <c r="D251" s="1" t="s">
        <v>354</v>
      </c>
      <c r="E251" t="s">
        <v>342</v>
      </c>
      <c r="F251">
        <v>21</v>
      </c>
    </row>
    <row r="252" spans="1:6" ht="12.75">
      <c r="A252">
        <v>200004</v>
      </c>
      <c r="B252" t="s">
        <v>371</v>
      </c>
      <c r="C252" t="s">
        <v>419</v>
      </c>
      <c r="D252" s="1" t="s">
        <v>355</v>
      </c>
      <c r="E252" t="s">
        <v>342</v>
      </c>
      <c r="F252">
        <v>56</v>
      </c>
    </row>
    <row r="253" spans="1:6" ht="12.75">
      <c r="A253">
        <v>200004</v>
      </c>
      <c r="B253" t="s">
        <v>371</v>
      </c>
      <c r="C253" t="s">
        <v>419</v>
      </c>
      <c r="D253" s="1" t="s">
        <v>428</v>
      </c>
      <c r="E253" t="s">
        <v>342</v>
      </c>
      <c r="F253">
        <v>1</v>
      </c>
    </row>
    <row r="254" spans="1:6" ht="12.75">
      <c r="A254">
        <v>200004</v>
      </c>
      <c r="B254" t="s">
        <v>371</v>
      </c>
      <c r="C254" t="s">
        <v>419</v>
      </c>
      <c r="D254" s="1" t="s">
        <v>374</v>
      </c>
      <c r="E254" t="s">
        <v>342</v>
      </c>
      <c r="F254">
        <v>12</v>
      </c>
    </row>
    <row r="255" spans="1:6" ht="12.75">
      <c r="A255">
        <v>200004</v>
      </c>
      <c r="B255" t="s">
        <v>371</v>
      </c>
      <c r="C255" t="s">
        <v>419</v>
      </c>
      <c r="D255" s="1" t="s">
        <v>375</v>
      </c>
      <c r="E255" t="s">
        <v>342</v>
      </c>
      <c r="F255">
        <v>2</v>
      </c>
    </row>
    <row r="256" spans="1:6" ht="12.75">
      <c r="A256">
        <v>200004</v>
      </c>
      <c r="B256" t="s">
        <v>371</v>
      </c>
      <c r="C256" t="s">
        <v>419</v>
      </c>
      <c r="D256" s="1" t="s">
        <v>384</v>
      </c>
      <c r="E256" t="s">
        <v>342</v>
      </c>
      <c r="F256">
        <v>2</v>
      </c>
    </row>
    <row r="257" spans="1:6" ht="12.75">
      <c r="A257">
        <v>200004</v>
      </c>
      <c r="B257" t="s">
        <v>371</v>
      </c>
      <c r="C257" t="s">
        <v>419</v>
      </c>
      <c r="D257" s="1" t="s">
        <v>341</v>
      </c>
      <c r="E257" t="s">
        <v>342</v>
      </c>
      <c r="F257">
        <v>503</v>
      </c>
    </row>
    <row r="258" spans="1:6" ht="12.75">
      <c r="A258">
        <v>200004</v>
      </c>
      <c r="B258" t="s">
        <v>349</v>
      </c>
      <c r="C258" t="s">
        <v>419</v>
      </c>
      <c r="D258" s="1" t="s">
        <v>341</v>
      </c>
      <c r="E258" t="s">
        <v>342</v>
      </c>
      <c r="F258">
        <v>1577</v>
      </c>
    </row>
    <row r="259" spans="1:6" ht="12.75">
      <c r="A259">
        <v>200004</v>
      </c>
      <c r="B259" t="s">
        <v>349</v>
      </c>
      <c r="C259" t="s">
        <v>419</v>
      </c>
      <c r="D259" s="1" t="s">
        <v>357</v>
      </c>
      <c r="E259" t="s">
        <v>342</v>
      </c>
      <c r="F259">
        <v>1</v>
      </c>
    </row>
    <row r="260" spans="1:6" ht="12.75">
      <c r="A260">
        <v>200004</v>
      </c>
      <c r="B260" t="s">
        <v>349</v>
      </c>
      <c r="C260" t="s">
        <v>419</v>
      </c>
      <c r="D260" s="1" t="s">
        <v>376</v>
      </c>
      <c r="E260" t="s">
        <v>342</v>
      </c>
      <c r="F260">
        <v>3</v>
      </c>
    </row>
    <row r="261" spans="1:6" ht="12.75">
      <c r="A261">
        <v>200004</v>
      </c>
      <c r="B261" t="s">
        <v>377</v>
      </c>
      <c r="C261" t="s">
        <v>419</v>
      </c>
      <c r="D261" s="1" t="s">
        <v>352</v>
      </c>
      <c r="E261" t="s">
        <v>342</v>
      </c>
      <c r="F261">
        <v>21</v>
      </c>
    </row>
    <row r="262" spans="1:6" ht="12.75">
      <c r="A262">
        <v>200004</v>
      </c>
      <c r="B262" t="s">
        <v>377</v>
      </c>
      <c r="C262" t="s">
        <v>419</v>
      </c>
      <c r="D262" s="1" t="s">
        <v>392</v>
      </c>
      <c r="E262" t="s">
        <v>342</v>
      </c>
      <c r="F262">
        <v>136</v>
      </c>
    </row>
    <row r="263" spans="1:6" ht="12.75">
      <c r="A263">
        <v>200004</v>
      </c>
      <c r="B263" t="s">
        <v>377</v>
      </c>
      <c r="C263" t="s">
        <v>419</v>
      </c>
      <c r="D263" s="1" t="s">
        <v>353</v>
      </c>
      <c r="E263" t="s">
        <v>342</v>
      </c>
      <c r="F263">
        <v>261</v>
      </c>
    </row>
    <row r="264" spans="1:6" ht="12.75">
      <c r="A264">
        <v>200004</v>
      </c>
      <c r="B264" t="s">
        <v>377</v>
      </c>
      <c r="C264" t="s">
        <v>419</v>
      </c>
      <c r="D264" s="1" t="s">
        <v>378</v>
      </c>
      <c r="E264" t="s">
        <v>342</v>
      </c>
      <c r="F264">
        <v>1</v>
      </c>
    </row>
    <row r="265" spans="1:6" ht="12.75">
      <c r="A265">
        <v>200004</v>
      </c>
      <c r="B265" t="s">
        <v>377</v>
      </c>
      <c r="C265" t="s">
        <v>419</v>
      </c>
      <c r="D265" s="1" t="s">
        <v>413</v>
      </c>
      <c r="E265" t="s">
        <v>342</v>
      </c>
      <c r="F265">
        <v>6</v>
      </c>
    </row>
    <row r="266" spans="1:6" ht="12.75">
      <c r="A266">
        <v>200004</v>
      </c>
      <c r="B266" t="s">
        <v>377</v>
      </c>
      <c r="C266" t="s">
        <v>419</v>
      </c>
      <c r="D266" s="1" t="s">
        <v>429</v>
      </c>
      <c r="E266" t="s">
        <v>342</v>
      </c>
      <c r="F266">
        <v>5</v>
      </c>
    </row>
    <row r="267" spans="1:6" ht="12.75">
      <c r="A267">
        <v>200004</v>
      </c>
      <c r="B267" t="s">
        <v>377</v>
      </c>
      <c r="C267" t="s">
        <v>419</v>
      </c>
      <c r="D267" s="1" t="s">
        <v>430</v>
      </c>
      <c r="E267" t="s">
        <v>342</v>
      </c>
      <c r="F267">
        <v>2</v>
      </c>
    </row>
    <row r="268" spans="1:6" ht="12.75">
      <c r="A268">
        <v>200004</v>
      </c>
      <c r="B268" t="s">
        <v>377</v>
      </c>
      <c r="C268" t="s">
        <v>419</v>
      </c>
      <c r="D268" s="1" t="s">
        <v>388</v>
      </c>
      <c r="E268" t="s">
        <v>342</v>
      </c>
      <c r="F268">
        <v>4</v>
      </c>
    </row>
    <row r="269" spans="1:6" ht="12.75">
      <c r="A269">
        <v>200004</v>
      </c>
      <c r="B269" t="s">
        <v>377</v>
      </c>
      <c r="C269" t="s">
        <v>419</v>
      </c>
      <c r="D269" s="1" t="s">
        <v>354</v>
      </c>
      <c r="E269" t="s">
        <v>342</v>
      </c>
      <c r="F269">
        <v>1</v>
      </c>
    </row>
    <row r="270" spans="1:6" ht="12.75">
      <c r="A270">
        <v>200004</v>
      </c>
      <c r="B270" t="s">
        <v>377</v>
      </c>
      <c r="C270" t="s">
        <v>419</v>
      </c>
      <c r="D270" s="1" t="s">
        <v>431</v>
      </c>
      <c r="E270" t="s">
        <v>342</v>
      </c>
      <c r="F270">
        <v>6</v>
      </c>
    </row>
    <row r="271" spans="1:6" ht="12.75">
      <c r="A271">
        <v>200004</v>
      </c>
      <c r="B271" t="s">
        <v>377</v>
      </c>
      <c r="C271" t="s">
        <v>419</v>
      </c>
      <c r="D271" s="1" t="s">
        <v>411</v>
      </c>
      <c r="E271" t="s">
        <v>342</v>
      </c>
      <c r="F271">
        <v>3</v>
      </c>
    </row>
    <row r="272" spans="1:6" ht="12.75">
      <c r="A272">
        <v>200004</v>
      </c>
      <c r="B272" t="s">
        <v>377</v>
      </c>
      <c r="C272" t="s">
        <v>419</v>
      </c>
      <c r="D272" s="1" t="s">
        <v>341</v>
      </c>
      <c r="E272" t="s">
        <v>342</v>
      </c>
      <c r="F272">
        <v>93</v>
      </c>
    </row>
    <row r="273" spans="1:6" ht="12.75">
      <c r="A273">
        <v>200004</v>
      </c>
      <c r="B273" t="s">
        <v>377</v>
      </c>
      <c r="C273" t="s">
        <v>419</v>
      </c>
      <c r="D273" s="1" t="s">
        <v>356</v>
      </c>
      <c r="E273" t="s">
        <v>342</v>
      </c>
      <c r="F273">
        <v>1200</v>
      </c>
    </row>
    <row r="274" spans="1:6" ht="12.75">
      <c r="A274">
        <v>200004</v>
      </c>
      <c r="B274" t="s">
        <v>377</v>
      </c>
      <c r="C274" t="s">
        <v>419</v>
      </c>
      <c r="D274" s="1" t="s">
        <v>357</v>
      </c>
      <c r="E274" t="s">
        <v>342</v>
      </c>
      <c r="F274">
        <v>268</v>
      </c>
    </row>
    <row r="275" spans="1:6" ht="12.75">
      <c r="A275">
        <v>200004</v>
      </c>
      <c r="B275" t="s">
        <v>377</v>
      </c>
      <c r="C275" t="s">
        <v>419</v>
      </c>
      <c r="D275" s="1" t="s">
        <v>390</v>
      </c>
      <c r="E275" t="s">
        <v>342</v>
      </c>
      <c r="F275">
        <v>1</v>
      </c>
    </row>
    <row r="276" spans="1:6" ht="12.75">
      <c r="A276">
        <v>200004</v>
      </c>
      <c r="B276" t="s">
        <v>377</v>
      </c>
      <c r="C276" t="s">
        <v>419</v>
      </c>
      <c r="D276" s="1" t="s">
        <v>418</v>
      </c>
      <c r="E276" t="s">
        <v>342</v>
      </c>
      <c r="F276">
        <v>3</v>
      </c>
    </row>
    <row r="277" spans="1:6" ht="12.75">
      <c r="A277">
        <v>200004</v>
      </c>
      <c r="B277" t="s">
        <v>377</v>
      </c>
      <c r="C277" t="s">
        <v>419</v>
      </c>
      <c r="D277" s="1" t="s">
        <v>402</v>
      </c>
      <c r="E277" t="s">
        <v>342</v>
      </c>
      <c r="F277">
        <v>52</v>
      </c>
    </row>
    <row r="278" spans="1:6" ht="12.75">
      <c r="A278">
        <v>200004</v>
      </c>
      <c r="B278" t="s">
        <v>379</v>
      </c>
      <c r="C278" t="s">
        <v>419</v>
      </c>
      <c r="D278" s="1" t="s">
        <v>352</v>
      </c>
      <c r="E278" t="s">
        <v>342</v>
      </c>
      <c r="F278">
        <v>187</v>
      </c>
    </row>
    <row r="279" spans="1:6" ht="12.75">
      <c r="A279">
        <v>200004</v>
      </c>
      <c r="B279" t="s">
        <v>379</v>
      </c>
      <c r="C279" t="s">
        <v>419</v>
      </c>
      <c r="D279" s="1" t="s">
        <v>366</v>
      </c>
      <c r="E279" t="s">
        <v>342</v>
      </c>
      <c r="F279">
        <v>3825</v>
      </c>
    </row>
    <row r="280" spans="1:6" ht="12.75">
      <c r="A280">
        <v>200004</v>
      </c>
      <c r="B280" t="s">
        <v>379</v>
      </c>
      <c r="C280" t="s">
        <v>419</v>
      </c>
      <c r="D280" s="1" t="s">
        <v>427</v>
      </c>
      <c r="E280" t="s">
        <v>342</v>
      </c>
      <c r="F280">
        <v>9</v>
      </c>
    </row>
    <row r="281" spans="1:6" ht="12.75">
      <c r="A281">
        <v>200004</v>
      </c>
      <c r="B281" t="s">
        <v>379</v>
      </c>
      <c r="C281" t="s">
        <v>419</v>
      </c>
      <c r="D281" s="1" t="s">
        <v>353</v>
      </c>
      <c r="E281" t="s">
        <v>342</v>
      </c>
      <c r="F281">
        <v>1122</v>
      </c>
    </row>
    <row r="282" spans="1:6" ht="12.75">
      <c r="A282">
        <v>200004</v>
      </c>
      <c r="B282" t="s">
        <v>379</v>
      </c>
      <c r="C282" t="s">
        <v>419</v>
      </c>
      <c r="D282" s="1" t="s">
        <v>362</v>
      </c>
      <c r="E282" t="s">
        <v>342</v>
      </c>
      <c r="F282">
        <v>21</v>
      </c>
    </row>
    <row r="283" spans="1:6" ht="12.75">
      <c r="A283">
        <v>200004</v>
      </c>
      <c r="B283" t="s">
        <v>379</v>
      </c>
      <c r="C283" t="s">
        <v>419</v>
      </c>
      <c r="D283" s="1" t="s">
        <v>373</v>
      </c>
      <c r="E283" t="s">
        <v>342</v>
      </c>
      <c r="F283">
        <v>2</v>
      </c>
    </row>
    <row r="284" spans="1:6" ht="12.75">
      <c r="A284">
        <v>200004</v>
      </c>
      <c r="B284" t="s">
        <v>379</v>
      </c>
      <c r="C284" t="s">
        <v>419</v>
      </c>
      <c r="D284" s="1" t="s">
        <v>354</v>
      </c>
      <c r="E284" t="s">
        <v>342</v>
      </c>
      <c r="F284">
        <v>1</v>
      </c>
    </row>
    <row r="285" spans="1:6" ht="12.75">
      <c r="A285">
        <v>200004</v>
      </c>
      <c r="B285" t="s">
        <v>379</v>
      </c>
      <c r="C285" t="s">
        <v>419</v>
      </c>
      <c r="D285" s="1" t="s">
        <v>355</v>
      </c>
      <c r="E285" t="s">
        <v>342</v>
      </c>
      <c r="F285">
        <v>51</v>
      </c>
    </row>
    <row r="286" spans="1:6" ht="12.75">
      <c r="A286">
        <v>200004</v>
      </c>
      <c r="B286" t="s">
        <v>379</v>
      </c>
      <c r="C286" t="s">
        <v>419</v>
      </c>
      <c r="D286" s="1" t="s">
        <v>381</v>
      </c>
      <c r="E286" t="s">
        <v>342</v>
      </c>
      <c r="F286">
        <v>16</v>
      </c>
    </row>
    <row r="287" spans="1:6" ht="12.75">
      <c r="A287">
        <v>200004</v>
      </c>
      <c r="B287" t="s">
        <v>379</v>
      </c>
      <c r="C287" t="s">
        <v>419</v>
      </c>
      <c r="D287" s="1" t="s">
        <v>374</v>
      </c>
      <c r="E287" t="s">
        <v>342</v>
      </c>
      <c r="F287">
        <v>48</v>
      </c>
    </row>
    <row r="288" spans="1:6" ht="12.75">
      <c r="A288">
        <v>200004</v>
      </c>
      <c r="B288" t="s">
        <v>379</v>
      </c>
      <c r="C288" t="s">
        <v>419</v>
      </c>
      <c r="D288" s="1" t="s">
        <v>432</v>
      </c>
      <c r="E288" t="s">
        <v>342</v>
      </c>
      <c r="F288">
        <v>1</v>
      </c>
    </row>
    <row r="289" spans="1:6" ht="12.75">
      <c r="A289">
        <v>200004</v>
      </c>
      <c r="B289" t="s">
        <v>379</v>
      </c>
      <c r="C289" t="s">
        <v>419</v>
      </c>
      <c r="D289" s="1" t="s">
        <v>341</v>
      </c>
      <c r="E289" t="s">
        <v>342</v>
      </c>
      <c r="F289">
        <v>917</v>
      </c>
    </row>
    <row r="290" spans="1:6" ht="12.75">
      <c r="A290">
        <v>200004</v>
      </c>
      <c r="B290" t="s">
        <v>379</v>
      </c>
      <c r="C290" t="s">
        <v>419</v>
      </c>
      <c r="D290" s="1" t="s">
        <v>385</v>
      </c>
      <c r="E290" t="s">
        <v>342</v>
      </c>
      <c r="F290">
        <v>7</v>
      </c>
    </row>
    <row r="291" spans="1:6" ht="12.75">
      <c r="A291">
        <v>200004</v>
      </c>
      <c r="B291" t="s">
        <v>379</v>
      </c>
      <c r="C291" t="s">
        <v>419</v>
      </c>
      <c r="D291" s="1" t="s">
        <v>386</v>
      </c>
      <c r="E291" t="s">
        <v>342</v>
      </c>
      <c r="F291">
        <v>1</v>
      </c>
    </row>
    <row r="292" spans="1:6" ht="12.75">
      <c r="A292">
        <v>200004</v>
      </c>
      <c r="B292" t="s">
        <v>379</v>
      </c>
      <c r="C292" t="s">
        <v>419</v>
      </c>
      <c r="D292" s="1" t="s">
        <v>376</v>
      </c>
      <c r="E292" t="s">
        <v>342</v>
      </c>
      <c r="F292">
        <v>1</v>
      </c>
    </row>
    <row r="293" spans="1:6" ht="12.75">
      <c r="A293">
        <v>200004</v>
      </c>
      <c r="B293" t="s">
        <v>387</v>
      </c>
      <c r="C293" t="s">
        <v>419</v>
      </c>
      <c r="D293" s="1" t="s">
        <v>394</v>
      </c>
      <c r="E293" t="s">
        <v>342</v>
      </c>
      <c r="F293">
        <v>46</v>
      </c>
    </row>
    <row r="294" spans="1:6" ht="12.75">
      <c r="A294">
        <v>200004</v>
      </c>
      <c r="B294" t="s">
        <v>387</v>
      </c>
      <c r="C294" t="s">
        <v>419</v>
      </c>
      <c r="D294" s="1" t="s">
        <v>352</v>
      </c>
      <c r="E294" t="s">
        <v>342</v>
      </c>
      <c r="F294">
        <v>15</v>
      </c>
    </row>
    <row r="295" spans="1:6" ht="12.75">
      <c r="A295">
        <v>200004</v>
      </c>
      <c r="B295" t="s">
        <v>387</v>
      </c>
      <c r="C295" t="s">
        <v>419</v>
      </c>
      <c r="D295" s="1" t="s">
        <v>392</v>
      </c>
      <c r="E295" t="s">
        <v>342</v>
      </c>
      <c r="F295">
        <v>31</v>
      </c>
    </row>
    <row r="296" spans="1:6" ht="12.75">
      <c r="A296">
        <v>200004</v>
      </c>
      <c r="B296" t="s">
        <v>387</v>
      </c>
      <c r="C296" t="s">
        <v>419</v>
      </c>
      <c r="D296" s="1" t="s">
        <v>353</v>
      </c>
      <c r="E296" t="s">
        <v>342</v>
      </c>
      <c r="F296">
        <v>82</v>
      </c>
    </row>
    <row r="297" spans="1:6" ht="12.75">
      <c r="A297">
        <v>200004</v>
      </c>
      <c r="B297" t="s">
        <v>387</v>
      </c>
      <c r="C297" t="s">
        <v>419</v>
      </c>
      <c r="D297" s="1" t="s">
        <v>433</v>
      </c>
      <c r="E297" t="s">
        <v>342</v>
      </c>
      <c r="F297">
        <v>22</v>
      </c>
    </row>
    <row r="298" spans="1:6" ht="12.75">
      <c r="A298">
        <v>200004</v>
      </c>
      <c r="B298" t="s">
        <v>387</v>
      </c>
      <c r="C298" t="s">
        <v>419</v>
      </c>
      <c r="D298" s="1" t="s">
        <v>413</v>
      </c>
      <c r="E298" t="s">
        <v>342</v>
      </c>
      <c r="F298">
        <v>4</v>
      </c>
    </row>
    <row r="299" spans="1:6" ht="12.75">
      <c r="A299">
        <v>200004</v>
      </c>
      <c r="B299" t="s">
        <v>387</v>
      </c>
      <c r="C299" t="s">
        <v>419</v>
      </c>
      <c r="D299" s="1" t="s">
        <v>404</v>
      </c>
      <c r="E299" t="s">
        <v>342</v>
      </c>
      <c r="F299">
        <v>115</v>
      </c>
    </row>
    <row r="300" spans="1:6" ht="12.75">
      <c r="A300">
        <v>200004</v>
      </c>
      <c r="B300" t="s">
        <v>387</v>
      </c>
      <c r="C300" t="s">
        <v>419</v>
      </c>
      <c r="D300" s="1" t="s">
        <v>415</v>
      </c>
      <c r="E300" t="s">
        <v>342</v>
      </c>
      <c r="F300">
        <v>1</v>
      </c>
    </row>
    <row r="301" spans="1:6" ht="12.75">
      <c r="A301">
        <v>200004</v>
      </c>
      <c r="B301" t="s">
        <v>387</v>
      </c>
      <c r="C301" t="s">
        <v>419</v>
      </c>
      <c r="D301" s="1" t="s">
        <v>416</v>
      </c>
      <c r="E301" t="s">
        <v>342</v>
      </c>
      <c r="F301">
        <v>32</v>
      </c>
    </row>
    <row r="302" spans="1:6" ht="12.75">
      <c r="A302">
        <v>200004</v>
      </c>
      <c r="B302" t="s">
        <v>387</v>
      </c>
      <c r="C302" t="s">
        <v>419</v>
      </c>
      <c r="D302" s="1" t="s">
        <v>434</v>
      </c>
      <c r="E302" t="s">
        <v>342</v>
      </c>
      <c r="F302">
        <v>18</v>
      </c>
    </row>
    <row r="303" spans="1:6" ht="12.75">
      <c r="A303">
        <v>200004</v>
      </c>
      <c r="B303" t="s">
        <v>387</v>
      </c>
      <c r="C303" t="s">
        <v>419</v>
      </c>
      <c r="D303" s="1" t="s">
        <v>435</v>
      </c>
      <c r="E303" t="s">
        <v>342</v>
      </c>
      <c r="F303">
        <v>13</v>
      </c>
    </row>
    <row r="304" spans="1:6" ht="12.75">
      <c r="A304">
        <v>200004</v>
      </c>
      <c r="B304" t="s">
        <v>387</v>
      </c>
      <c r="C304" t="s">
        <v>419</v>
      </c>
      <c r="D304" s="1" t="s">
        <v>370</v>
      </c>
      <c r="E304" t="s">
        <v>342</v>
      </c>
      <c r="F304">
        <v>1</v>
      </c>
    </row>
    <row r="305" spans="1:6" ht="12.75">
      <c r="A305">
        <v>200004</v>
      </c>
      <c r="B305" t="s">
        <v>387</v>
      </c>
      <c r="C305" t="s">
        <v>419</v>
      </c>
      <c r="D305" s="1" t="s">
        <v>431</v>
      </c>
      <c r="E305" t="s">
        <v>342</v>
      </c>
      <c r="F305">
        <v>14</v>
      </c>
    </row>
    <row r="306" spans="1:6" ht="12.75">
      <c r="A306">
        <v>200004</v>
      </c>
      <c r="B306" t="s">
        <v>387</v>
      </c>
      <c r="C306" t="s">
        <v>419</v>
      </c>
      <c r="D306" s="1" t="s">
        <v>436</v>
      </c>
      <c r="E306" t="s">
        <v>342</v>
      </c>
      <c r="F306">
        <v>2</v>
      </c>
    </row>
    <row r="307" spans="1:6" ht="12.75">
      <c r="A307">
        <v>200004</v>
      </c>
      <c r="B307" t="s">
        <v>387</v>
      </c>
      <c r="C307" t="s">
        <v>419</v>
      </c>
      <c r="D307" s="1" t="s">
        <v>341</v>
      </c>
      <c r="E307" t="s">
        <v>342</v>
      </c>
      <c r="F307">
        <v>138</v>
      </c>
    </row>
    <row r="308" spans="1:6" ht="12.75">
      <c r="A308">
        <v>200004</v>
      </c>
      <c r="B308" t="s">
        <v>387</v>
      </c>
      <c r="C308" t="s">
        <v>419</v>
      </c>
      <c r="D308" s="1" t="s">
        <v>437</v>
      </c>
      <c r="E308" t="s">
        <v>342</v>
      </c>
      <c r="F308">
        <v>4</v>
      </c>
    </row>
    <row r="309" spans="1:6" ht="12.75">
      <c r="A309">
        <v>200004</v>
      </c>
      <c r="B309" t="s">
        <v>387</v>
      </c>
      <c r="C309" t="s">
        <v>419</v>
      </c>
      <c r="D309" s="1" t="s">
        <v>356</v>
      </c>
      <c r="E309" t="s">
        <v>342</v>
      </c>
      <c r="F309">
        <v>147</v>
      </c>
    </row>
    <row r="310" spans="1:6" ht="12.75">
      <c r="A310">
        <v>200004</v>
      </c>
      <c r="B310" t="s">
        <v>387</v>
      </c>
      <c r="C310" t="s">
        <v>419</v>
      </c>
      <c r="D310" s="1" t="s">
        <v>357</v>
      </c>
      <c r="E310" t="s">
        <v>342</v>
      </c>
      <c r="F310">
        <v>154</v>
      </c>
    </row>
    <row r="311" spans="1:6" ht="12.75">
      <c r="A311">
        <v>200004</v>
      </c>
      <c r="B311" t="s">
        <v>387</v>
      </c>
      <c r="C311" t="s">
        <v>419</v>
      </c>
      <c r="D311" s="1" t="s">
        <v>418</v>
      </c>
      <c r="E311" t="s">
        <v>342</v>
      </c>
      <c r="F311">
        <v>10</v>
      </c>
    </row>
    <row r="312" spans="1:9" ht="12.75">
      <c r="A312">
        <v>200004</v>
      </c>
      <c r="B312" t="s">
        <v>387</v>
      </c>
      <c r="C312" t="s">
        <v>419</v>
      </c>
      <c r="D312" s="1" t="s">
        <v>402</v>
      </c>
      <c r="E312" t="s">
        <v>342</v>
      </c>
      <c r="F312">
        <v>48</v>
      </c>
      <c r="H312" t="s">
        <v>419</v>
      </c>
      <c r="I312">
        <f>SUM(F187:F312)</f>
        <v>30097</v>
      </c>
    </row>
    <row r="313" spans="1:6" ht="12.75">
      <c r="A313">
        <v>200004</v>
      </c>
      <c r="B313" t="s">
        <v>350</v>
      </c>
      <c r="C313" t="s">
        <v>262</v>
      </c>
      <c r="D313" s="1" t="s">
        <v>352</v>
      </c>
      <c r="E313" t="s">
        <v>342</v>
      </c>
      <c r="F313">
        <v>3</v>
      </c>
    </row>
    <row r="314" spans="1:6" ht="12.75">
      <c r="A314">
        <v>200004</v>
      </c>
      <c r="B314" t="s">
        <v>350</v>
      </c>
      <c r="C314" t="s">
        <v>262</v>
      </c>
      <c r="D314" s="1" t="s">
        <v>353</v>
      </c>
      <c r="E314" t="s">
        <v>342</v>
      </c>
      <c r="F314">
        <v>4</v>
      </c>
    </row>
    <row r="315" spans="1:6" ht="12.75">
      <c r="A315">
        <v>200004</v>
      </c>
      <c r="B315" t="s">
        <v>350</v>
      </c>
      <c r="C315" t="s">
        <v>262</v>
      </c>
      <c r="D315" s="1" t="s">
        <v>393</v>
      </c>
      <c r="E315" t="s">
        <v>342</v>
      </c>
      <c r="F315">
        <v>3</v>
      </c>
    </row>
    <row r="316" spans="1:6" ht="12.75">
      <c r="A316">
        <v>200004</v>
      </c>
      <c r="B316" t="s">
        <v>350</v>
      </c>
      <c r="C316" t="s">
        <v>262</v>
      </c>
      <c r="D316" s="1" t="s">
        <v>355</v>
      </c>
      <c r="E316" t="s">
        <v>342</v>
      </c>
      <c r="F316">
        <v>13</v>
      </c>
    </row>
    <row r="317" spans="1:6" ht="12.75">
      <c r="A317">
        <v>200004</v>
      </c>
      <c r="B317" t="s">
        <v>350</v>
      </c>
      <c r="C317" t="s">
        <v>262</v>
      </c>
      <c r="D317" s="1" t="s">
        <v>438</v>
      </c>
      <c r="E317" t="s">
        <v>342</v>
      </c>
      <c r="F317">
        <v>2</v>
      </c>
    </row>
    <row r="318" spans="1:6" ht="12.75">
      <c r="A318">
        <v>200004</v>
      </c>
      <c r="B318" t="s">
        <v>350</v>
      </c>
      <c r="C318" t="s">
        <v>262</v>
      </c>
      <c r="D318" s="1" t="s">
        <v>439</v>
      </c>
      <c r="E318" t="s">
        <v>342</v>
      </c>
      <c r="F318">
        <v>14</v>
      </c>
    </row>
    <row r="319" spans="1:6" ht="12.75">
      <c r="A319">
        <v>200004</v>
      </c>
      <c r="B319" t="s">
        <v>350</v>
      </c>
      <c r="C319" t="s">
        <v>262</v>
      </c>
      <c r="D319" s="1" t="s">
        <v>341</v>
      </c>
      <c r="E319" t="s">
        <v>342</v>
      </c>
      <c r="F319">
        <v>3960</v>
      </c>
    </row>
    <row r="320" spans="1:6" ht="12.75">
      <c r="A320">
        <v>200004</v>
      </c>
      <c r="B320" t="s">
        <v>350</v>
      </c>
      <c r="C320" t="s">
        <v>262</v>
      </c>
      <c r="D320" s="1" t="s">
        <v>344</v>
      </c>
      <c r="E320" t="s">
        <v>342</v>
      </c>
      <c r="F320">
        <v>38</v>
      </c>
    </row>
    <row r="321" spans="1:6" ht="12.75">
      <c r="A321">
        <v>200004</v>
      </c>
      <c r="B321" t="s">
        <v>350</v>
      </c>
      <c r="C321" t="s">
        <v>262</v>
      </c>
      <c r="D321" s="1" t="s">
        <v>401</v>
      </c>
      <c r="E321" t="s">
        <v>342</v>
      </c>
      <c r="F321">
        <v>16</v>
      </c>
    </row>
    <row r="322" spans="1:6" ht="12.75">
      <c r="A322">
        <v>200004</v>
      </c>
      <c r="B322" t="s">
        <v>350</v>
      </c>
      <c r="C322" t="s">
        <v>262</v>
      </c>
      <c r="D322" s="1" t="s">
        <v>440</v>
      </c>
      <c r="E322" t="s">
        <v>342</v>
      </c>
      <c r="F322">
        <v>1</v>
      </c>
    </row>
    <row r="323" spans="1:6" ht="12.75">
      <c r="A323">
        <v>200004</v>
      </c>
      <c r="B323" t="s">
        <v>350</v>
      </c>
      <c r="C323" t="s">
        <v>262</v>
      </c>
      <c r="D323" s="1" t="s">
        <v>441</v>
      </c>
      <c r="E323" t="s">
        <v>342</v>
      </c>
      <c r="F323">
        <v>1</v>
      </c>
    </row>
    <row r="324" spans="1:6" ht="12.75">
      <c r="A324">
        <v>200004</v>
      </c>
      <c r="B324" t="s">
        <v>350</v>
      </c>
      <c r="C324" t="s">
        <v>262</v>
      </c>
      <c r="D324" s="1" t="s">
        <v>357</v>
      </c>
      <c r="E324" t="s">
        <v>342</v>
      </c>
      <c r="F324">
        <v>18</v>
      </c>
    </row>
    <row r="325" spans="1:6" ht="12.75">
      <c r="A325">
        <v>200004</v>
      </c>
      <c r="B325" t="s">
        <v>350</v>
      </c>
      <c r="C325" t="s">
        <v>262</v>
      </c>
      <c r="D325" s="1" t="s">
        <v>442</v>
      </c>
      <c r="E325" t="s">
        <v>342</v>
      </c>
      <c r="F325">
        <v>3</v>
      </c>
    </row>
    <row r="326" spans="1:6" ht="12.75">
      <c r="A326">
        <v>200004</v>
      </c>
      <c r="B326" t="s">
        <v>207</v>
      </c>
      <c r="C326" t="s">
        <v>262</v>
      </c>
      <c r="D326" s="1" t="s">
        <v>443</v>
      </c>
      <c r="E326" t="s">
        <v>342</v>
      </c>
      <c r="F326">
        <v>1</v>
      </c>
    </row>
    <row r="327" spans="1:6" ht="12.75">
      <c r="A327">
        <v>200004</v>
      </c>
      <c r="B327" t="s">
        <v>207</v>
      </c>
      <c r="C327" t="s">
        <v>262</v>
      </c>
      <c r="D327" s="1" t="s">
        <v>439</v>
      </c>
      <c r="E327" t="s">
        <v>342</v>
      </c>
      <c r="F327">
        <v>1</v>
      </c>
    </row>
    <row r="328" spans="1:6" ht="12.75">
      <c r="A328">
        <v>200004</v>
      </c>
      <c r="B328" t="s">
        <v>207</v>
      </c>
      <c r="C328" t="s">
        <v>262</v>
      </c>
      <c r="D328" s="1" t="s">
        <v>341</v>
      </c>
      <c r="E328" t="s">
        <v>342</v>
      </c>
      <c r="F328">
        <v>2072</v>
      </c>
    </row>
    <row r="329" spans="1:6" ht="12.75">
      <c r="A329">
        <v>200004</v>
      </c>
      <c r="B329" t="s">
        <v>207</v>
      </c>
      <c r="C329" t="s">
        <v>262</v>
      </c>
      <c r="D329" s="1" t="s">
        <v>344</v>
      </c>
      <c r="E329" t="s">
        <v>342</v>
      </c>
      <c r="F329">
        <v>30</v>
      </c>
    </row>
    <row r="330" spans="1:6" ht="12.75">
      <c r="A330">
        <v>200004</v>
      </c>
      <c r="B330" t="s">
        <v>207</v>
      </c>
      <c r="C330" t="s">
        <v>262</v>
      </c>
      <c r="D330" s="1" t="s">
        <v>401</v>
      </c>
      <c r="E330" t="s">
        <v>342</v>
      </c>
      <c r="F330">
        <v>165</v>
      </c>
    </row>
    <row r="331" spans="1:6" ht="12.75">
      <c r="A331">
        <v>200004</v>
      </c>
      <c r="B331" t="s">
        <v>207</v>
      </c>
      <c r="C331" t="s">
        <v>262</v>
      </c>
      <c r="D331" s="1" t="s">
        <v>360</v>
      </c>
      <c r="E331" t="s">
        <v>342</v>
      </c>
      <c r="F331">
        <v>11</v>
      </c>
    </row>
    <row r="332" spans="1:6" ht="12.75">
      <c r="A332">
        <v>200004</v>
      </c>
      <c r="B332" t="s">
        <v>207</v>
      </c>
      <c r="C332" t="s">
        <v>262</v>
      </c>
      <c r="D332" s="1" t="s">
        <v>368</v>
      </c>
      <c r="E332" t="s">
        <v>342</v>
      </c>
      <c r="F332">
        <v>3</v>
      </c>
    </row>
    <row r="333" spans="1:6" ht="12.75">
      <c r="A333">
        <v>200004</v>
      </c>
      <c r="B333" t="s">
        <v>207</v>
      </c>
      <c r="C333" t="s">
        <v>262</v>
      </c>
      <c r="D333" s="1" t="s">
        <v>444</v>
      </c>
      <c r="E333" t="s">
        <v>342</v>
      </c>
      <c r="F333">
        <v>3</v>
      </c>
    </row>
    <row r="334" spans="1:6" ht="12.75">
      <c r="A334">
        <v>200004</v>
      </c>
      <c r="B334" t="s">
        <v>361</v>
      </c>
      <c r="C334" t="s">
        <v>262</v>
      </c>
      <c r="D334" s="1" t="s">
        <v>439</v>
      </c>
      <c r="E334" t="s">
        <v>342</v>
      </c>
      <c r="F334">
        <v>2</v>
      </c>
    </row>
    <row r="335" spans="1:6" ht="12.75">
      <c r="A335">
        <v>200004</v>
      </c>
      <c r="B335" t="s">
        <v>361</v>
      </c>
      <c r="C335" t="s">
        <v>262</v>
      </c>
      <c r="D335" s="1" t="s">
        <v>341</v>
      </c>
      <c r="E335" t="s">
        <v>342</v>
      </c>
      <c r="F335">
        <v>513</v>
      </c>
    </row>
    <row r="336" spans="1:6" ht="12.75">
      <c r="A336">
        <v>200004</v>
      </c>
      <c r="B336" t="s">
        <v>361</v>
      </c>
      <c r="C336" t="s">
        <v>262</v>
      </c>
      <c r="D336" s="1" t="s">
        <v>344</v>
      </c>
      <c r="E336" t="s">
        <v>342</v>
      </c>
      <c r="F336">
        <v>4</v>
      </c>
    </row>
    <row r="337" spans="1:6" ht="12.75">
      <c r="A337">
        <v>200004</v>
      </c>
      <c r="B337" t="s">
        <v>361</v>
      </c>
      <c r="C337" t="s">
        <v>262</v>
      </c>
      <c r="D337" s="1" t="s">
        <v>401</v>
      </c>
      <c r="E337" t="s">
        <v>342</v>
      </c>
      <c r="F337">
        <v>3</v>
      </c>
    </row>
    <row r="338" spans="1:6" ht="12.75">
      <c r="A338">
        <v>200004</v>
      </c>
      <c r="B338" t="s">
        <v>364</v>
      </c>
      <c r="C338" t="s">
        <v>262</v>
      </c>
      <c r="D338" s="1" t="s">
        <v>439</v>
      </c>
      <c r="E338" t="s">
        <v>342</v>
      </c>
      <c r="F338">
        <v>2</v>
      </c>
    </row>
    <row r="339" spans="1:6" ht="12.75">
      <c r="A339">
        <v>200004</v>
      </c>
      <c r="B339" t="s">
        <v>364</v>
      </c>
      <c r="C339" t="s">
        <v>262</v>
      </c>
      <c r="D339" s="1" t="s">
        <v>341</v>
      </c>
      <c r="E339" t="s">
        <v>342</v>
      </c>
      <c r="F339">
        <v>67</v>
      </c>
    </row>
    <row r="340" spans="1:6" ht="12.75">
      <c r="A340">
        <v>200004</v>
      </c>
      <c r="B340" t="s">
        <v>364</v>
      </c>
      <c r="C340" t="s">
        <v>262</v>
      </c>
      <c r="D340" s="1" t="s">
        <v>401</v>
      </c>
      <c r="E340" t="s">
        <v>342</v>
      </c>
      <c r="F340">
        <v>14</v>
      </c>
    </row>
    <row r="341" spans="1:6" ht="12.75">
      <c r="A341">
        <v>200004</v>
      </c>
      <c r="B341" t="s">
        <v>367</v>
      </c>
      <c r="C341" t="s">
        <v>262</v>
      </c>
      <c r="D341" s="1" t="s">
        <v>341</v>
      </c>
      <c r="E341" t="s">
        <v>342</v>
      </c>
      <c r="F341">
        <v>71</v>
      </c>
    </row>
    <row r="342" spans="1:6" ht="12.75">
      <c r="A342">
        <v>200004</v>
      </c>
      <c r="B342" t="s">
        <v>340</v>
      </c>
      <c r="C342" t="s">
        <v>262</v>
      </c>
      <c r="D342" s="1" t="s">
        <v>421</v>
      </c>
      <c r="E342" t="s">
        <v>342</v>
      </c>
      <c r="F342">
        <v>1</v>
      </c>
    </row>
    <row r="343" spans="1:6" ht="12.75">
      <c r="A343">
        <v>200004</v>
      </c>
      <c r="B343" t="s">
        <v>340</v>
      </c>
      <c r="C343" t="s">
        <v>262</v>
      </c>
      <c r="D343" s="1" t="s">
        <v>445</v>
      </c>
      <c r="E343" t="s">
        <v>342</v>
      </c>
      <c r="F343">
        <v>5</v>
      </c>
    </row>
    <row r="344" spans="1:6" ht="12.75">
      <c r="A344">
        <v>200004</v>
      </c>
      <c r="B344" t="s">
        <v>340</v>
      </c>
      <c r="C344" t="s">
        <v>262</v>
      </c>
      <c r="D344" s="1" t="s">
        <v>439</v>
      </c>
      <c r="E344" t="s">
        <v>342</v>
      </c>
      <c r="F344">
        <v>132</v>
      </c>
    </row>
    <row r="345" spans="1:6" ht="12.75">
      <c r="A345">
        <v>200004</v>
      </c>
      <c r="B345" t="s">
        <v>340</v>
      </c>
      <c r="C345" t="s">
        <v>262</v>
      </c>
      <c r="D345" s="1" t="s">
        <v>341</v>
      </c>
      <c r="E345" t="s">
        <v>342</v>
      </c>
      <c r="F345">
        <v>4046</v>
      </c>
    </row>
    <row r="346" spans="1:6" ht="12.75">
      <c r="A346">
        <v>200004</v>
      </c>
      <c r="B346" t="s">
        <v>340</v>
      </c>
      <c r="C346" t="s">
        <v>262</v>
      </c>
      <c r="D346" s="1" t="s">
        <v>344</v>
      </c>
      <c r="E346" t="s">
        <v>342</v>
      </c>
      <c r="F346">
        <v>227</v>
      </c>
    </row>
    <row r="347" spans="1:6" ht="12.75">
      <c r="A347">
        <v>200004</v>
      </c>
      <c r="B347" t="s">
        <v>340</v>
      </c>
      <c r="C347" t="s">
        <v>262</v>
      </c>
      <c r="D347" s="1" t="s">
        <v>401</v>
      </c>
      <c r="E347" t="s">
        <v>342</v>
      </c>
      <c r="F347">
        <v>731</v>
      </c>
    </row>
    <row r="348" spans="1:6" ht="12.75">
      <c r="A348">
        <v>200004</v>
      </c>
      <c r="B348" t="s">
        <v>340</v>
      </c>
      <c r="C348" t="s">
        <v>262</v>
      </c>
      <c r="D348" s="1" t="s">
        <v>360</v>
      </c>
      <c r="E348" t="s">
        <v>342</v>
      </c>
      <c r="F348">
        <v>85</v>
      </c>
    </row>
    <row r="349" spans="1:6" ht="12.75">
      <c r="A349">
        <v>200004</v>
      </c>
      <c r="B349" t="s">
        <v>340</v>
      </c>
      <c r="C349" t="s">
        <v>262</v>
      </c>
      <c r="D349" s="1" t="s">
        <v>368</v>
      </c>
      <c r="E349" t="s">
        <v>342</v>
      </c>
      <c r="F349">
        <v>1</v>
      </c>
    </row>
    <row r="350" spans="1:6" ht="12.75">
      <c r="A350">
        <v>200004</v>
      </c>
      <c r="B350" t="s">
        <v>340</v>
      </c>
      <c r="C350" t="s">
        <v>262</v>
      </c>
      <c r="D350" s="1" t="s">
        <v>446</v>
      </c>
      <c r="E350" t="s">
        <v>342</v>
      </c>
      <c r="F350">
        <v>4</v>
      </c>
    </row>
    <row r="351" spans="1:6" ht="12.75">
      <c r="A351">
        <v>200004</v>
      </c>
      <c r="B351" t="s">
        <v>340</v>
      </c>
      <c r="C351" t="s">
        <v>262</v>
      </c>
      <c r="D351" s="1" t="s">
        <v>376</v>
      </c>
      <c r="E351" t="s">
        <v>342</v>
      </c>
      <c r="F351">
        <v>70</v>
      </c>
    </row>
    <row r="352" spans="1:6" ht="12.75">
      <c r="A352">
        <v>200004</v>
      </c>
      <c r="B352" t="s">
        <v>340</v>
      </c>
      <c r="C352" t="s">
        <v>262</v>
      </c>
      <c r="D352" s="1" t="s">
        <v>447</v>
      </c>
      <c r="E352" t="s">
        <v>342</v>
      </c>
      <c r="F352">
        <v>2</v>
      </c>
    </row>
    <row r="353" spans="1:6" ht="12.75">
      <c r="A353">
        <v>200004</v>
      </c>
      <c r="B353" t="s">
        <v>340</v>
      </c>
      <c r="C353" t="s">
        <v>262</v>
      </c>
      <c r="D353" s="1" t="s">
        <v>442</v>
      </c>
      <c r="E353" t="s">
        <v>342</v>
      </c>
      <c r="F353">
        <v>1</v>
      </c>
    </row>
    <row r="354" spans="1:6" ht="12.75">
      <c r="A354">
        <v>200004</v>
      </c>
      <c r="B354" t="s">
        <v>340</v>
      </c>
      <c r="C354" t="s">
        <v>262</v>
      </c>
      <c r="D354" s="1" t="s">
        <v>448</v>
      </c>
      <c r="E354" t="s">
        <v>342</v>
      </c>
      <c r="F354">
        <v>2</v>
      </c>
    </row>
    <row r="355" spans="1:6" ht="12.75">
      <c r="A355">
        <v>200004</v>
      </c>
      <c r="B355" t="s">
        <v>369</v>
      </c>
      <c r="C355" t="s">
        <v>262</v>
      </c>
      <c r="D355" s="1" t="s">
        <v>352</v>
      </c>
      <c r="E355" t="s">
        <v>342</v>
      </c>
      <c r="F355">
        <v>2</v>
      </c>
    </row>
    <row r="356" spans="1:6" ht="12.75">
      <c r="A356">
        <v>200004</v>
      </c>
      <c r="B356" t="s">
        <v>369</v>
      </c>
      <c r="C356" t="s">
        <v>262</v>
      </c>
      <c r="D356" s="1" t="s">
        <v>353</v>
      </c>
      <c r="E356" t="s">
        <v>342</v>
      </c>
      <c r="F356">
        <v>1</v>
      </c>
    </row>
    <row r="357" spans="1:6" ht="12.75">
      <c r="A357">
        <v>200004</v>
      </c>
      <c r="B357" t="s">
        <v>369</v>
      </c>
      <c r="C357" t="s">
        <v>262</v>
      </c>
      <c r="D357" s="1" t="s">
        <v>449</v>
      </c>
      <c r="E357" t="s">
        <v>342</v>
      </c>
      <c r="F357">
        <v>2</v>
      </c>
    </row>
    <row r="358" spans="1:6" ht="12.75">
      <c r="A358">
        <v>200004</v>
      </c>
      <c r="B358" t="s">
        <v>369</v>
      </c>
      <c r="C358" t="s">
        <v>262</v>
      </c>
      <c r="D358" s="1" t="s">
        <v>341</v>
      </c>
      <c r="E358" t="s">
        <v>342</v>
      </c>
      <c r="F358">
        <v>742</v>
      </c>
    </row>
    <row r="359" spans="1:6" ht="12.75">
      <c r="A359">
        <v>200004</v>
      </c>
      <c r="B359" t="s">
        <v>369</v>
      </c>
      <c r="C359" t="s">
        <v>262</v>
      </c>
      <c r="D359" s="1" t="s">
        <v>344</v>
      </c>
      <c r="E359" t="s">
        <v>342</v>
      </c>
      <c r="F359">
        <v>17</v>
      </c>
    </row>
    <row r="360" spans="1:6" ht="12.75">
      <c r="A360">
        <v>200004</v>
      </c>
      <c r="B360" t="s">
        <v>369</v>
      </c>
      <c r="C360" t="s">
        <v>262</v>
      </c>
      <c r="D360" s="1" t="s">
        <v>401</v>
      </c>
      <c r="E360" t="s">
        <v>342</v>
      </c>
      <c r="F360">
        <v>2</v>
      </c>
    </row>
    <row r="361" spans="1:6" ht="12.75">
      <c r="A361">
        <v>200004</v>
      </c>
      <c r="B361" t="s">
        <v>369</v>
      </c>
      <c r="C361" t="s">
        <v>262</v>
      </c>
      <c r="D361" s="1" t="s">
        <v>356</v>
      </c>
      <c r="E361" t="s">
        <v>342</v>
      </c>
      <c r="F361">
        <v>6</v>
      </c>
    </row>
    <row r="362" spans="1:6" ht="12.75">
      <c r="A362">
        <v>200004</v>
      </c>
      <c r="B362" t="s">
        <v>369</v>
      </c>
      <c r="C362" t="s">
        <v>262</v>
      </c>
      <c r="D362" s="1" t="s">
        <v>446</v>
      </c>
      <c r="E362" t="s">
        <v>342</v>
      </c>
      <c r="F362">
        <v>2</v>
      </c>
    </row>
    <row r="363" spans="1:6" ht="12.75">
      <c r="A363">
        <v>200004</v>
      </c>
      <c r="B363" t="s">
        <v>347</v>
      </c>
      <c r="C363" t="s">
        <v>262</v>
      </c>
      <c r="D363" s="1" t="s">
        <v>450</v>
      </c>
      <c r="E363" t="s">
        <v>342</v>
      </c>
      <c r="F363">
        <v>6</v>
      </c>
    </row>
    <row r="364" spans="1:6" ht="12.75">
      <c r="A364">
        <v>200004</v>
      </c>
      <c r="B364" t="s">
        <v>347</v>
      </c>
      <c r="C364" t="s">
        <v>262</v>
      </c>
      <c r="D364" s="1" t="s">
        <v>439</v>
      </c>
      <c r="E364" t="s">
        <v>342</v>
      </c>
      <c r="F364">
        <v>6</v>
      </c>
    </row>
    <row r="365" spans="1:6" ht="12.75">
      <c r="A365">
        <v>200004</v>
      </c>
      <c r="B365" t="s">
        <v>347</v>
      </c>
      <c r="C365" t="s">
        <v>262</v>
      </c>
      <c r="D365" s="1" t="s">
        <v>341</v>
      </c>
      <c r="E365" t="s">
        <v>342</v>
      </c>
      <c r="F365">
        <v>705</v>
      </c>
    </row>
    <row r="366" spans="1:6" ht="12.75">
      <c r="A366">
        <v>200004</v>
      </c>
      <c r="B366" t="s">
        <v>347</v>
      </c>
      <c r="C366" t="s">
        <v>262</v>
      </c>
      <c r="D366" s="1" t="s">
        <v>344</v>
      </c>
      <c r="E366" t="s">
        <v>342</v>
      </c>
      <c r="F366">
        <v>5</v>
      </c>
    </row>
    <row r="367" spans="1:6" ht="12.75">
      <c r="A367">
        <v>200004</v>
      </c>
      <c r="B367" t="s">
        <v>347</v>
      </c>
      <c r="C367" t="s">
        <v>262</v>
      </c>
      <c r="D367" s="1" t="s">
        <v>401</v>
      </c>
      <c r="E367" t="s">
        <v>342</v>
      </c>
      <c r="F367">
        <v>11</v>
      </c>
    </row>
    <row r="368" spans="1:6" ht="12.75">
      <c r="A368">
        <v>200004</v>
      </c>
      <c r="B368" t="s">
        <v>347</v>
      </c>
      <c r="C368" t="s">
        <v>262</v>
      </c>
      <c r="D368" s="1" t="s">
        <v>360</v>
      </c>
      <c r="E368" t="s">
        <v>342</v>
      </c>
      <c r="F368">
        <v>27</v>
      </c>
    </row>
    <row r="369" spans="1:6" ht="12.75">
      <c r="A369">
        <v>200004</v>
      </c>
      <c r="B369" t="s">
        <v>347</v>
      </c>
      <c r="C369" t="s">
        <v>262</v>
      </c>
      <c r="D369" s="1" t="s">
        <v>451</v>
      </c>
      <c r="E369" t="s">
        <v>342</v>
      </c>
      <c r="F369">
        <v>7</v>
      </c>
    </row>
    <row r="370" spans="1:6" ht="12.75">
      <c r="A370">
        <v>200004</v>
      </c>
      <c r="B370" t="s">
        <v>347</v>
      </c>
      <c r="C370" t="s">
        <v>262</v>
      </c>
      <c r="D370" s="1" t="s">
        <v>452</v>
      </c>
      <c r="E370" t="s">
        <v>342</v>
      </c>
      <c r="F370">
        <v>2</v>
      </c>
    </row>
    <row r="371" spans="1:6" ht="12.75">
      <c r="A371">
        <v>200004</v>
      </c>
      <c r="B371" t="s">
        <v>348</v>
      </c>
      <c r="C371" t="s">
        <v>262</v>
      </c>
      <c r="D371" s="1" t="s">
        <v>341</v>
      </c>
      <c r="E371" t="s">
        <v>342</v>
      </c>
      <c r="F371">
        <v>1201</v>
      </c>
    </row>
    <row r="372" spans="1:6" ht="12.75">
      <c r="A372">
        <v>200004</v>
      </c>
      <c r="B372" t="s">
        <v>348</v>
      </c>
      <c r="C372" t="s">
        <v>262</v>
      </c>
      <c r="D372" s="1" t="s">
        <v>344</v>
      </c>
      <c r="E372" t="s">
        <v>342</v>
      </c>
      <c r="F372">
        <v>6</v>
      </c>
    </row>
    <row r="373" spans="1:6" ht="12.75">
      <c r="A373">
        <v>200004</v>
      </c>
      <c r="B373" t="s">
        <v>348</v>
      </c>
      <c r="C373" t="s">
        <v>262</v>
      </c>
      <c r="D373" s="1" t="s">
        <v>446</v>
      </c>
      <c r="E373" t="s">
        <v>342</v>
      </c>
      <c r="F373">
        <v>2</v>
      </c>
    </row>
    <row r="374" spans="1:6" ht="12.75">
      <c r="A374">
        <v>200004</v>
      </c>
      <c r="B374" t="s">
        <v>348</v>
      </c>
      <c r="C374" t="s">
        <v>262</v>
      </c>
      <c r="D374" s="1" t="s">
        <v>453</v>
      </c>
      <c r="E374" t="s">
        <v>342</v>
      </c>
      <c r="F374">
        <v>2</v>
      </c>
    </row>
    <row r="375" spans="1:6" ht="12.75">
      <c r="A375">
        <v>200004</v>
      </c>
      <c r="B375" t="s">
        <v>348</v>
      </c>
      <c r="C375" t="s">
        <v>262</v>
      </c>
      <c r="D375" s="1" t="s">
        <v>447</v>
      </c>
      <c r="E375" t="s">
        <v>342</v>
      </c>
      <c r="F375">
        <v>10</v>
      </c>
    </row>
    <row r="376" spans="1:6" ht="12.75">
      <c r="A376">
        <v>200004</v>
      </c>
      <c r="B376" t="s">
        <v>371</v>
      </c>
      <c r="C376" t="s">
        <v>262</v>
      </c>
      <c r="D376" s="1" t="s">
        <v>366</v>
      </c>
      <c r="E376" t="s">
        <v>342</v>
      </c>
      <c r="F376">
        <v>91</v>
      </c>
    </row>
    <row r="377" spans="1:6" ht="12.75">
      <c r="A377">
        <v>200004</v>
      </c>
      <c r="B377" t="s">
        <v>371</v>
      </c>
      <c r="C377" t="s">
        <v>262</v>
      </c>
      <c r="D377" s="1" t="s">
        <v>355</v>
      </c>
      <c r="E377" t="s">
        <v>342</v>
      </c>
      <c r="F377">
        <v>2</v>
      </c>
    </row>
    <row r="378" spans="1:6" ht="12.75">
      <c r="A378">
        <v>200004</v>
      </c>
      <c r="B378" t="s">
        <v>371</v>
      </c>
      <c r="C378" t="s">
        <v>262</v>
      </c>
      <c r="D378" s="1" t="s">
        <v>375</v>
      </c>
      <c r="E378" t="s">
        <v>342</v>
      </c>
      <c r="F378">
        <v>2</v>
      </c>
    </row>
    <row r="379" spans="1:6" ht="12.75">
      <c r="A379">
        <v>200004</v>
      </c>
      <c r="B379" t="s">
        <v>371</v>
      </c>
      <c r="C379" t="s">
        <v>262</v>
      </c>
      <c r="D379" s="1" t="s">
        <v>439</v>
      </c>
      <c r="E379" t="s">
        <v>342</v>
      </c>
      <c r="F379">
        <v>36</v>
      </c>
    </row>
    <row r="380" spans="1:6" ht="12.75">
      <c r="A380">
        <v>200004</v>
      </c>
      <c r="B380" t="s">
        <v>371</v>
      </c>
      <c r="C380" t="s">
        <v>262</v>
      </c>
      <c r="D380" s="1" t="s">
        <v>341</v>
      </c>
      <c r="E380" t="s">
        <v>342</v>
      </c>
      <c r="F380">
        <v>1438</v>
      </c>
    </row>
    <row r="381" spans="1:6" ht="12.75">
      <c r="A381">
        <v>200004</v>
      </c>
      <c r="B381" t="s">
        <v>371</v>
      </c>
      <c r="C381" t="s">
        <v>262</v>
      </c>
      <c r="D381" s="1" t="s">
        <v>344</v>
      </c>
      <c r="E381" t="s">
        <v>342</v>
      </c>
      <c r="F381">
        <v>40</v>
      </c>
    </row>
    <row r="382" spans="1:6" ht="12.75">
      <c r="A382">
        <v>200004</v>
      </c>
      <c r="B382" t="s">
        <v>371</v>
      </c>
      <c r="C382" t="s">
        <v>262</v>
      </c>
      <c r="D382" s="1" t="s">
        <v>401</v>
      </c>
      <c r="E382" t="s">
        <v>342</v>
      </c>
      <c r="F382">
        <v>699</v>
      </c>
    </row>
    <row r="383" spans="1:6" ht="12.75">
      <c r="A383">
        <v>200004</v>
      </c>
      <c r="B383" t="s">
        <v>371</v>
      </c>
      <c r="C383" t="s">
        <v>262</v>
      </c>
      <c r="D383" s="1" t="s">
        <v>376</v>
      </c>
      <c r="E383" t="s">
        <v>342</v>
      </c>
      <c r="F383">
        <v>5</v>
      </c>
    </row>
    <row r="384" spans="1:6" ht="12.75">
      <c r="A384">
        <v>200004</v>
      </c>
      <c r="B384" t="s">
        <v>371</v>
      </c>
      <c r="C384" t="s">
        <v>262</v>
      </c>
      <c r="D384" s="1" t="s">
        <v>448</v>
      </c>
      <c r="E384" t="s">
        <v>342</v>
      </c>
      <c r="F384">
        <v>2</v>
      </c>
    </row>
    <row r="385" spans="1:6" ht="12.75">
      <c r="A385">
        <v>200004</v>
      </c>
      <c r="B385" t="s">
        <v>349</v>
      </c>
      <c r="C385" t="s">
        <v>262</v>
      </c>
      <c r="D385" s="1" t="s">
        <v>439</v>
      </c>
      <c r="E385" t="s">
        <v>342</v>
      </c>
      <c r="F385">
        <v>6</v>
      </c>
    </row>
    <row r="386" spans="1:6" ht="12.75">
      <c r="A386">
        <v>200004</v>
      </c>
      <c r="B386" t="s">
        <v>349</v>
      </c>
      <c r="C386" t="s">
        <v>262</v>
      </c>
      <c r="D386" s="1" t="s">
        <v>341</v>
      </c>
      <c r="E386" t="s">
        <v>342</v>
      </c>
      <c r="F386">
        <v>1129</v>
      </c>
    </row>
    <row r="387" spans="1:6" ht="12.75">
      <c r="A387">
        <v>200004</v>
      </c>
      <c r="B387" t="s">
        <v>349</v>
      </c>
      <c r="C387" t="s">
        <v>262</v>
      </c>
      <c r="D387" s="1" t="s">
        <v>376</v>
      </c>
      <c r="E387" t="s">
        <v>342</v>
      </c>
      <c r="F387">
        <v>6</v>
      </c>
    </row>
    <row r="388" spans="1:6" ht="12.75">
      <c r="A388">
        <v>200004</v>
      </c>
      <c r="B388" t="s">
        <v>377</v>
      </c>
      <c r="C388" t="s">
        <v>262</v>
      </c>
      <c r="D388" s="1" t="s">
        <v>352</v>
      </c>
      <c r="E388" t="s">
        <v>342</v>
      </c>
      <c r="F388">
        <v>4</v>
      </c>
    </row>
    <row r="389" spans="1:6" ht="12.75">
      <c r="A389">
        <v>200004</v>
      </c>
      <c r="B389" t="s">
        <v>377</v>
      </c>
      <c r="C389" t="s">
        <v>262</v>
      </c>
      <c r="D389" s="1" t="s">
        <v>353</v>
      </c>
      <c r="E389" t="s">
        <v>342</v>
      </c>
      <c r="F389">
        <v>6</v>
      </c>
    </row>
    <row r="390" spans="1:6" ht="12.75">
      <c r="A390">
        <v>200004</v>
      </c>
      <c r="B390" t="s">
        <v>377</v>
      </c>
      <c r="C390" t="s">
        <v>262</v>
      </c>
      <c r="D390" s="1" t="s">
        <v>439</v>
      </c>
      <c r="E390" t="s">
        <v>342</v>
      </c>
      <c r="F390">
        <v>14</v>
      </c>
    </row>
    <row r="391" spans="1:6" ht="12.75">
      <c r="A391">
        <v>200004</v>
      </c>
      <c r="B391" t="s">
        <v>377</v>
      </c>
      <c r="C391" t="s">
        <v>262</v>
      </c>
      <c r="D391" s="1" t="s">
        <v>341</v>
      </c>
      <c r="E391" t="s">
        <v>342</v>
      </c>
      <c r="F391">
        <v>853</v>
      </c>
    </row>
    <row r="392" spans="1:6" ht="12.75">
      <c r="A392">
        <v>200004</v>
      </c>
      <c r="B392" t="s">
        <v>377</v>
      </c>
      <c r="C392" t="s">
        <v>262</v>
      </c>
      <c r="D392" s="1" t="s">
        <v>344</v>
      </c>
      <c r="E392" t="s">
        <v>342</v>
      </c>
      <c r="F392">
        <v>34</v>
      </c>
    </row>
    <row r="393" spans="1:6" ht="12.75">
      <c r="A393">
        <v>200004</v>
      </c>
      <c r="B393" t="s">
        <v>377</v>
      </c>
      <c r="C393" t="s">
        <v>262</v>
      </c>
      <c r="D393" s="1" t="s">
        <v>401</v>
      </c>
      <c r="E393" t="s">
        <v>342</v>
      </c>
      <c r="F393">
        <v>2</v>
      </c>
    </row>
    <row r="394" spans="1:6" ht="12.75">
      <c r="A394">
        <v>200004</v>
      </c>
      <c r="B394" t="s">
        <v>377</v>
      </c>
      <c r="C394" t="s">
        <v>262</v>
      </c>
      <c r="D394" s="1" t="s">
        <v>454</v>
      </c>
      <c r="E394" t="s">
        <v>342</v>
      </c>
      <c r="F394">
        <v>6</v>
      </c>
    </row>
    <row r="395" spans="1:6" ht="12.75">
      <c r="A395">
        <v>200004</v>
      </c>
      <c r="B395" t="s">
        <v>377</v>
      </c>
      <c r="C395" t="s">
        <v>262</v>
      </c>
      <c r="D395" s="1" t="s">
        <v>455</v>
      </c>
      <c r="E395" t="s">
        <v>342</v>
      </c>
      <c r="F395">
        <v>1</v>
      </c>
    </row>
    <row r="396" spans="1:6" ht="12.75">
      <c r="A396">
        <v>200004</v>
      </c>
      <c r="B396" t="s">
        <v>377</v>
      </c>
      <c r="C396" t="s">
        <v>262</v>
      </c>
      <c r="D396" s="1" t="s">
        <v>441</v>
      </c>
      <c r="E396" t="s">
        <v>342</v>
      </c>
      <c r="F396">
        <v>7</v>
      </c>
    </row>
    <row r="397" spans="1:6" ht="12.75">
      <c r="A397">
        <v>200004</v>
      </c>
      <c r="B397" t="s">
        <v>377</v>
      </c>
      <c r="C397" t="s">
        <v>262</v>
      </c>
      <c r="D397" s="1" t="s">
        <v>356</v>
      </c>
      <c r="E397" t="s">
        <v>342</v>
      </c>
      <c r="F397">
        <v>16</v>
      </c>
    </row>
    <row r="398" spans="1:6" ht="12.75">
      <c r="A398">
        <v>200004</v>
      </c>
      <c r="B398" t="s">
        <v>377</v>
      </c>
      <c r="C398" t="s">
        <v>262</v>
      </c>
      <c r="D398" s="1" t="s">
        <v>456</v>
      </c>
      <c r="E398" t="s">
        <v>342</v>
      </c>
      <c r="F398">
        <v>1</v>
      </c>
    </row>
    <row r="399" spans="1:6" ht="12.75">
      <c r="A399">
        <v>200004</v>
      </c>
      <c r="B399" t="s">
        <v>377</v>
      </c>
      <c r="C399" t="s">
        <v>262</v>
      </c>
      <c r="D399" s="1" t="s">
        <v>357</v>
      </c>
      <c r="E399" t="s">
        <v>342</v>
      </c>
      <c r="F399">
        <v>10</v>
      </c>
    </row>
    <row r="400" spans="1:6" ht="12.75">
      <c r="A400">
        <v>200004</v>
      </c>
      <c r="B400" t="s">
        <v>377</v>
      </c>
      <c r="C400" t="s">
        <v>262</v>
      </c>
      <c r="D400" s="1" t="s">
        <v>442</v>
      </c>
      <c r="E400" t="s">
        <v>342</v>
      </c>
      <c r="F400">
        <v>2</v>
      </c>
    </row>
    <row r="401" spans="1:6" ht="12.75">
      <c r="A401">
        <v>200004</v>
      </c>
      <c r="B401" t="s">
        <v>377</v>
      </c>
      <c r="C401" t="s">
        <v>262</v>
      </c>
      <c r="D401" s="1" t="s">
        <v>448</v>
      </c>
      <c r="E401" t="s">
        <v>342</v>
      </c>
      <c r="F401">
        <v>2</v>
      </c>
    </row>
    <row r="402" spans="1:6" ht="12.75">
      <c r="A402">
        <v>200004</v>
      </c>
      <c r="B402" t="s">
        <v>379</v>
      </c>
      <c r="C402" t="s">
        <v>262</v>
      </c>
      <c r="D402" s="1" t="s">
        <v>352</v>
      </c>
      <c r="E402" t="s">
        <v>342</v>
      </c>
      <c r="F402">
        <v>4</v>
      </c>
    </row>
    <row r="403" spans="1:6" ht="12.75">
      <c r="A403">
        <v>200004</v>
      </c>
      <c r="B403" t="s">
        <v>379</v>
      </c>
      <c r="C403" t="s">
        <v>262</v>
      </c>
      <c r="D403" s="1" t="s">
        <v>366</v>
      </c>
      <c r="E403" t="s">
        <v>342</v>
      </c>
      <c r="F403">
        <v>13</v>
      </c>
    </row>
    <row r="404" spans="1:6" ht="12.75">
      <c r="A404">
        <v>200004</v>
      </c>
      <c r="B404" t="s">
        <v>379</v>
      </c>
      <c r="C404" t="s">
        <v>262</v>
      </c>
      <c r="D404" s="1" t="s">
        <v>353</v>
      </c>
      <c r="E404" t="s">
        <v>342</v>
      </c>
      <c r="F404">
        <v>3</v>
      </c>
    </row>
    <row r="405" spans="1:6" ht="12.75">
      <c r="A405">
        <v>200004</v>
      </c>
      <c r="B405" t="s">
        <v>379</v>
      </c>
      <c r="C405" t="s">
        <v>262</v>
      </c>
      <c r="D405" s="1" t="s">
        <v>439</v>
      </c>
      <c r="E405" t="s">
        <v>342</v>
      </c>
      <c r="F405">
        <v>36</v>
      </c>
    </row>
    <row r="406" spans="1:6" ht="12.75">
      <c r="A406">
        <v>200004</v>
      </c>
      <c r="B406" t="s">
        <v>379</v>
      </c>
      <c r="C406" t="s">
        <v>262</v>
      </c>
      <c r="D406" s="1" t="s">
        <v>341</v>
      </c>
      <c r="E406" t="s">
        <v>342</v>
      </c>
      <c r="F406">
        <v>2135</v>
      </c>
    </row>
    <row r="407" spans="1:6" ht="12.75">
      <c r="A407">
        <v>200004</v>
      </c>
      <c r="B407" t="s">
        <v>379</v>
      </c>
      <c r="C407" t="s">
        <v>262</v>
      </c>
      <c r="D407" s="1" t="s">
        <v>344</v>
      </c>
      <c r="E407" t="s">
        <v>342</v>
      </c>
      <c r="F407">
        <v>184</v>
      </c>
    </row>
    <row r="408" spans="1:6" ht="12.75">
      <c r="A408">
        <v>200004</v>
      </c>
      <c r="B408" t="s">
        <v>379</v>
      </c>
      <c r="C408" t="s">
        <v>262</v>
      </c>
      <c r="D408" s="1" t="s">
        <v>401</v>
      </c>
      <c r="E408" t="s">
        <v>342</v>
      </c>
      <c r="F408">
        <v>682</v>
      </c>
    </row>
    <row r="409" spans="1:6" ht="12.75">
      <c r="A409">
        <v>200004</v>
      </c>
      <c r="B409" t="s">
        <v>379</v>
      </c>
      <c r="C409" t="s">
        <v>262</v>
      </c>
      <c r="D409" s="1" t="s">
        <v>457</v>
      </c>
      <c r="E409" t="s">
        <v>342</v>
      </c>
      <c r="F409">
        <v>2</v>
      </c>
    </row>
    <row r="410" spans="1:6" ht="12.75">
      <c r="A410">
        <v>200004</v>
      </c>
      <c r="B410" t="s">
        <v>379</v>
      </c>
      <c r="C410" t="s">
        <v>262</v>
      </c>
      <c r="D410" s="1" t="s">
        <v>376</v>
      </c>
      <c r="E410" t="s">
        <v>342</v>
      </c>
      <c r="F410">
        <v>16</v>
      </c>
    </row>
    <row r="411" spans="1:6" ht="12.75">
      <c r="A411">
        <v>200004</v>
      </c>
      <c r="B411" t="s">
        <v>379</v>
      </c>
      <c r="C411" t="s">
        <v>262</v>
      </c>
      <c r="D411" s="1" t="s">
        <v>442</v>
      </c>
      <c r="E411" t="s">
        <v>342</v>
      </c>
      <c r="F411">
        <v>1</v>
      </c>
    </row>
    <row r="412" spans="1:6" ht="12.75">
      <c r="A412">
        <v>200004</v>
      </c>
      <c r="B412" t="s">
        <v>387</v>
      </c>
      <c r="C412" t="s">
        <v>262</v>
      </c>
      <c r="D412" s="1" t="s">
        <v>458</v>
      </c>
      <c r="E412" t="s">
        <v>342</v>
      </c>
      <c r="F412">
        <v>2</v>
      </c>
    </row>
    <row r="413" spans="1:6" ht="12.75">
      <c r="A413">
        <v>200004</v>
      </c>
      <c r="B413" t="s">
        <v>387</v>
      </c>
      <c r="C413" t="s">
        <v>262</v>
      </c>
      <c r="D413" s="1" t="s">
        <v>439</v>
      </c>
      <c r="E413" t="s">
        <v>342</v>
      </c>
      <c r="F413">
        <v>2</v>
      </c>
    </row>
    <row r="414" spans="1:6" ht="12.75">
      <c r="A414">
        <v>200004</v>
      </c>
      <c r="B414" t="s">
        <v>387</v>
      </c>
      <c r="C414" t="s">
        <v>262</v>
      </c>
      <c r="D414" s="1" t="s">
        <v>341</v>
      </c>
      <c r="E414" t="s">
        <v>342</v>
      </c>
      <c r="F414">
        <v>1190</v>
      </c>
    </row>
    <row r="415" spans="1:6" ht="12.75">
      <c r="A415">
        <v>200004</v>
      </c>
      <c r="B415" t="s">
        <v>387</v>
      </c>
      <c r="C415" t="s">
        <v>262</v>
      </c>
      <c r="D415" s="1" t="s">
        <v>344</v>
      </c>
      <c r="E415" t="s">
        <v>342</v>
      </c>
      <c r="F415">
        <v>12</v>
      </c>
    </row>
    <row r="416" spans="1:6" ht="12.75">
      <c r="A416">
        <v>200004</v>
      </c>
      <c r="B416" t="s">
        <v>387</v>
      </c>
      <c r="C416" t="s">
        <v>262</v>
      </c>
      <c r="D416" s="1" t="s">
        <v>401</v>
      </c>
      <c r="E416" t="s">
        <v>342</v>
      </c>
      <c r="F416">
        <v>6</v>
      </c>
    </row>
    <row r="417" spans="1:6" ht="12.75">
      <c r="A417">
        <v>200004</v>
      </c>
      <c r="B417" t="s">
        <v>387</v>
      </c>
      <c r="C417" t="s">
        <v>262</v>
      </c>
      <c r="D417" s="1" t="s">
        <v>459</v>
      </c>
      <c r="E417" t="s">
        <v>342</v>
      </c>
      <c r="F417">
        <v>6</v>
      </c>
    </row>
    <row r="418" spans="1:6" ht="12.75">
      <c r="A418">
        <v>200004</v>
      </c>
      <c r="B418" t="s">
        <v>387</v>
      </c>
      <c r="C418" t="s">
        <v>262</v>
      </c>
      <c r="D418" s="1" t="s">
        <v>357</v>
      </c>
      <c r="E418" t="s">
        <v>342</v>
      </c>
      <c r="F418">
        <v>9</v>
      </c>
    </row>
    <row r="419" spans="1:9" ht="12.75">
      <c r="A419">
        <v>200004</v>
      </c>
      <c r="B419" t="s">
        <v>387</v>
      </c>
      <c r="C419" t="s">
        <v>262</v>
      </c>
      <c r="D419" s="1" t="s">
        <v>448</v>
      </c>
      <c r="E419" t="s">
        <v>342</v>
      </c>
      <c r="F419">
        <v>26</v>
      </c>
      <c r="H419" t="s">
        <v>262</v>
      </c>
      <c r="I419">
        <f>SUM(F313:F419)</f>
        <v>23852</v>
      </c>
    </row>
    <row r="420" spans="1:6" ht="12.75">
      <c r="A420">
        <v>200004</v>
      </c>
      <c r="B420" t="s">
        <v>350</v>
      </c>
      <c r="C420" t="s">
        <v>460</v>
      </c>
      <c r="D420" s="1" t="s">
        <v>394</v>
      </c>
      <c r="E420" t="s">
        <v>342</v>
      </c>
      <c r="F420">
        <v>1</v>
      </c>
    </row>
    <row r="421" spans="1:6" ht="12.75">
      <c r="A421">
        <v>200004</v>
      </c>
      <c r="B421" t="s">
        <v>350</v>
      </c>
      <c r="C421" t="s">
        <v>460</v>
      </c>
      <c r="D421" s="1" t="s">
        <v>352</v>
      </c>
      <c r="E421" t="s">
        <v>342</v>
      </c>
      <c r="F421">
        <v>18</v>
      </c>
    </row>
    <row r="422" spans="1:6" ht="12.75">
      <c r="A422">
        <v>200004</v>
      </c>
      <c r="B422" t="s">
        <v>350</v>
      </c>
      <c r="C422" t="s">
        <v>460</v>
      </c>
      <c r="D422" s="1" t="s">
        <v>392</v>
      </c>
      <c r="E422" t="s">
        <v>342</v>
      </c>
      <c r="F422">
        <v>2</v>
      </c>
    </row>
    <row r="423" spans="1:6" ht="12.75">
      <c r="A423">
        <v>200004</v>
      </c>
      <c r="B423" t="s">
        <v>350</v>
      </c>
      <c r="C423" t="s">
        <v>460</v>
      </c>
      <c r="D423" s="1" t="s">
        <v>353</v>
      </c>
      <c r="E423" t="s">
        <v>342</v>
      </c>
      <c r="F423">
        <v>20</v>
      </c>
    </row>
    <row r="424" spans="1:6" ht="12.75">
      <c r="A424">
        <v>200004</v>
      </c>
      <c r="B424" t="s">
        <v>350</v>
      </c>
      <c r="C424" t="s">
        <v>460</v>
      </c>
      <c r="D424" s="1" t="s">
        <v>355</v>
      </c>
      <c r="E424" t="s">
        <v>342</v>
      </c>
      <c r="F424">
        <v>1</v>
      </c>
    </row>
    <row r="425" spans="1:6" ht="12.75">
      <c r="A425">
        <v>200004</v>
      </c>
      <c r="B425" t="s">
        <v>350</v>
      </c>
      <c r="C425" t="s">
        <v>460</v>
      </c>
      <c r="D425" s="1" t="s">
        <v>341</v>
      </c>
      <c r="E425" t="s">
        <v>342</v>
      </c>
      <c r="F425">
        <v>74</v>
      </c>
    </row>
    <row r="426" spans="1:6" ht="12.75">
      <c r="A426">
        <v>200004</v>
      </c>
      <c r="B426" t="s">
        <v>350</v>
      </c>
      <c r="C426" t="s">
        <v>460</v>
      </c>
      <c r="D426" s="1" t="s">
        <v>357</v>
      </c>
      <c r="E426" t="s">
        <v>342</v>
      </c>
      <c r="F426">
        <v>8</v>
      </c>
    </row>
    <row r="427" spans="1:6" ht="12.75">
      <c r="A427">
        <v>200004</v>
      </c>
      <c r="B427" t="s">
        <v>207</v>
      </c>
      <c r="C427" t="s">
        <v>460</v>
      </c>
      <c r="D427" s="1" t="s">
        <v>341</v>
      </c>
      <c r="E427" t="s">
        <v>342</v>
      </c>
      <c r="F427">
        <v>33</v>
      </c>
    </row>
    <row r="428" spans="1:6" ht="12.75">
      <c r="A428">
        <v>200004</v>
      </c>
      <c r="B428" t="s">
        <v>361</v>
      </c>
      <c r="C428" t="s">
        <v>460</v>
      </c>
      <c r="D428" s="1" t="s">
        <v>341</v>
      </c>
      <c r="E428" t="s">
        <v>342</v>
      </c>
      <c r="F428">
        <v>2</v>
      </c>
    </row>
    <row r="429" spans="1:6" ht="12.75">
      <c r="A429">
        <v>200004</v>
      </c>
      <c r="B429" t="s">
        <v>361</v>
      </c>
      <c r="C429" t="s">
        <v>460</v>
      </c>
      <c r="D429" s="1" t="s">
        <v>356</v>
      </c>
      <c r="E429" t="s">
        <v>342</v>
      </c>
      <c r="F429">
        <v>1</v>
      </c>
    </row>
    <row r="430" spans="1:6" ht="12.75">
      <c r="A430">
        <v>200004</v>
      </c>
      <c r="B430" t="s">
        <v>361</v>
      </c>
      <c r="C430" t="s">
        <v>460</v>
      </c>
      <c r="D430" s="1" t="s">
        <v>357</v>
      </c>
      <c r="E430" t="s">
        <v>342</v>
      </c>
      <c r="F430">
        <v>1</v>
      </c>
    </row>
    <row r="431" spans="1:6" ht="12.75">
      <c r="A431">
        <v>200004</v>
      </c>
      <c r="B431" t="s">
        <v>340</v>
      </c>
      <c r="C431" t="s">
        <v>460</v>
      </c>
      <c r="D431" s="1" t="s">
        <v>341</v>
      </c>
      <c r="E431" t="s">
        <v>342</v>
      </c>
      <c r="F431">
        <v>2</v>
      </c>
    </row>
    <row r="432" spans="1:6" ht="12.75">
      <c r="A432">
        <v>200004</v>
      </c>
      <c r="B432" t="s">
        <v>369</v>
      </c>
      <c r="C432" t="s">
        <v>460</v>
      </c>
      <c r="D432" s="1" t="s">
        <v>341</v>
      </c>
      <c r="E432" t="s">
        <v>342</v>
      </c>
      <c r="F432">
        <v>31</v>
      </c>
    </row>
    <row r="433" spans="1:6" ht="12.75">
      <c r="A433">
        <v>200004</v>
      </c>
      <c r="B433" t="s">
        <v>369</v>
      </c>
      <c r="C433" t="s">
        <v>460</v>
      </c>
      <c r="D433" s="1" t="s">
        <v>356</v>
      </c>
      <c r="E433" t="s">
        <v>342</v>
      </c>
      <c r="F433">
        <v>1</v>
      </c>
    </row>
    <row r="434" spans="1:6" ht="12.75">
      <c r="A434">
        <v>200004</v>
      </c>
      <c r="B434" t="s">
        <v>347</v>
      </c>
      <c r="C434" t="s">
        <v>460</v>
      </c>
      <c r="D434" s="1" t="s">
        <v>341</v>
      </c>
      <c r="E434" t="s">
        <v>342</v>
      </c>
      <c r="F434">
        <v>48</v>
      </c>
    </row>
    <row r="435" spans="1:6" ht="12.75">
      <c r="A435">
        <v>200004</v>
      </c>
      <c r="B435" t="s">
        <v>348</v>
      </c>
      <c r="C435" t="s">
        <v>460</v>
      </c>
      <c r="D435" s="1" t="s">
        <v>341</v>
      </c>
      <c r="E435" t="s">
        <v>342</v>
      </c>
      <c r="F435">
        <v>37</v>
      </c>
    </row>
    <row r="436" spans="1:6" ht="12.75">
      <c r="A436">
        <v>200004</v>
      </c>
      <c r="B436" t="s">
        <v>371</v>
      </c>
      <c r="C436" t="s">
        <v>460</v>
      </c>
      <c r="D436" s="1" t="s">
        <v>341</v>
      </c>
      <c r="E436" t="s">
        <v>342</v>
      </c>
      <c r="F436">
        <v>11</v>
      </c>
    </row>
    <row r="437" spans="1:6" ht="12.75">
      <c r="A437">
        <v>200004</v>
      </c>
      <c r="B437" t="s">
        <v>349</v>
      </c>
      <c r="C437" t="s">
        <v>460</v>
      </c>
      <c r="D437" s="1" t="s">
        <v>341</v>
      </c>
      <c r="E437" t="s">
        <v>342</v>
      </c>
      <c r="F437">
        <v>76</v>
      </c>
    </row>
    <row r="438" spans="1:6" ht="12.75">
      <c r="A438">
        <v>200004</v>
      </c>
      <c r="B438" t="s">
        <v>377</v>
      </c>
      <c r="C438" t="s">
        <v>460</v>
      </c>
      <c r="D438" s="1" t="s">
        <v>341</v>
      </c>
      <c r="E438" t="s">
        <v>342</v>
      </c>
      <c r="F438">
        <v>12</v>
      </c>
    </row>
    <row r="439" spans="1:6" ht="12.75">
      <c r="A439">
        <v>200004</v>
      </c>
      <c r="B439" t="s">
        <v>379</v>
      </c>
      <c r="C439" t="s">
        <v>460</v>
      </c>
      <c r="D439" s="1" t="s">
        <v>362</v>
      </c>
      <c r="E439" t="s">
        <v>342</v>
      </c>
      <c r="F439">
        <v>3</v>
      </c>
    </row>
    <row r="440" spans="1:6" ht="12.75">
      <c r="A440">
        <v>200004</v>
      </c>
      <c r="B440" t="s">
        <v>379</v>
      </c>
      <c r="C440" t="s">
        <v>460</v>
      </c>
      <c r="D440" s="1" t="s">
        <v>341</v>
      </c>
      <c r="E440" t="s">
        <v>342</v>
      </c>
      <c r="F440">
        <v>23</v>
      </c>
    </row>
    <row r="441" spans="1:9" ht="12.75">
      <c r="A441">
        <v>200004</v>
      </c>
      <c r="B441" t="s">
        <v>387</v>
      </c>
      <c r="C441" t="s">
        <v>460</v>
      </c>
      <c r="D441" s="1" t="s">
        <v>341</v>
      </c>
      <c r="E441" t="s">
        <v>342</v>
      </c>
      <c r="F441">
        <v>9</v>
      </c>
      <c r="H441" t="s">
        <v>460</v>
      </c>
      <c r="I441">
        <f>SUM(F420:F441)</f>
        <v>414</v>
      </c>
    </row>
    <row r="442" spans="1:6" ht="12.75">
      <c r="A442">
        <v>200004</v>
      </c>
      <c r="B442" t="s">
        <v>207</v>
      </c>
      <c r="C442" t="s">
        <v>259</v>
      </c>
      <c r="D442" s="1" t="s">
        <v>344</v>
      </c>
      <c r="E442" t="s">
        <v>342</v>
      </c>
      <c r="F442">
        <v>3</v>
      </c>
    </row>
    <row r="443" spans="1:6" ht="12.75">
      <c r="A443">
        <v>200004</v>
      </c>
      <c r="B443" t="s">
        <v>207</v>
      </c>
      <c r="C443" t="s">
        <v>259</v>
      </c>
      <c r="D443" s="1" t="s">
        <v>457</v>
      </c>
      <c r="E443" t="s">
        <v>342</v>
      </c>
      <c r="F443">
        <v>3</v>
      </c>
    </row>
    <row r="444" spans="1:6" ht="12.75">
      <c r="A444">
        <v>200004</v>
      </c>
      <c r="B444" t="s">
        <v>340</v>
      </c>
      <c r="C444" t="s">
        <v>259</v>
      </c>
      <c r="D444" s="1" t="s">
        <v>461</v>
      </c>
      <c r="E444" t="s">
        <v>342</v>
      </c>
      <c r="F444">
        <v>1</v>
      </c>
    </row>
    <row r="445" spans="1:6" ht="12.75">
      <c r="A445">
        <v>200004</v>
      </c>
      <c r="B445" t="s">
        <v>340</v>
      </c>
      <c r="C445" t="s">
        <v>259</v>
      </c>
      <c r="D445" s="1" t="s">
        <v>462</v>
      </c>
      <c r="E445" t="s">
        <v>342</v>
      </c>
      <c r="F445">
        <v>73</v>
      </c>
    </row>
    <row r="446" spans="1:6" ht="12.75">
      <c r="A446">
        <v>200004</v>
      </c>
      <c r="B446" t="s">
        <v>340</v>
      </c>
      <c r="C446" t="s">
        <v>259</v>
      </c>
      <c r="D446" s="1" t="s">
        <v>344</v>
      </c>
      <c r="E446" t="s">
        <v>342</v>
      </c>
      <c r="F446">
        <v>4</v>
      </c>
    </row>
    <row r="447" spans="1:6" ht="12.75">
      <c r="A447">
        <v>200004</v>
      </c>
      <c r="B447" t="s">
        <v>347</v>
      </c>
      <c r="C447" t="s">
        <v>259</v>
      </c>
      <c r="D447" s="1" t="s">
        <v>462</v>
      </c>
      <c r="E447" t="s">
        <v>342</v>
      </c>
      <c r="F447">
        <v>2</v>
      </c>
    </row>
    <row r="448" spans="1:6" ht="12.75">
      <c r="A448">
        <v>200004</v>
      </c>
      <c r="B448" t="s">
        <v>371</v>
      </c>
      <c r="C448" t="s">
        <v>259</v>
      </c>
      <c r="D448" s="1" t="s">
        <v>366</v>
      </c>
      <c r="E448" t="s">
        <v>342</v>
      </c>
      <c r="F448">
        <v>1912</v>
      </c>
    </row>
    <row r="449" spans="1:6" ht="12.75">
      <c r="A449">
        <v>200004</v>
      </c>
      <c r="B449" t="s">
        <v>371</v>
      </c>
      <c r="C449" t="s">
        <v>259</v>
      </c>
      <c r="D449" s="1" t="s">
        <v>353</v>
      </c>
      <c r="E449" t="s">
        <v>342</v>
      </c>
      <c r="F449">
        <v>224</v>
      </c>
    </row>
    <row r="450" spans="1:6" ht="12.75">
      <c r="A450">
        <v>200004</v>
      </c>
      <c r="B450" t="s">
        <v>371</v>
      </c>
      <c r="C450" t="s">
        <v>259</v>
      </c>
      <c r="D450" s="1" t="s">
        <v>341</v>
      </c>
      <c r="E450" t="s">
        <v>342</v>
      </c>
      <c r="F450">
        <v>28</v>
      </c>
    </row>
    <row r="451" spans="1:6" ht="12.75">
      <c r="A451">
        <v>200004</v>
      </c>
      <c r="B451" t="s">
        <v>371</v>
      </c>
      <c r="C451" t="s">
        <v>259</v>
      </c>
      <c r="D451" s="1" t="s">
        <v>344</v>
      </c>
      <c r="E451" t="s">
        <v>342</v>
      </c>
      <c r="F451">
        <v>76</v>
      </c>
    </row>
    <row r="452" spans="1:6" ht="12.75">
      <c r="A452">
        <v>200004</v>
      </c>
      <c r="B452" t="s">
        <v>371</v>
      </c>
      <c r="C452" t="s">
        <v>259</v>
      </c>
      <c r="D452" s="1" t="s">
        <v>453</v>
      </c>
      <c r="E452" t="s">
        <v>342</v>
      </c>
      <c r="F452">
        <v>4</v>
      </c>
    </row>
    <row r="453" spans="1:6" ht="12.75">
      <c r="A453">
        <v>200004</v>
      </c>
      <c r="B453" t="s">
        <v>379</v>
      </c>
      <c r="C453" t="s">
        <v>259</v>
      </c>
      <c r="D453" s="1" t="s">
        <v>366</v>
      </c>
      <c r="E453" t="s">
        <v>342</v>
      </c>
      <c r="F453">
        <v>1</v>
      </c>
    </row>
    <row r="454" spans="1:6" ht="12.75">
      <c r="A454">
        <v>200004</v>
      </c>
      <c r="B454" t="s">
        <v>379</v>
      </c>
      <c r="C454" t="s">
        <v>259</v>
      </c>
      <c r="D454" s="1" t="s">
        <v>344</v>
      </c>
      <c r="E454" t="s">
        <v>342</v>
      </c>
      <c r="F454">
        <v>34</v>
      </c>
    </row>
    <row r="455" spans="1:9" ht="12.75">
      <c r="A455">
        <v>200004</v>
      </c>
      <c r="B455" t="s">
        <v>379</v>
      </c>
      <c r="C455" t="s">
        <v>259</v>
      </c>
      <c r="D455" s="1" t="s">
        <v>453</v>
      </c>
      <c r="E455" t="s">
        <v>342</v>
      </c>
      <c r="F455">
        <v>1</v>
      </c>
      <c r="H455" t="s">
        <v>259</v>
      </c>
      <c r="I455">
        <f>SUM(F442:F455)</f>
        <v>2366</v>
      </c>
    </row>
    <row r="456" spans="1:6" ht="12.75">
      <c r="A456">
        <v>200004</v>
      </c>
      <c r="B456" t="s">
        <v>350</v>
      </c>
      <c r="C456" t="s">
        <v>463</v>
      </c>
      <c r="D456" s="1" t="s">
        <v>352</v>
      </c>
      <c r="E456" t="s">
        <v>342</v>
      </c>
      <c r="F456">
        <v>10</v>
      </c>
    </row>
    <row r="457" spans="1:6" ht="12.75">
      <c r="A457">
        <v>200004</v>
      </c>
      <c r="B457" t="s">
        <v>350</v>
      </c>
      <c r="C457" t="s">
        <v>463</v>
      </c>
      <c r="D457" s="1" t="s">
        <v>353</v>
      </c>
      <c r="E457" t="s">
        <v>342</v>
      </c>
      <c r="F457">
        <v>77</v>
      </c>
    </row>
    <row r="458" spans="1:6" ht="12.75">
      <c r="A458">
        <v>200004</v>
      </c>
      <c r="B458" t="s">
        <v>350</v>
      </c>
      <c r="C458" t="s">
        <v>463</v>
      </c>
      <c r="D458" s="1" t="s">
        <v>362</v>
      </c>
      <c r="E458" t="s">
        <v>342</v>
      </c>
      <c r="F458">
        <v>69</v>
      </c>
    </row>
    <row r="459" spans="1:6" ht="12.75">
      <c r="A459">
        <v>200004</v>
      </c>
      <c r="B459" t="s">
        <v>350</v>
      </c>
      <c r="C459" t="s">
        <v>463</v>
      </c>
      <c r="D459" s="1" t="s">
        <v>354</v>
      </c>
      <c r="E459" t="s">
        <v>342</v>
      </c>
      <c r="F459">
        <v>12</v>
      </c>
    </row>
    <row r="460" spans="1:6" ht="12.75">
      <c r="A460">
        <v>200004</v>
      </c>
      <c r="B460" t="s">
        <v>350</v>
      </c>
      <c r="C460" t="s">
        <v>463</v>
      </c>
      <c r="D460" s="1" t="s">
        <v>355</v>
      </c>
      <c r="E460" t="s">
        <v>342</v>
      </c>
      <c r="F460">
        <v>23</v>
      </c>
    </row>
    <row r="461" spans="1:6" ht="12.75">
      <c r="A461">
        <v>200004</v>
      </c>
      <c r="B461" t="s">
        <v>350</v>
      </c>
      <c r="C461" t="s">
        <v>463</v>
      </c>
      <c r="D461" s="1" t="s">
        <v>341</v>
      </c>
      <c r="E461" t="s">
        <v>342</v>
      </c>
      <c r="F461">
        <v>2</v>
      </c>
    </row>
    <row r="462" spans="1:6" ht="12.75">
      <c r="A462">
        <v>200004</v>
      </c>
      <c r="B462" t="s">
        <v>350</v>
      </c>
      <c r="C462" t="s">
        <v>463</v>
      </c>
      <c r="D462" s="1" t="s">
        <v>344</v>
      </c>
      <c r="E462" t="s">
        <v>342</v>
      </c>
      <c r="F462">
        <v>83</v>
      </c>
    </row>
    <row r="463" spans="1:6" ht="12.75">
      <c r="A463">
        <v>200004</v>
      </c>
      <c r="B463" t="s">
        <v>350</v>
      </c>
      <c r="C463" t="s">
        <v>463</v>
      </c>
      <c r="D463" s="1" t="s">
        <v>401</v>
      </c>
      <c r="E463" t="s">
        <v>342</v>
      </c>
      <c r="F463">
        <v>1</v>
      </c>
    </row>
    <row r="464" spans="1:6" ht="12.75">
      <c r="A464">
        <v>200004</v>
      </c>
      <c r="B464" t="s">
        <v>350</v>
      </c>
      <c r="C464" t="s">
        <v>463</v>
      </c>
      <c r="D464" s="1" t="s">
        <v>356</v>
      </c>
      <c r="E464" t="s">
        <v>342</v>
      </c>
      <c r="F464">
        <v>14</v>
      </c>
    </row>
    <row r="465" spans="1:6" ht="12.75">
      <c r="A465">
        <v>200004</v>
      </c>
      <c r="B465" t="s">
        <v>350</v>
      </c>
      <c r="C465" t="s">
        <v>463</v>
      </c>
      <c r="D465" s="1" t="s">
        <v>357</v>
      </c>
      <c r="E465" t="s">
        <v>342</v>
      </c>
      <c r="F465">
        <v>400</v>
      </c>
    </row>
    <row r="466" spans="1:6" ht="12.75">
      <c r="A466">
        <v>200004</v>
      </c>
      <c r="B466" t="s">
        <v>207</v>
      </c>
      <c r="C466" t="s">
        <v>463</v>
      </c>
      <c r="D466" s="1" t="s">
        <v>344</v>
      </c>
      <c r="E466" t="s">
        <v>342</v>
      </c>
      <c r="F466">
        <v>136</v>
      </c>
    </row>
    <row r="467" spans="1:6" ht="12.75">
      <c r="A467">
        <v>200004</v>
      </c>
      <c r="B467" t="s">
        <v>361</v>
      </c>
      <c r="C467" t="s">
        <v>463</v>
      </c>
      <c r="D467" s="1" t="s">
        <v>353</v>
      </c>
      <c r="E467" t="s">
        <v>342</v>
      </c>
      <c r="F467">
        <v>49</v>
      </c>
    </row>
    <row r="468" spans="1:6" ht="12.75">
      <c r="A468">
        <v>200004</v>
      </c>
      <c r="B468" t="s">
        <v>361</v>
      </c>
      <c r="C468" t="s">
        <v>463</v>
      </c>
      <c r="D468" s="1" t="s">
        <v>396</v>
      </c>
      <c r="E468" t="s">
        <v>342</v>
      </c>
      <c r="F468">
        <v>1</v>
      </c>
    </row>
    <row r="469" spans="1:6" ht="12.75">
      <c r="A469">
        <v>200004</v>
      </c>
      <c r="B469" t="s">
        <v>361</v>
      </c>
      <c r="C469" t="s">
        <v>463</v>
      </c>
      <c r="D469" s="1" t="s">
        <v>355</v>
      </c>
      <c r="E469" t="s">
        <v>342</v>
      </c>
      <c r="F469">
        <v>4</v>
      </c>
    </row>
    <row r="470" spans="1:6" ht="12.75">
      <c r="A470">
        <v>200004</v>
      </c>
      <c r="B470" t="s">
        <v>361</v>
      </c>
      <c r="C470" t="s">
        <v>463</v>
      </c>
      <c r="D470" s="1" t="s">
        <v>406</v>
      </c>
      <c r="E470" t="s">
        <v>342</v>
      </c>
      <c r="F470">
        <v>8</v>
      </c>
    </row>
    <row r="471" spans="1:6" ht="12.75">
      <c r="A471">
        <v>200004</v>
      </c>
      <c r="B471" t="s">
        <v>361</v>
      </c>
      <c r="C471" t="s">
        <v>463</v>
      </c>
      <c r="D471" s="1" t="s">
        <v>344</v>
      </c>
      <c r="E471" t="s">
        <v>342</v>
      </c>
      <c r="F471">
        <v>48</v>
      </c>
    </row>
    <row r="472" spans="1:6" ht="12.75">
      <c r="A472">
        <v>200004</v>
      </c>
      <c r="B472" t="s">
        <v>361</v>
      </c>
      <c r="C472" t="s">
        <v>463</v>
      </c>
      <c r="D472" s="1" t="s">
        <v>401</v>
      </c>
      <c r="E472" t="s">
        <v>342</v>
      </c>
      <c r="F472">
        <v>2</v>
      </c>
    </row>
    <row r="473" spans="1:6" ht="12.75">
      <c r="A473">
        <v>200004</v>
      </c>
      <c r="B473" t="s">
        <v>361</v>
      </c>
      <c r="C473" t="s">
        <v>463</v>
      </c>
      <c r="D473" s="1" t="s">
        <v>464</v>
      </c>
      <c r="E473" t="s">
        <v>342</v>
      </c>
      <c r="F473">
        <v>2</v>
      </c>
    </row>
    <row r="474" spans="1:6" ht="12.75">
      <c r="A474">
        <v>200004</v>
      </c>
      <c r="B474" t="s">
        <v>361</v>
      </c>
      <c r="C474" t="s">
        <v>463</v>
      </c>
      <c r="D474" s="1" t="s">
        <v>356</v>
      </c>
      <c r="E474" t="s">
        <v>342</v>
      </c>
      <c r="F474">
        <v>34</v>
      </c>
    </row>
    <row r="475" spans="1:6" ht="12.75">
      <c r="A475">
        <v>200004</v>
      </c>
      <c r="B475" t="s">
        <v>361</v>
      </c>
      <c r="C475" t="s">
        <v>463</v>
      </c>
      <c r="D475" s="1" t="s">
        <v>465</v>
      </c>
      <c r="E475" t="s">
        <v>342</v>
      </c>
      <c r="F475">
        <v>8</v>
      </c>
    </row>
    <row r="476" spans="1:6" ht="12.75">
      <c r="A476">
        <v>200004</v>
      </c>
      <c r="B476" t="s">
        <v>361</v>
      </c>
      <c r="C476" t="s">
        <v>463</v>
      </c>
      <c r="D476" s="1" t="s">
        <v>466</v>
      </c>
      <c r="E476" t="s">
        <v>342</v>
      </c>
      <c r="F476">
        <v>10</v>
      </c>
    </row>
    <row r="477" spans="1:6" ht="12.75">
      <c r="A477">
        <v>200004</v>
      </c>
      <c r="B477" t="s">
        <v>361</v>
      </c>
      <c r="C477" t="s">
        <v>463</v>
      </c>
      <c r="D477" s="1" t="s">
        <v>357</v>
      </c>
      <c r="E477" t="s">
        <v>342</v>
      </c>
      <c r="F477">
        <v>16</v>
      </c>
    </row>
    <row r="478" spans="1:6" ht="12.75">
      <c r="A478">
        <v>200004</v>
      </c>
      <c r="B478" t="s">
        <v>361</v>
      </c>
      <c r="C478" t="s">
        <v>463</v>
      </c>
      <c r="D478" s="1" t="s">
        <v>390</v>
      </c>
      <c r="E478" t="s">
        <v>342</v>
      </c>
      <c r="F478">
        <v>2</v>
      </c>
    </row>
    <row r="479" spans="1:6" ht="12.75">
      <c r="A479">
        <v>200004</v>
      </c>
      <c r="B479" t="s">
        <v>364</v>
      </c>
      <c r="C479" t="s">
        <v>463</v>
      </c>
      <c r="D479" s="1" t="s">
        <v>344</v>
      </c>
      <c r="E479" t="s">
        <v>342</v>
      </c>
      <c r="F479">
        <v>2</v>
      </c>
    </row>
    <row r="480" spans="1:6" ht="12.75">
      <c r="A480">
        <v>200004</v>
      </c>
      <c r="B480" t="s">
        <v>367</v>
      </c>
      <c r="C480" t="s">
        <v>463</v>
      </c>
      <c r="D480" s="1" t="s">
        <v>344</v>
      </c>
      <c r="E480" t="s">
        <v>342</v>
      </c>
      <c r="F480">
        <v>4</v>
      </c>
    </row>
    <row r="481" spans="1:6" ht="12.75">
      <c r="A481">
        <v>200004</v>
      </c>
      <c r="B481" t="s">
        <v>340</v>
      </c>
      <c r="C481" t="s">
        <v>463</v>
      </c>
      <c r="D481" s="1" t="s">
        <v>462</v>
      </c>
      <c r="E481" t="s">
        <v>342</v>
      </c>
      <c r="F481">
        <v>1</v>
      </c>
    </row>
    <row r="482" spans="1:6" ht="12.75">
      <c r="A482">
        <v>200004</v>
      </c>
      <c r="B482" t="s">
        <v>340</v>
      </c>
      <c r="C482" t="s">
        <v>463</v>
      </c>
      <c r="D482" s="1" t="s">
        <v>344</v>
      </c>
      <c r="E482" t="s">
        <v>342</v>
      </c>
      <c r="F482">
        <v>1216</v>
      </c>
    </row>
    <row r="483" spans="1:6" ht="12.75">
      <c r="A483">
        <v>200004</v>
      </c>
      <c r="B483" t="s">
        <v>369</v>
      </c>
      <c r="C483" t="s">
        <v>463</v>
      </c>
      <c r="D483" s="1" t="s">
        <v>394</v>
      </c>
      <c r="E483" t="s">
        <v>342</v>
      </c>
      <c r="F483">
        <v>2</v>
      </c>
    </row>
    <row r="484" spans="1:6" ht="12.75">
      <c r="A484">
        <v>200004</v>
      </c>
      <c r="B484" t="s">
        <v>369</v>
      </c>
      <c r="C484" t="s">
        <v>463</v>
      </c>
      <c r="D484" s="1" t="s">
        <v>352</v>
      </c>
      <c r="E484" t="s">
        <v>342</v>
      </c>
      <c r="F484">
        <v>2</v>
      </c>
    </row>
    <row r="485" spans="1:6" ht="12.75">
      <c r="A485">
        <v>200004</v>
      </c>
      <c r="B485" t="s">
        <v>369</v>
      </c>
      <c r="C485" t="s">
        <v>463</v>
      </c>
      <c r="D485" s="1" t="s">
        <v>353</v>
      </c>
      <c r="E485" t="s">
        <v>342</v>
      </c>
      <c r="F485">
        <v>14</v>
      </c>
    </row>
    <row r="486" spans="1:6" ht="12.75">
      <c r="A486">
        <v>200004</v>
      </c>
      <c r="B486" t="s">
        <v>369</v>
      </c>
      <c r="C486" t="s">
        <v>463</v>
      </c>
      <c r="D486" s="1" t="s">
        <v>341</v>
      </c>
      <c r="E486" t="s">
        <v>342</v>
      </c>
      <c r="F486">
        <v>2</v>
      </c>
    </row>
    <row r="487" spans="1:6" ht="12.75">
      <c r="A487">
        <v>200004</v>
      </c>
      <c r="B487" t="s">
        <v>369</v>
      </c>
      <c r="C487" t="s">
        <v>463</v>
      </c>
      <c r="D487" s="1" t="s">
        <v>344</v>
      </c>
      <c r="E487" t="s">
        <v>342</v>
      </c>
      <c r="F487">
        <v>50</v>
      </c>
    </row>
    <row r="488" spans="1:6" ht="12.75">
      <c r="A488">
        <v>200004</v>
      </c>
      <c r="B488" t="s">
        <v>369</v>
      </c>
      <c r="C488" t="s">
        <v>463</v>
      </c>
      <c r="D488" s="1" t="s">
        <v>467</v>
      </c>
      <c r="E488" t="s">
        <v>342</v>
      </c>
      <c r="F488">
        <v>4</v>
      </c>
    </row>
    <row r="489" spans="1:6" ht="12.75">
      <c r="A489">
        <v>200004</v>
      </c>
      <c r="B489" t="s">
        <v>369</v>
      </c>
      <c r="C489" t="s">
        <v>463</v>
      </c>
      <c r="D489" s="1" t="s">
        <v>356</v>
      </c>
      <c r="E489" t="s">
        <v>342</v>
      </c>
      <c r="F489">
        <v>4</v>
      </c>
    </row>
    <row r="490" spans="1:6" ht="12.75">
      <c r="A490">
        <v>200004</v>
      </c>
      <c r="B490" t="s">
        <v>347</v>
      </c>
      <c r="C490" t="s">
        <v>463</v>
      </c>
      <c r="D490" s="1" t="s">
        <v>344</v>
      </c>
      <c r="E490" t="s">
        <v>342</v>
      </c>
      <c r="F490">
        <v>49</v>
      </c>
    </row>
    <row r="491" spans="1:6" ht="12.75">
      <c r="A491">
        <v>200004</v>
      </c>
      <c r="B491" t="s">
        <v>348</v>
      </c>
      <c r="C491" t="s">
        <v>463</v>
      </c>
      <c r="D491" s="1" t="s">
        <v>344</v>
      </c>
      <c r="E491" t="s">
        <v>342</v>
      </c>
      <c r="F491">
        <v>44</v>
      </c>
    </row>
    <row r="492" spans="1:6" ht="12.75">
      <c r="A492">
        <v>200004</v>
      </c>
      <c r="B492" t="s">
        <v>371</v>
      </c>
      <c r="C492" t="s">
        <v>463</v>
      </c>
      <c r="D492" s="1" t="s">
        <v>468</v>
      </c>
      <c r="E492" t="s">
        <v>342</v>
      </c>
      <c r="F492">
        <v>16</v>
      </c>
    </row>
    <row r="493" spans="1:6" ht="12.75">
      <c r="A493">
        <v>200004</v>
      </c>
      <c r="B493" t="s">
        <v>371</v>
      </c>
      <c r="C493" t="s">
        <v>463</v>
      </c>
      <c r="D493" s="1" t="s">
        <v>352</v>
      </c>
      <c r="E493" t="s">
        <v>342</v>
      </c>
      <c r="F493">
        <v>8</v>
      </c>
    </row>
    <row r="494" spans="1:6" ht="12.75">
      <c r="A494">
        <v>200004</v>
      </c>
      <c r="B494" t="s">
        <v>371</v>
      </c>
      <c r="C494" t="s">
        <v>463</v>
      </c>
      <c r="D494" s="1" t="s">
        <v>366</v>
      </c>
      <c r="E494" t="s">
        <v>342</v>
      </c>
      <c r="F494">
        <v>260</v>
      </c>
    </row>
    <row r="495" spans="1:6" ht="12.75">
      <c r="A495">
        <v>200004</v>
      </c>
      <c r="B495" t="s">
        <v>371</v>
      </c>
      <c r="C495" t="s">
        <v>463</v>
      </c>
      <c r="D495" s="1" t="s">
        <v>412</v>
      </c>
      <c r="E495" t="s">
        <v>342</v>
      </c>
      <c r="F495">
        <v>5</v>
      </c>
    </row>
    <row r="496" spans="1:6" ht="12.75">
      <c r="A496">
        <v>200004</v>
      </c>
      <c r="B496" t="s">
        <v>371</v>
      </c>
      <c r="C496" t="s">
        <v>463</v>
      </c>
      <c r="D496" s="1" t="s">
        <v>353</v>
      </c>
      <c r="E496" t="s">
        <v>342</v>
      </c>
      <c r="F496">
        <v>32</v>
      </c>
    </row>
    <row r="497" spans="1:6" ht="12.75">
      <c r="A497">
        <v>200004</v>
      </c>
      <c r="B497" t="s">
        <v>371</v>
      </c>
      <c r="C497" t="s">
        <v>463</v>
      </c>
      <c r="D497" s="1" t="s">
        <v>362</v>
      </c>
      <c r="E497" t="s">
        <v>342</v>
      </c>
      <c r="F497">
        <v>9</v>
      </c>
    </row>
    <row r="498" spans="1:6" ht="12.75">
      <c r="A498">
        <v>200004</v>
      </c>
      <c r="B498" t="s">
        <v>371</v>
      </c>
      <c r="C498" t="s">
        <v>463</v>
      </c>
      <c r="D498" s="1" t="s">
        <v>355</v>
      </c>
      <c r="E498" t="s">
        <v>342</v>
      </c>
      <c r="F498">
        <v>2</v>
      </c>
    </row>
    <row r="499" spans="1:6" ht="12.75">
      <c r="A499">
        <v>200004</v>
      </c>
      <c r="B499" t="s">
        <v>371</v>
      </c>
      <c r="C499" t="s">
        <v>463</v>
      </c>
      <c r="D499" s="1" t="s">
        <v>374</v>
      </c>
      <c r="E499" t="s">
        <v>342</v>
      </c>
      <c r="F499">
        <v>4</v>
      </c>
    </row>
    <row r="500" spans="1:6" ht="12.75">
      <c r="A500">
        <v>200004</v>
      </c>
      <c r="B500" t="s">
        <v>371</v>
      </c>
      <c r="C500" t="s">
        <v>463</v>
      </c>
      <c r="D500" s="1" t="s">
        <v>344</v>
      </c>
      <c r="E500" t="s">
        <v>342</v>
      </c>
      <c r="F500">
        <v>343</v>
      </c>
    </row>
    <row r="501" spans="1:6" ht="12.75">
      <c r="A501">
        <v>200004</v>
      </c>
      <c r="B501" t="s">
        <v>371</v>
      </c>
      <c r="C501" t="s">
        <v>463</v>
      </c>
      <c r="D501" s="1" t="s">
        <v>457</v>
      </c>
      <c r="E501" t="s">
        <v>342</v>
      </c>
      <c r="F501">
        <v>1</v>
      </c>
    </row>
    <row r="502" spans="1:6" ht="12.75">
      <c r="A502">
        <v>200004</v>
      </c>
      <c r="B502" t="s">
        <v>349</v>
      </c>
      <c r="C502" t="s">
        <v>463</v>
      </c>
      <c r="D502" s="1" t="s">
        <v>344</v>
      </c>
      <c r="E502" t="s">
        <v>342</v>
      </c>
      <c r="F502">
        <v>87</v>
      </c>
    </row>
    <row r="503" spans="1:6" ht="12.75">
      <c r="A503">
        <v>200004</v>
      </c>
      <c r="B503" t="s">
        <v>377</v>
      </c>
      <c r="C503" t="s">
        <v>463</v>
      </c>
      <c r="D503" s="1" t="s">
        <v>352</v>
      </c>
      <c r="E503" t="s">
        <v>342</v>
      </c>
      <c r="F503">
        <v>2</v>
      </c>
    </row>
    <row r="504" spans="1:6" ht="12.75">
      <c r="A504">
        <v>200004</v>
      </c>
      <c r="B504" t="s">
        <v>377</v>
      </c>
      <c r="C504" t="s">
        <v>463</v>
      </c>
      <c r="D504" s="1" t="s">
        <v>393</v>
      </c>
      <c r="E504" t="s">
        <v>342</v>
      </c>
      <c r="F504">
        <v>4</v>
      </c>
    </row>
    <row r="505" spans="1:6" ht="12.75">
      <c r="A505">
        <v>200004</v>
      </c>
      <c r="B505" t="s">
        <v>377</v>
      </c>
      <c r="C505" t="s">
        <v>463</v>
      </c>
      <c r="D505" s="1" t="s">
        <v>413</v>
      </c>
      <c r="E505" t="s">
        <v>342</v>
      </c>
      <c r="F505">
        <v>6</v>
      </c>
    </row>
    <row r="506" spans="1:6" ht="12.75">
      <c r="A506">
        <v>200004</v>
      </c>
      <c r="B506" t="s">
        <v>377</v>
      </c>
      <c r="C506" t="s">
        <v>463</v>
      </c>
      <c r="D506" s="1" t="s">
        <v>355</v>
      </c>
      <c r="E506" t="s">
        <v>342</v>
      </c>
      <c r="F506">
        <v>2</v>
      </c>
    </row>
    <row r="507" spans="1:6" ht="12.75">
      <c r="A507">
        <v>200004</v>
      </c>
      <c r="B507" t="s">
        <v>377</v>
      </c>
      <c r="C507" t="s">
        <v>463</v>
      </c>
      <c r="D507" s="1" t="s">
        <v>431</v>
      </c>
      <c r="E507" t="s">
        <v>342</v>
      </c>
      <c r="F507">
        <v>4</v>
      </c>
    </row>
    <row r="508" spans="1:6" ht="12.75">
      <c r="A508">
        <v>200004</v>
      </c>
      <c r="B508" t="s">
        <v>377</v>
      </c>
      <c r="C508" t="s">
        <v>463</v>
      </c>
      <c r="D508" s="1" t="s">
        <v>344</v>
      </c>
      <c r="E508" t="s">
        <v>342</v>
      </c>
      <c r="F508">
        <v>55</v>
      </c>
    </row>
    <row r="509" spans="1:6" ht="12.75">
      <c r="A509">
        <v>200004</v>
      </c>
      <c r="B509" t="s">
        <v>377</v>
      </c>
      <c r="C509" t="s">
        <v>463</v>
      </c>
      <c r="D509" s="1" t="s">
        <v>437</v>
      </c>
      <c r="E509" t="s">
        <v>342</v>
      </c>
      <c r="F509">
        <v>4</v>
      </c>
    </row>
    <row r="510" spans="1:6" ht="12.75">
      <c r="A510">
        <v>200004</v>
      </c>
      <c r="B510" t="s">
        <v>377</v>
      </c>
      <c r="C510" t="s">
        <v>463</v>
      </c>
      <c r="D510" s="1" t="s">
        <v>441</v>
      </c>
      <c r="E510" t="s">
        <v>342</v>
      </c>
      <c r="F510">
        <v>5</v>
      </c>
    </row>
    <row r="511" spans="1:6" ht="12.75">
      <c r="A511">
        <v>200004</v>
      </c>
      <c r="B511" t="s">
        <v>377</v>
      </c>
      <c r="C511" t="s">
        <v>463</v>
      </c>
      <c r="D511" s="1" t="s">
        <v>356</v>
      </c>
      <c r="E511" t="s">
        <v>342</v>
      </c>
      <c r="F511">
        <v>72</v>
      </c>
    </row>
    <row r="512" spans="1:6" ht="12.75">
      <c r="A512">
        <v>200004</v>
      </c>
      <c r="B512" t="s">
        <v>377</v>
      </c>
      <c r="C512" t="s">
        <v>463</v>
      </c>
      <c r="D512" s="1" t="s">
        <v>357</v>
      </c>
      <c r="E512" t="s">
        <v>342</v>
      </c>
      <c r="F512">
        <v>40</v>
      </c>
    </row>
    <row r="513" spans="1:6" ht="12.75">
      <c r="A513">
        <v>200004</v>
      </c>
      <c r="B513" t="s">
        <v>379</v>
      </c>
      <c r="C513" t="s">
        <v>463</v>
      </c>
      <c r="D513" s="1" t="s">
        <v>352</v>
      </c>
      <c r="E513" t="s">
        <v>342</v>
      </c>
      <c r="F513">
        <v>2</v>
      </c>
    </row>
    <row r="514" spans="1:6" ht="12.75">
      <c r="A514">
        <v>200004</v>
      </c>
      <c r="B514" t="s">
        <v>379</v>
      </c>
      <c r="C514" t="s">
        <v>463</v>
      </c>
      <c r="D514" s="1" t="s">
        <v>366</v>
      </c>
      <c r="E514" t="s">
        <v>342</v>
      </c>
      <c r="F514">
        <v>111</v>
      </c>
    </row>
    <row r="515" spans="1:6" ht="12.75">
      <c r="A515">
        <v>200004</v>
      </c>
      <c r="B515" t="s">
        <v>379</v>
      </c>
      <c r="C515" t="s">
        <v>463</v>
      </c>
      <c r="D515" s="1" t="s">
        <v>353</v>
      </c>
      <c r="E515" t="s">
        <v>342</v>
      </c>
      <c r="F515">
        <v>256</v>
      </c>
    </row>
    <row r="516" spans="1:6" ht="12.75">
      <c r="A516">
        <v>200004</v>
      </c>
      <c r="B516" t="s">
        <v>379</v>
      </c>
      <c r="C516" t="s">
        <v>463</v>
      </c>
      <c r="D516" s="1" t="s">
        <v>355</v>
      </c>
      <c r="E516" t="s">
        <v>342</v>
      </c>
      <c r="F516">
        <v>16</v>
      </c>
    </row>
    <row r="517" spans="1:6" ht="12.75">
      <c r="A517">
        <v>200004</v>
      </c>
      <c r="B517" t="s">
        <v>379</v>
      </c>
      <c r="C517" t="s">
        <v>463</v>
      </c>
      <c r="D517" s="1" t="s">
        <v>344</v>
      </c>
      <c r="E517" t="s">
        <v>342</v>
      </c>
      <c r="F517">
        <v>1128</v>
      </c>
    </row>
    <row r="518" spans="1:6" ht="12.75">
      <c r="A518">
        <v>200004</v>
      </c>
      <c r="B518" t="s">
        <v>379</v>
      </c>
      <c r="C518" t="s">
        <v>463</v>
      </c>
      <c r="D518" s="1" t="s">
        <v>469</v>
      </c>
      <c r="E518" t="s">
        <v>342</v>
      </c>
      <c r="F518">
        <v>20</v>
      </c>
    </row>
    <row r="519" spans="1:6" ht="12.75">
      <c r="A519">
        <v>200004</v>
      </c>
      <c r="B519" t="s">
        <v>379</v>
      </c>
      <c r="C519" t="s">
        <v>463</v>
      </c>
      <c r="D519" s="1" t="s">
        <v>386</v>
      </c>
      <c r="E519" t="s">
        <v>342</v>
      </c>
      <c r="F519">
        <v>11</v>
      </c>
    </row>
    <row r="520" spans="1:6" ht="12.75">
      <c r="A520">
        <v>200004</v>
      </c>
      <c r="B520" t="s">
        <v>379</v>
      </c>
      <c r="C520" t="s">
        <v>463</v>
      </c>
      <c r="D520" s="1" t="s">
        <v>453</v>
      </c>
      <c r="E520" t="s">
        <v>342</v>
      </c>
      <c r="F520">
        <v>5</v>
      </c>
    </row>
    <row r="521" spans="1:6" ht="12.75">
      <c r="A521">
        <v>200004</v>
      </c>
      <c r="B521" t="s">
        <v>387</v>
      </c>
      <c r="C521" t="s">
        <v>463</v>
      </c>
      <c r="D521" s="1" t="s">
        <v>353</v>
      </c>
      <c r="E521" t="s">
        <v>342</v>
      </c>
      <c r="F521">
        <v>25</v>
      </c>
    </row>
    <row r="522" spans="1:6" ht="12.75">
      <c r="A522">
        <v>200004</v>
      </c>
      <c r="B522" t="s">
        <v>387</v>
      </c>
      <c r="C522" t="s">
        <v>463</v>
      </c>
      <c r="D522" s="1" t="s">
        <v>470</v>
      </c>
      <c r="E522" t="s">
        <v>342</v>
      </c>
      <c r="F522">
        <v>4</v>
      </c>
    </row>
    <row r="523" spans="1:6" ht="12.75">
      <c r="A523">
        <v>200004</v>
      </c>
      <c r="B523" t="s">
        <v>387</v>
      </c>
      <c r="C523" t="s">
        <v>463</v>
      </c>
      <c r="D523" s="1" t="s">
        <v>471</v>
      </c>
      <c r="E523" t="s">
        <v>342</v>
      </c>
      <c r="F523">
        <v>46</v>
      </c>
    </row>
    <row r="524" spans="1:6" ht="12.75">
      <c r="A524">
        <v>200004</v>
      </c>
      <c r="B524" t="s">
        <v>387</v>
      </c>
      <c r="C524" t="s">
        <v>463</v>
      </c>
      <c r="D524" s="1" t="s">
        <v>413</v>
      </c>
      <c r="E524" t="s">
        <v>342</v>
      </c>
      <c r="F524">
        <v>4</v>
      </c>
    </row>
    <row r="525" spans="1:6" ht="12.75">
      <c r="A525">
        <v>200004</v>
      </c>
      <c r="B525" t="s">
        <v>387</v>
      </c>
      <c r="C525" t="s">
        <v>463</v>
      </c>
      <c r="D525" s="1" t="s">
        <v>415</v>
      </c>
      <c r="E525" t="s">
        <v>342</v>
      </c>
      <c r="F525">
        <v>6</v>
      </c>
    </row>
    <row r="526" spans="1:6" ht="12.75">
      <c r="A526">
        <v>200004</v>
      </c>
      <c r="B526" t="s">
        <v>387</v>
      </c>
      <c r="C526" t="s">
        <v>463</v>
      </c>
      <c r="D526" s="1" t="s">
        <v>344</v>
      </c>
      <c r="E526" t="s">
        <v>342</v>
      </c>
      <c r="F526">
        <v>28</v>
      </c>
    </row>
    <row r="527" spans="1:6" ht="12.75">
      <c r="A527">
        <v>200004</v>
      </c>
      <c r="B527" t="s">
        <v>387</v>
      </c>
      <c r="C527" t="s">
        <v>463</v>
      </c>
      <c r="D527" s="1" t="s">
        <v>356</v>
      </c>
      <c r="E527" t="s">
        <v>342</v>
      </c>
      <c r="F527">
        <v>46</v>
      </c>
    </row>
    <row r="528" spans="1:9" ht="12.75">
      <c r="A528">
        <v>200004</v>
      </c>
      <c r="B528" t="s">
        <v>387</v>
      </c>
      <c r="C528" t="s">
        <v>463</v>
      </c>
      <c r="D528" s="1" t="s">
        <v>357</v>
      </c>
      <c r="E528" t="s">
        <v>342</v>
      </c>
      <c r="F528">
        <v>16</v>
      </c>
      <c r="H528" t="s">
        <v>463</v>
      </c>
      <c r="I528">
        <f>SUM(F456:F528)</f>
        <v>5090</v>
      </c>
    </row>
    <row r="529" spans="1:6" ht="12.75">
      <c r="A529">
        <v>200004</v>
      </c>
      <c r="B529" t="s">
        <v>350</v>
      </c>
      <c r="C529" t="s">
        <v>254</v>
      </c>
      <c r="D529" s="1" t="s">
        <v>422</v>
      </c>
      <c r="E529" t="s">
        <v>342</v>
      </c>
      <c r="F529">
        <v>438</v>
      </c>
    </row>
    <row r="530" spans="1:6" ht="12.75">
      <c r="A530">
        <v>200004</v>
      </c>
      <c r="B530" t="s">
        <v>350</v>
      </c>
      <c r="C530" t="s">
        <v>254</v>
      </c>
      <c r="D530" s="1" t="s">
        <v>352</v>
      </c>
      <c r="E530" t="s">
        <v>342</v>
      </c>
      <c r="F530">
        <v>12</v>
      </c>
    </row>
    <row r="531" spans="1:6" ht="12.75">
      <c r="A531">
        <v>200004</v>
      </c>
      <c r="B531" t="s">
        <v>350</v>
      </c>
      <c r="C531" t="s">
        <v>254</v>
      </c>
      <c r="D531" s="1" t="s">
        <v>353</v>
      </c>
      <c r="E531" t="s">
        <v>342</v>
      </c>
      <c r="F531">
        <v>4</v>
      </c>
    </row>
    <row r="532" spans="1:6" ht="12.75">
      <c r="A532">
        <v>200004</v>
      </c>
      <c r="B532" t="s">
        <v>350</v>
      </c>
      <c r="C532" t="s">
        <v>254</v>
      </c>
      <c r="D532" s="1" t="s">
        <v>393</v>
      </c>
      <c r="E532" t="s">
        <v>342</v>
      </c>
      <c r="F532">
        <v>630</v>
      </c>
    </row>
    <row r="533" spans="1:6" ht="12.75">
      <c r="A533">
        <v>200004</v>
      </c>
      <c r="B533" t="s">
        <v>350</v>
      </c>
      <c r="C533" t="s">
        <v>254</v>
      </c>
      <c r="D533" s="1" t="s">
        <v>362</v>
      </c>
      <c r="E533" t="s">
        <v>342</v>
      </c>
      <c r="F533">
        <v>256</v>
      </c>
    </row>
    <row r="534" spans="1:6" ht="12.75">
      <c r="A534">
        <v>200004</v>
      </c>
      <c r="B534" t="s">
        <v>350</v>
      </c>
      <c r="C534" t="s">
        <v>254</v>
      </c>
      <c r="D534" s="1" t="s">
        <v>354</v>
      </c>
      <c r="E534" t="s">
        <v>342</v>
      </c>
      <c r="F534">
        <v>264</v>
      </c>
    </row>
    <row r="535" spans="1:6" ht="12.75">
      <c r="A535">
        <v>200004</v>
      </c>
      <c r="B535" t="s">
        <v>350</v>
      </c>
      <c r="C535" t="s">
        <v>254</v>
      </c>
      <c r="D535" s="1" t="s">
        <v>355</v>
      </c>
      <c r="E535" t="s">
        <v>342</v>
      </c>
      <c r="F535">
        <v>2518</v>
      </c>
    </row>
    <row r="536" spans="1:6" ht="12.75">
      <c r="A536">
        <v>200004</v>
      </c>
      <c r="B536" t="s">
        <v>350</v>
      </c>
      <c r="C536" t="s">
        <v>254</v>
      </c>
      <c r="D536" s="1" t="s">
        <v>341</v>
      </c>
      <c r="E536" t="s">
        <v>342</v>
      </c>
      <c r="F536">
        <v>12</v>
      </c>
    </row>
    <row r="537" spans="1:6" ht="12.75">
      <c r="A537">
        <v>200004</v>
      </c>
      <c r="B537" t="s">
        <v>350</v>
      </c>
      <c r="C537" t="s">
        <v>254</v>
      </c>
      <c r="D537" s="1" t="s">
        <v>401</v>
      </c>
      <c r="E537" t="s">
        <v>342</v>
      </c>
      <c r="F537">
        <v>1</v>
      </c>
    </row>
    <row r="538" spans="1:6" ht="12.75">
      <c r="A538">
        <v>200004</v>
      </c>
      <c r="B538" t="s">
        <v>350</v>
      </c>
      <c r="C538" t="s">
        <v>254</v>
      </c>
      <c r="D538" s="1" t="s">
        <v>357</v>
      </c>
      <c r="E538" t="s">
        <v>342</v>
      </c>
      <c r="F538">
        <v>18</v>
      </c>
    </row>
    <row r="539" spans="1:6" ht="12.75">
      <c r="A539">
        <v>200004</v>
      </c>
      <c r="B539" t="s">
        <v>207</v>
      </c>
      <c r="C539" t="s">
        <v>254</v>
      </c>
      <c r="D539" s="1" t="s">
        <v>341</v>
      </c>
      <c r="E539" t="s">
        <v>342</v>
      </c>
      <c r="F539">
        <v>45</v>
      </c>
    </row>
    <row r="540" spans="1:6" ht="12.75">
      <c r="A540">
        <v>200004</v>
      </c>
      <c r="B540" t="s">
        <v>207</v>
      </c>
      <c r="C540" t="s">
        <v>254</v>
      </c>
      <c r="D540" s="1" t="s">
        <v>360</v>
      </c>
      <c r="E540" t="s">
        <v>342</v>
      </c>
      <c r="F540">
        <v>1</v>
      </c>
    </row>
    <row r="541" spans="1:6" ht="12.75">
      <c r="A541">
        <v>200004</v>
      </c>
      <c r="B541" t="s">
        <v>361</v>
      </c>
      <c r="C541" t="s">
        <v>254</v>
      </c>
      <c r="D541" s="1" t="s">
        <v>394</v>
      </c>
      <c r="E541" t="s">
        <v>342</v>
      </c>
      <c r="F541">
        <v>1</v>
      </c>
    </row>
    <row r="542" spans="1:6" ht="12.75">
      <c r="A542">
        <v>200004</v>
      </c>
      <c r="B542" t="s">
        <v>361</v>
      </c>
      <c r="C542" t="s">
        <v>254</v>
      </c>
      <c r="D542" s="1" t="s">
        <v>354</v>
      </c>
      <c r="E542" t="s">
        <v>342</v>
      </c>
      <c r="F542">
        <v>1</v>
      </c>
    </row>
    <row r="543" spans="1:6" ht="12.75">
      <c r="A543">
        <v>200004</v>
      </c>
      <c r="B543" t="s">
        <v>347</v>
      </c>
      <c r="C543" t="s">
        <v>254</v>
      </c>
      <c r="D543" s="1" t="s">
        <v>341</v>
      </c>
      <c r="E543" t="s">
        <v>342</v>
      </c>
      <c r="F543">
        <v>11</v>
      </c>
    </row>
    <row r="544" spans="1:6" ht="12.75">
      <c r="A544">
        <v>200004</v>
      </c>
      <c r="B544" t="s">
        <v>348</v>
      </c>
      <c r="C544" t="s">
        <v>254</v>
      </c>
      <c r="D544" s="1" t="s">
        <v>341</v>
      </c>
      <c r="E544" t="s">
        <v>342</v>
      </c>
      <c r="F544">
        <v>28</v>
      </c>
    </row>
    <row r="545" spans="1:6" ht="12.75">
      <c r="A545">
        <v>200004</v>
      </c>
      <c r="B545" t="s">
        <v>371</v>
      </c>
      <c r="C545" t="s">
        <v>254</v>
      </c>
      <c r="D545" s="1" t="s">
        <v>468</v>
      </c>
      <c r="E545" t="s">
        <v>342</v>
      </c>
      <c r="F545">
        <v>64</v>
      </c>
    </row>
    <row r="546" spans="1:6" ht="12.75">
      <c r="A546">
        <v>200004</v>
      </c>
      <c r="B546" t="s">
        <v>371</v>
      </c>
      <c r="C546" t="s">
        <v>254</v>
      </c>
      <c r="D546" s="1" t="s">
        <v>352</v>
      </c>
      <c r="E546" t="s">
        <v>342</v>
      </c>
      <c r="F546">
        <v>8</v>
      </c>
    </row>
    <row r="547" spans="1:6" ht="12.75">
      <c r="A547">
        <v>200004</v>
      </c>
      <c r="B547" t="s">
        <v>371</v>
      </c>
      <c r="C547" t="s">
        <v>254</v>
      </c>
      <c r="D547" s="1" t="s">
        <v>366</v>
      </c>
      <c r="E547" t="s">
        <v>342</v>
      </c>
      <c r="F547">
        <v>8</v>
      </c>
    </row>
    <row r="548" spans="1:6" ht="12.75">
      <c r="A548">
        <v>200004</v>
      </c>
      <c r="B548" t="s">
        <v>371</v>
      </c>
      <c r="C548" t="s">
        <v>254</v>
      </c>
      <c r="D548" s="1" t="s">
        <v>353</v>
      </c>
      <c r="E548" t="s">
        <v>342</v>
      </c>
      <c r="F548">
        <v>3</v>
      </c>
    </row>
    <row r="549" spans="1:6" ht="12.75">
      <c r="A549">
        <v>200004</v>
      </c>
      <c r="B549" t="s">
        <v>371</v>
      </c>
      <c r="C549" t="s">
        <v>254</v>
      </c>
      <c r="D549" s="1" t="s">
        <v>362</v>
      </c>
      <c r="E549" t="s">
        <v>342</v>
      </c>
      <c r="F549">
        <v>51</v>
      </c>
    </row>
    <row r="550" spans="1:6" ht="12.75">
      <c r="A550">
        <v>200004</v>
      </c>
      <c r="B550" t="s">
        <v>371</v>
      </c>
      <c r="C550" t="s">
        <v>254</v>
      </c>
      <c r="D550" s="1" t="s">
        <v>373</v>
      </c>
      <c r="E550" t="s">
        <v>342</v>
      </c>
      <c r="F550">
        <v>2</v>
      </c>
    </row>
    <row r="551" spans="1:6" ht="12.75">
      <c r="A551">
        <v>200004</v>
      </c>
      <c r="B551" t="s">
        <v>371</v>
      </c>
      <c r="C551" t="s">
        <v>254</v>
      </c>
      <c r="D551" s="1" t="s">
        <v>354</v>
      </c>
      <c r="E551" t="s">
        <v>342</v>
      </c>
      <c r="F551">
        <v>641</v>
      </c>
    </row>
    <row r="552" spans="1:6" ht="12.75">
      <c r="A552">
        <v>200004</v>
      </c>
      <c r="B552" t="s">
        <v>371</v>
      </c>
      <c r="C552" t="s">
        <v>254</v>
      </c>
      <c r="D552" s="1" t="s">
        <v>355</v>
      </c>
      <c r="E552" t="s">
        <v>342</v>
      </c>
      <c r="F552">
        <v>548</v>
      </c>
    </row>
    <row r="553" spans="1:6" ht="12.75">
      <c r="A553">
        <v>200004</v>
      </c>
      <c r="B553" t="s">
        <v>371</v>
      </c>
      <c r="C553" t="s">
        <v>254</v>
      </c>
      <c r="D553" s="1" t="s">
        <v>341</v>
      </c>
      <c r="E553" t="s">
        <v>342</v>
      </c>
      <c r="F553">
        <v>63</v>
      </c>
    </row>
    <row r="554" spans="1:6" ht="12.75">
      <c r="A554">
        <v>200004</v>
      </c>
      <c r="B554" t="s">
        <v>371</v>
      </c>
      <c r="C554" t="s">
        <v>254</v>
      </c>
      <c r="D554" s="1" t="s">
        <v>472</v>
      </c>
      <c r="E554" t="s">
        <v>342</v>
      </c>
      <c r="F554">
        <v>1</v>
      </c>
    </row>
    <row r="555" spans="1:6" ht="12.75">
      <c r="A555">
        <v>200004</v>
      </c>
      <c r="B555" t="s">
        <v>349</v>
      </c>
      <c r="C555" t="s">
        <v>254</v>
      </c>
      <c r="D555" s="1" t="s">
        <v>341</v>
      </c>
      <c r="E555" t="s">
        <v>342</v>
      </c>
      <c r="F555">
        <v>20</v>
      </c>
    </row>
    <row r="556" spans="1:6" ht="12.75">
      <c r="A556">
        <v>200004</v>
      </c>
      <c r="B556" t="s">
        <v>377</v>
      </c>
      <c r="C556" t="s">
        <v>254</v>
      </c>
      <c r="D556" s="1" t="s">
        <v>353</v>
      </c>
      <c r="E556" t="s">
        <v>342</v>
      </c>
      <c r="F556">
        <v>4</v>
      </c>
    </row>
    <row r="557" spans="1:6" ht="12.75">
      <c r="A557">
        <v>200004</v>
      </c>
      <c r="B557" t="s">
        <v>377</v>
      </c>
      <c r="C557" t="s">
        <v>254</v>
      </c>
      <c r="D557" s="1" t="s">
        <v>362</v>
      </c>
      <c r="E557" t="s">
        <v>342</v>
      </c>
      <c r="F557">
        <v>144</v>
      </c>
    </row>
    <row r="558" spans="1:6" ht="12.75">
      <c r="A558">
        <v>200004</v>
      </c>
      <c r="B558" t="s">
        <v>377</v>
      </c>
      <c r="C558" t="s">
        <v>254</v>
      </c>
      <c r="D558" s="1" t="s">
        <v>354</v>
      </c>
      <c r="E558" t="s">
        <v>342</v>
      </c>
      <c r="F558">
        <v>336</v>
      </c>
    </row>
    <row r="559" spans="1:6" ht="12.75">
      <c r="A559">
        <v>200004</v>
      </c>
      <c r="B559" t="s">
        <v>377</v>
      </c>
      <c r="C559" t="s">
        <v>254</v>
      </c>
      <c r="D559" s="1" t="s">
        <v>341</v>
      </c>
      <c r="E559" t="s">
        <v>342</v>
      </c>
      <c r="F559">
        <v>20</v>
      </c>
    </row>
    <row r="560" spans="1:6" ht="12.75">
      <c r="A560">
        <v>200004</v>
      </c>
      <c r="B560" t="s">
        <v>377</v>
      </c>
      <c r="C560" t="s">
        <v>254</v>
      </c>
      <c r="D560" s="1" t="s">
        <v>356</v>
      </c>
      <c r="E560" t="s">
        <v>342</v>
      </c>
      <c r="F560">
        <v>25</v>
      </c>
    </row>
    <row r="561" spans="1:6" ht="12.75">
      <c r="A561">
        <v>200004</v>
      </c>
      <c r="B561" t="s">
        <v>377</v>
      </c>
      <c r="C561" t="s">
        <v>254</v>
      </c>
      <c r="D561" s="1" t="s">
        <v>357</v>
      </c>
      <c r="E561" t="s">
        <v>342</v>
      </c>
      <c r="F561">
        <v>3</v>
      </c>
    </row>
    <row r="562" spans="1:6" ht="12.75">
      <c r="A562">
        <v>200004</v>
      </c>
      <c r="B562" t="s">
        <v>379</v>
      </c>
      <c r="C562" t="s">
        <v>254</v>
      </c>
      <c r="D562" s="1" t="s">
        <v>352</v>
      </c>
      <c r="E562" t="s">
        <v>342</v>
      </c>
      <c r="F562">
        <v>10</v>
      </c>
    </row>
    <row r="563" spans="1:6" ht="12.75">
      <c r="A563">
        <v>200004</v>
      </c>
      <c r="B563" t="s">
        <v>379</v>
      </c>
      <c r="C563" t="s">
        <v>254</v>
      </c>
      <c r="D563" s="1" t="s">
        <v>362</v>
      </c>
      <c r="E563" t="s">
        <v>342</v>
      </c>
      <c r="F563">
        <v>33</v>
      </c>
    </row>
    <row r="564" spans="1:6" ht="12.75">
      <c r="A564">
        <v>200004</v>
      </c>
      <c r="B564" t="s">
        <v>379</v>
      </c>
      <c r="C564" t="s">
        <v>254</v>
      </c>
      <c r="D564" s="1" t="s">
        <v>354</v>
      </c>
      <c r="E564" t="s">
        <v>342</v>
      </c>
      <c r="F564">
        <v>171</v>
      </c>
    </row>
    <row r="565" spans="1:6" ht="12.75">
      <c r="A565">
        <v>200004</v>
      </c>
      <c r="B565" t="s">
        <v>379</v>
      </c>
      <c r="C565" t="s">
        <v>254</v>
      </c>
      <c r="D565" s="1" t="s">
        <v>355</v>
      </c>
      <c r="E565" t="s">
        <v>342</v>
      </c>
      <c r="F565">
        <v>3</v>
      </c>
    </row>
    <row r="566" spans="1:6" ht="12.75">
      <c r="A566">
        <v>200004</v>
      </c>
      <c r="B566" t="s">
        <v>379</v>
      </c>
      <c r="C566" t="s">
        <v>254</v>
      </c>
      <c r="D566" s="1" t="s">
        <v>341</v>
      </c>
      <c r="E566" t="s">
        <v>342</v>
      </c>
      <c r="F566">
        <v>368</v>
      </c>
    </row>
    <row r="567" spans="1:6" ht="12.75">
      <c r="A567">
        <v>200004</v>
      </c>
      <c r="B567" t="s">
        <v>387</v>
      </c>
      <c r="C567" t="s">
        <v>254</v>
      </c>
      <c r="D567" s="1" t="s">
        <v>414</v>
      </c>
      <c r="E567" t="s">
        <v>342</v>
      </c>
      <c r="F567">
        <v>1</v>
      </c>
    </row>
    <row r="568" spans="1:9" ht="12.75">
      <c r="A568">
        <v>200004</v>
      </c>
      <c r="B568" t="s">
        <v>387</v>
      </c>
      <c r="C568" t="s">
        <v>254</v>
      </c>
      <c r="D568" s="1" t="s">
        <v>341</v>
      </c>
      <c r="E568" t="s">
        <v>342</v>
      </c>
      <c r="F568">
        <v>4</v>
      </c>
      <c r="H568" t="s">
        <v>254</v>
      </c>
      <c r="I568">
        <f>SUM(F529:F568)</f>
        <v>6771</v>
      </c>
    </row>
    <row r="569" spans="1:6" ht="12.75">
      <c r="A569">
        <v>200004</v>
      </c>
      <c r="B569" t="s">
        <v>350</v>
      </c>
      <c r="C569" t="s">
        <v>256</v>
      </c>
      <c r="D569" s="1">
        <v>125</v>
      </c>
      <c r="E569" t="s">
        <v>342</v>
      </c>
      <c r="F569">
        <v>10</v>
      </c>
    </row>
    <row r="570" spans="1:6" ht="12.75">
      <c r="A570">
        <v>200004</v>
      </c>
      <c r="B570" t="s">
        <v>350</v>
      </c>
      <c r="C570" t="s">
        <v>256</v>
      </c>
      <c r="D570" s="1" t="s">
        <v>422</v>
      </c>
      <c r="E570" t="s">
        <v>342</v>
      </c>
      <c r="F570">
        <v>429</v>
      </c>
    </row>
    <row r="571" spans="1:6" ht="12.75">
      <c r="A571">
        <v>200004</v>
      </c>
      <c r="B571" t="s">
        <v>350</v>
      </c>
      <c r="C571" t="s">
        <v>256</v>
      </c>
      <c r="D571" s="1" t="s">
        <v>394</v>
      </c>
      <c r="E571" t="s">
        <v>342</v>
      </c>
      <c r="F571">
        <v>22</v>
      </c>
    </row>
    <row r="572" spans="1:6" ht="12.75">
      <c r="A572">
        <v>200004</v>
      </c>
      <c r="B572" t="s">
        <v>350</v>
      </c>
      <c r="C572" t="s">
        <v>256</v>
      </c>
      <c r="D572" s="1" t="s">
        <v>352</v>
      </c>
      <c r="E572" t="s">
        <v>342</v>
      </c>
      <c r="F572">
        <v>220</v>
      </c>
    </row>
    <row r="573" spans="1:6" ht="12.75">
      <c r="A573">
        <v>200004</v>
      </c>
      <c r="B573" t="s">
        <v>350</v>
      </c>
      <c r="C573" t="s">
        <v>256</v>
      </c>
      <c r="D573" s="1" t="s">
        <v>392</v>
      </c>
      <c r="E573" t="s">
        <v>342</v>
      </c>
      <c r="F573">
        <v>16</v>
      </c>
    </row>
    <row r="574" spans="1:6" ht="12.75">
      <c r="A574">
        <v>200004</v>
      </c>
      <c r="B574" t="s">
        <v>350</v>
      </c>
      <c r="C574" t="s">
        <v>256</v>
      </c>
      <c r="D574" s="1" t="s">
        <v>353</v>
      </c>
      <c r="E574" t="s">
        <v>342</v>
      </c>
      <c r="F574">
        <v>1408</v>
      </c>
    </row>
    <row r="575" spans="1:6" ht="12.75">
      <c r="A575">
        <v>200004</v>
      </c>
      <c r="B575" t="s">
        <v>350</v>
      </c>
      <c r="C575" t="s">
        <v>256</v>
      </c>
      <c r="D575" s="1" t="s">
        <v>420</v>
      </c>
      <c r="E575" t="s">
        <v>342</v>
      </c>
      <c r="F575">
        <v>5</v>
      </c>
    </row>
    <row r="576" spans="1:6" ht="12.75">
      <c r="A576">
        <v>200004</v>
      </c>
      <c r="B576" t="s">
        <v>350</v>
      </c>
      <c r="C576" t="s">
        <v>256</v>
      </c>
      <c r="D576" s="1" t="s">
        <v>393</v>
      </c>
      <c r="E576" t="s">
        <v>342</v>
      </c>
      <c r="F576">
        <v>623</v>
      </c>
    </row>
    <row r="577" spans="1:6" ht="12.75">
      <c r="A577">
        <v>200004</v>
      </c>
      <c r="B577" t="s">
        <v>350</v>
      </c>
      <c r="C577" t="s">
        <v>256</v>
      </c>
      <c r="D577" s="1" t="s">
        <v>362</v>
      </c>
      <c r="E577" t="s">
        <v>342</v>
      </c>
      <c r="F577">
        <v>268</v>
      </c>
    </row>
    <row r="578" spans="1:6" ht="12.75">
      <c r="A578">
        <v>200004</v>
      </c>
      <c r="B578" t="s">
        <v>350</v>
      </c>
      <c r="C578" t="s">
        <v>256</v>
      </c>
      <c r="D578" s="1" t="s">
        <v>354</v>
      </c>
      <c r="E578" t="s">
        <v>342</v>
      </c>
      <c r="F578">
        <v>273</v>
      </c>
    </row>
    <row r="579" spans="1:6" ht="12.75">
      <c r="A579">
        <v>200004</v>
      </c>
      <c r="B579" t="s">
        <v>350</v>
      </c>
      <c r="C579" t="s">
        <v>256</v>
      </c>
      <c r="D579" s="1" t="s">
        <v>355</v>
      </c>
      <c r="E579" t="s">
        <v>342</v>
      </c>
      <c r="F579">
        <v>2636</v>
      </c>
    </row>
    <row r="580" spans="1:6" ht="12.75">
      <c r="A580">
        <v>200004</v>
      </c>
      <c r="B580" t="s">
        <v>350</v>
      </c>
      <c r="C580" t="s">
        <v>256</v>
      </c>
      <c r="D580" s="1" t="s">
        <v>341</v>
      </c>
      <c r="E580" t="s">
        <v>342</v>
      </c>
      <c r="F580">
        <v>454</v>
      </c>
    </row>
    <row r="581" spans="1:6" ht="12.75">
      <c r="A581">
        <v>200004</v>
      </c>
      <c r="B581" t="s">
        <v>350</v>
      </c>
      <c r="C581" t="s">
        <v>256</v>
      </c>
      <c r="D581" s="1" t="s">
        <v>401</v>
      </c>
      <c r="E581" t="s">
        <v>342</v>
      </c>
      <c r="F581">
        <v>19</v>
      </c>
    </row>
    <row r="582" spans="1:6" ht="12.75">
      <c r="A582">
        <v>200004</v>
      </c>
      <c r="B582" t="s">
        <v>350</v>
      </c>
      <c r="C582" t="s">
        <v>256</v>
      </c>
      <c r="D582" s="1" t="s">
        <v>356</v>
      </c>
      <c r="E582" t="s">
        <v>342</v>
      </c>
      <c r="F582">
        <v>12</v>
      </c>
    </row>
    <row r="583" spans="1:6" ht="12.75">
      <c r="A583">
        <v>200004</v>
      </c>
      <c r="B583" t="s">
        <v>350</v>
      </c>
      <c r="C583" t="s">
        <v>256</v>
      </c>
      <c r="D583" s="1" t="s">
        <v>357</v>
      </c>
      <c r="E583" t="s">
        <v>342</v>
      </c>
      <c r="F583">
        <v>3902</v>
      </c>
    </row>
    <row r="584" spans="1:6" ht="12.75">
      <c r="A584">
        <v>200004</v>
      </c>
      <c r="B584" t="s">
        <v>350</v>
      </c>
      <c r="C584" t="s">
        <v>256</v>
      </c>
      <c r="D584" s="1" t="s">
        <v>358</v>
      </c>
      <c r="E584" t="s">
        <v>342</v>
      </c>
      <c r="F584">
        <v>14</v>
      </c>
    </row>
    <row r="585" spans="1:6" ht="12.75">
      <c r="A585">
        <v>200004</v>
      </c>
      <c r="B585" t="s">
        <v>350</v>
      </c>
      <c r="C585" t="s">
        <v>256</v>
      </c>
      <c r="D585" s="1" t="s">
        <v>359</v>
      </c>
      <c r="E585" t="s">
        <v>342</v>
      </c>
      <c r="F585">
        <v>14</v>
      </c>
    </row>
    <row r="586" spans="1:6" ht="12.75">
      <c r="A586">
        <v>200004</v>
      </c>
      <c r="B586" t="s">
        <v>207</v>
      </c>
      <c r="C586" t="s">
        <v>256</v>
      </c>
      <c r="D586" s="1" t="s">
        <v>341</v>
      </c>
      <c r="E586" t="s">
        <v>342</v>
      </c>
      <c r="F586">
        <v>303</v>
      </c>
    </row>
    <row r="587" spans="1:6" ht="12.75">
      <c r="A587">
        <v>200004</v>
      </c>
      <c r="B587" t="s">
        <v>361</v>
      </c>
      <c r="C587" t="s">
        <v>256</v>
      </c>
      <c r="D587" s="1" t="s">
        <v>352</v>
      </c>
      <c r="E587" t="s">
        <v>342</v>
      </c>
      <c r="F587">
        <v>2</v>
      </c>
    </row>
    <row r="588" spans="1:6" ht="12.75">
      <c r="A588">
        <v>200004</v>
      </c>
      <c r="B588" t="s">
        <v>361</v>
      </c>
      <c r="C588" t="s">
        <v>256</v>
      </c>
      <c r="D588" s="1" t="s">
        <v>392</v>
      </c>
      <c r="E588" t="s">
        <v>342</v>
      </c>
      <c r="F588">
        <v>7</v>
      </c>
    </row>
    <row r="589" spans="1:6" ht="12.75">
      <c r="A589">
        <v>200004</v>
      </c>
      <c r="B589" t="s">
        <v>361</v>
      </c>
      <c r="C589" t="s">
        <v>256</v>
      </c>
      <c r="D589" s="1" t="s">
        <v>353</v>
      </c>
      <c r="E589" t="s">
        <v>342</v>
      </c>
      <c r="F589">
        <v>28</v>
      </c>
    </row>
    <row r="590" spans="1:6" ht="12.75">
      <c r="A590">
        <v>200004</v>
      </c>
      <c r="B590" t="s">
        <v>361</v>
      </c>
      <c r="C590" t="s">
        <v>256</v>
      </c>
      <c r="D590" s="1" t="s">
        <v>362</v>
      </c>
      <c r="E590" t="s">
        <v>342</v>
      </c>
      <c r="F590">
        <v>5</v>
      </c>
    </row>
    <row r="591" spans="1:6" ht="12.75">
      <c r="A591">
        <v>200004</v>
      </c>
      <c r="B591" t="s">
        <v>361</v>
      </c>
      <c r="C591" t="s">
        <v>256</v>
      </c>
      <c r="D591" s="1" t="s">
        <v>354</v>
      </c>
      <c r="E591" t="s">
        <v>342</v>
      </c>
      <c r="F591">
        <v>1</v>
      </c>
    </row>
    <row r="592" spans="1:6" ht="12.75">
      <c r="A592">
        <v>200004</v>
      </c>
      <c r="B592" t="s">
        <v>361</v>
      </c>
      <c r="C592" t="s">
        <v>256</v>
      </c>
      <c r="D592" s="1" t="s">
        <v>406</v>
      </c>
      <c r="E592" t="s">
        <v>342</v>
      </c>
      <c r="F592">
        <v>1</v>
      </c>
    </row>
    <row r="593" spans="1:6" ht="12.75">
      <c r="A593">
        <v>200004</v>
      </c>
      <c r="B593" t="s">
        <v>361</v>
      </c>
      <c r="C593" t="s">
        <v>256</v>
      </c>
      <c r="D593" s="1" t="s">
        <v>341</v>
      </c>
      <c r="E593" t="s">
        <v>342</v>
      </c>
      <c r="F593">
        <v>11</v>
      </c>
    </row>
    <row r="594" spans="1:6" ht="12.75">
      <c r="A594">
        <v>200004</v>
      </c>
      <c r="B594" t="s">
        <v>361</v>
      </c>
      <c r="C594" t="s">
        <v>256</v>
      </c>
      <c r="D594" s="1" t="s">
        <v>356</v>
      </c>
      <c r="E594" t="s">
        <v>342</v>
      </c>
      <c r="F594">
        <v>115</v>
      </c>
    </row>
    <row r="595" spans="1:6" ht="12.75">
      <c r="A595">
        <v>200004</v>
      </c>
      <c r="B595" t="s">
        <v>361</v>
      </c>
      <c r="C595" t="s">
        <v>256</v>
      </c>
      <c r="D595" s="1" t="s">
        <v>357</v>
      </c>
      <c r="E595" t="s">
        <v>342</v>
      </c>
      <c r="F595">
        <v>17</v>
      </c>
    </row>
    <row r="596" spans="1:6" ht="12.75">
      <c r="A596">
        <v>200004</v>
      </c>
      <c r="B596" t="s">
        <v>367</v>
      </c>
      <c r="C596" t="s">
        <v>256</v>
      </c>
      <c r="D596" s="1" t="s">
        <v>366</v>
      </c>
      <c r="E596" t="s">
        <v>342</v>
      </c>
      <c r="F596">
        <v>13</v>
      </c>
    </row>
    <row r="597" spans="1:6" ht="12.75">
      <c r="A597">
        <v>200004</v>
      </c>
      <c r="B597" t="s">
        <v>369</v>
      </c>
      <c r="C597" t="s">
        <v>256</v>
      </c>
      <c r="D597" s="1" t="s">
        <v>352</v>
      </c>
      <c r="E597" t="s">
        <v>342</v>
      </c>
      <c r="F597">
        <v>10</v>
      </c>
    </row>
    <row r="598" spans="1:6" ht="12.75">
      <c r="A598">
        <v>200004</v>
      </c>
      <c r="B598" t="s">
        <v>369</v>
      </c>
      <c r="C598" t="s">
        <v>256</v>
      </c>
      <c r="D598" s="1" t="s">
        <v>353</v>
      </c>
      <c r="E598" t="s">
        <v>342</v>
      </c>
      <c r="F598">
        <v>4</v>
      </c>
    </row>
    <row r="599" spans="1:6" ht="12.75">
      <c r="A599">
        <v>200004</v>
      </c>
      <c r="B599" t="s">
        <v>369</v>
      </c>
      <c r="C599" t="s">
        <v>256</v>
      </c>
      <c r="D599" s="1" t="s">
        <v>341</v>
      </c>
      <c r="E599" t="s">
        <v>342</v>
      </c>
      <c r="F599">
        <v>61</v>
      </c>
    </row>
    <row r="600" spans="1:6" ht="12.75">
      <c r="A600">
        <v>200004</v>
      </c>
      <c r="B600" t="s">
        <v>369</v>
      </c>
      <c r="C600" t="s">
        <v>256</v>
      </c>
      <c r="D600" s="1" t="s">
        <v>356</v>
      </c>
      <c r="E600" t="s">
        <v>342</v>
      </c>
      <c r="F600">
        <v>7</v>
      </c>
    </row>
    <row r="601" spans="1:6" ht="12.75">
      <c r="A601">
        <v>200004</v>
      </c>
      <c r="B601" t="s">
        <v>369</v>
      </c>
      <c r="C601" t="s">
        <v>256</v>
      </c>
      <c r="D601" s="1" t="s">
        <v>357</v>
      </c>
      <c r="E601" t="s">
        <v>342</v>
      </c>
      <c r="F601">
        <v>20</v>
      </c>
    </row>
    <row r="602" spans="1:6" ht="12.75">
      <c r="A602">
        <v>200004</v>
      </c>
      <c r="B602" t="s">
        <v>369</v>
      </c>
      <c r="C602" t="s">
        <v>256</v>
      </c>
      <c r="D602" s="1" t="s">
        <v>403</v>
      </c>
      <c r="E602" t="s">
        <v>342</v>
      </c>
      <c r="F602">
        <v>1</v>
      </c>
    </row>
    <row r="603" spans="1:6" ht="12.75">
      <c r="A603">
        <v>200004</v>
      </c>
      <c r="B603" t="s">
        <v>347</v>
      </c>
      <c r="C603" t="s">
        <v>256</v>
      </c>
      <c r="D603" s="1" t="s">
        <v>341</v>
      </c>
      <c r="E603" t="s">
        <v>342</v>
      </c>
      <c r="F603">
        <v>581</v>
      </c>
    </row>
    <row r="604" spans="1:6" ht="12.75">
      <c r="A604">
        <v>200004</v>
      </c>
      <c r="B604" t="s">
        <v>348</v>
      </c>
      <c r="C604" t="s">
        <v>256</v>
      </c>
      <c r="D604" s="1" t="s">
        <v>341</v>
      </c>
      <c r="E604" t="s">
        <v>342</v>
      </c>
      <c r="F604">
        <v>810</v>
      </c>
    </row>
    <row r="605" spans="1:6" ht="12.75">
      <c r="A605">
        <v>200004</v>
      </c>
      <c r="B605" t="s">
        <v>371</v>
      </c>
      <c r="C605" t="s">
        <v>256</v>
      </c>
      <c r="D605" s="1" t="s">
        <v>365</v>
      </c>
      <c r="E605" t="s">
        <v>342</v>
      </c>
      <c r="F605">
        <v>30</v>
      </c>
    </row>
    <row r="606" spans="1:6" ht="12.75">
      <c r="A606">
        <v>200004</v>
      </c>
      <c r="B606" t="s">
        <v>371</v>
      </c>
      <c r="C606" t="s">
        <v>256</v>
      </c>
      <c r="D606" s="1" t="s">
        <v>468</v>
      </c>
      <c r="E606" t="s">
        <v>342</v>
      </c>
      <c r="F606">
        <v>68</v>
      </c>
    </row>
    <row r="607" spans="1:6" ht="12.75">
      <c r="A607">
        <v>200004</v>
      </c>
      <c r="B607" t="s">
        <v>371</v>
      </c>
      <c r="C607" t="s">
        <v>256</v>
      </c>
      <c r="D607" s="1" t="s">
        <v>394</v>
      </c>
      <c r="E607" t="s">
        <v>342</v>
      </c>
      <c r="F607">
        <v>23</v>
      </c>
    </row>
    <row r="608" spans="1:6" ht="12.75">
      <c r="A608">
        <v>200004</v>
      </c>
      <c r="B608" t="s">
        <v>371</v>
      </c>
      <c r="C608" t="s">
        <v>256</v>
      </c>
      <c r="D608" s="1" t="s">
        <v>352</v>
      </c>
      <c r="E608" t="s">
        <v>342</v>
      </c>
      <c r="F608">
        <v>229</v>
      </c>
    </row>
    <row r="609" spans="1:6" ht="12.75">
      <c r="A609">
        <v>200004</v>
      </c>
      <c r="B609" t="s">
        <v>371</v>
      </c>
      <c r="C609" t="s">
        <v>256</v>
      </c>
      <c r="D609" s="1" t="s">
        <v>366</v>
      </c>
      <c r="E609" t="s">
        <v>342</v>
      </c>
      <c r="F609">
        <v>4678</v>
      </c>
    </row>
    <row r="610" spans="1:6" ht="12.75">
      <c r="A610">
        <v>200004</v>
      </c>
      <c r="B610" t="s">
        <v>371</v>
      </c>
      <c r="C610" t="s">
        <v>256</v>
      </c>
      <c r="D610" s="1" t="s">
        <v>427</v>
      </c>
      <c r="E610" t="s">
        <v>342</v>
      </c>
      <c r="F610">
        <v>2</v>
      </c>
    </row>
    <row r="611" spans="1:6" ht="12.75">
      <c r="A611">
        <v>200004</v>
      </c>
      <c r="B611" t="s">
        <v>371</v>
      </c>
      <c r="C611" t="s">
        <v>256</v>
      </c>
      <c r="D611" s="1" t="s">
        <v>353</v>
      </c>
      <c r="E611" t="s">
        <v>342</v>
      </c>
      <c r="F611">
        <v>1672</v>
      </c>
    </row>
    <row r="612" spans="1:6" ht="12.75">
      <c r="A612">
        <v>200004</v>
      </c>
      <c r="B612" t="s">
        <v>371</v>
      </c>
      <c r="C612" t="s">
        <v>256</v>
      </c>
      <c r="D612" s="1" t="s">
        <v>372</v>
      </c>
      <c r="E612" t="s">
        <v>342</v>
      </c>
      <c r="F612">
        <v>4</v>
      </c>
    </row>
    <row r="613" spans="1:6" ht="12.75">
      <c r="A613">
        <v>200004</v>
      </c>
      <c r="B613" t="s">
        <v>371</v>
      </c>
      <c r="C613" t="s">
        <v>256</v>
      </c>
      <c r="D613" s="1" t="s">
        <v>362</v>
      </c>
      <c r="E613" t="s">
        <v>342</v>
      </c>
      <c r="F613">
        <v>163</v>
      </c>
    </row>
    <row r="614" spans="1:6" ht="12.75">
      <c r="A614">
        <v>200004</v>
      </c>
      <c r="B614" t="s">
        <v>371</v>
      </c>
      <c r="C614" t="s">
        <v>256</v>
      </c>
      <c r="D614" s="1" t="s">
        <v>373</v>
      </c>
      <c r="E614" t="s">
        <v>342</v>
      </c>
      <c r="F614">
        <v>103</v>
      </c>
    </row>
    <row r="615" spans="1:6" ht="12.75">
      <c r="A615">
        <v>200004</v>
      </c>
      <c r="B615" t="s">
        <v>371</v>
      </c>
      <c r="C615" t="s">
        <v>256</v>
      </c>
      <c r="D615" s="1" t="s">
        <v>354</v>
      </c>
      <c r="E615" t="s">
        <v>342</v>
      </c>
      <c r="F615">
        <v>721</v>
      </c>
    </row>
    <row r="616" spans="1:6" ht="12.75">
      <c r="A616">
        <v>200004</v>
      </c>
      <c r="B616" t="s">
        <v>371</v>
      </c>
      <c r="C616" t="s">
        <v>256</v>
      </c>
      <c r="D616" s="1" t="s">
        <v>355</v>
      </c>
      <c r="E616" t="s">
        <v>342</v>
      </c>
      <c r="F616">
        <v>704</v>
      </c>
    </row>
    <row r="617" spans="1:6" ht="12.75">
      <c r="A617">
        <v>200004</v>
      </c>
      <c r="B617" t="s">
        <v>371</v>
      </c>
      <c r="C617" t="s">
        <v>256</v>
      </c>
      <c r="D617" s="1" t="s">
        <v>428</v>
      </c>
      <c r="E617" t="s">
        <v>342</v>
      </c>
      <c r="F617">
        <v>1</v>
      </c>
    </row>
    <row r="618" spans="1:6" ht="12.75">
      <c r="A618">
        <v>200004</v>
      </c>
      <c r="B618" t="s">
        <v>371</v>
      </c>
      <c r="C618" t="s">
        <v>256</v>
      </c>
      <c r="D618" s="1" t="s">
        <v>374</v>
      </c>
      <c r="E618" t="s">
        <v>342</v>
      </c>
      <c r="F618">
        <v>24</v>
      </c>
    </row>
    <row r="619" spans="1:6" ht="12.75">
      <c r="A619">
        <v>200004</v>
      </c>
      <c r="B619" t="s">
        <v>371</v>
      </c>
      <c r="C619" t="s">
        <v>256</v>
      </c>
      <c r="D619" s="1" t="s">
        <v>375</v>
      </c>
      <c r="E619" t="s">
        <v>342</v>
      </c>
      <c r="F619">
        <v>2</v>
      </c>
    </row>
    <row r="620" spans="1:6" ht="12.75">
      <c r="A620">
        <v>200004</v>
      </c>
      <c r="B620" t="s">
        <v>371</v>
      </c>
      <c r="C620" t="s">
        <v>256</v>
      </c>
      <c r="D620" s="1" t="s">
        <v>384</v>
      </c>
      <c r="E620" t="s">
        <v>342</v>
      </c>
      <c r="F620">
        <v>3</v>
      </c>
    </row>
    <row r="621" spans="1:6" ht="12.75">
      <c r="A621">
        <v>200004</v>
      </c>
      <c r="B621" t="s">
        <v>371</v>
      </c>
      <c r="C621" t="s">
        <v>256</v>
      </c>
      <c r="D621" s="1" t="s">
        <v>341</v>
      </c>
      <c r="E621" t="s">
        <v>342</v>
      </c>
      <c r="F621">
        <v>492</v>
      </c>
    </row>
    <row r="622" spans="1:6" ht="12.75">
      <c r="A622">
        <v>200004</v>
      </c>
      <c r="B622" t="s">
        <v>371</v>
      </c>
      <c r="C622" t="s">
        <v>256</v>
      </c>
      <c r="D622" s="1" t="s">
        <v>344</v>
      </c>
      <c r="E622" t="s">
        <v>342</v>
      </c>
      <c r="F622">
        <v>2</v>
      </c>
    </row>
    <row r="623" spans="1:6" ht="12.75">
      <c r="A623">
        <v>200004</v>
      </c>
      <c r="B623" t="s">
        <v>371</v>
      </c>
      <c r="C623" t="s">
        <v>256</v>
      </c>
      <c r="D623" s="1" t="s">
        <v>376</v>
      </c>
      <c r="E623" t="s">
        <v>342</v>
      </c>
      <c r="F623">
        <v>3</v>
      </c>
    </row>
    <row r="624" spans="1:6" ht="12.75">
      <c r="A624">
        <v>200004</v>
      </c>
      <c r="B624" t="s">
        <v>349</v>
      </c>
      <c r="C624" t="s">
        <v>256</v>
      </c>
      <c r="D624" s="1" t="s">
        <v>341</v>
      </c>
      <c r="E624" t="s">
        <v>342</v>
      </c>
      <c r="F624">
        <v>1431</v>
      </c>
    </row>
    <row r="625" spans="1:6" ht="12.75">
      <c r="A625">
        <v>200004</v>
      </c>
      <c r="B625" t="s">
        <v>349</v>
      </c>
      <c r="C625" t="s">
        <v>256</v>
      </c>
      <c r="D625" s="1" t="s">
        <v>357</v>
      </c>
      <c r="E625" t="s">
        <v>342</v>
      </c>
      <c r="F625">
        <v>1</v>
      </c>
    </row>
    <row r="626" spans="1:6" ht="12.75">
      <c r="A626">
        <v>200004</v>
      </c>
      <c r="B626" t="s">
        <v>349</v>
      </c>
      <c r="C626" t="s">
        <v>256</v>
      </c>
      <c r="D626" s="1" t="s">
        <v>376</v>
      </c>
      <c r="E626" t="s">
        <v>342</v>
      </c>
      <c r="F626">
        <v>9</v>
      </c>
    </row>
    <row r="627" spans="1:6" ht="12.75">
      <c r="A627">
        <v>200004</v>
      </c>
      <c r="B627" t="s">
        <v>377</v>
      </c>
      <c r="C627" t="s">
        <v>256</v>
      </c>
      <c r="D627" s="1" t="s">
        <v>352</v>
      </c>
      <c r="E627" t="s">
        <v>342</v>
      </c>
      <c r="F627">
        <v>30</v>
      </c>
    </row>
    <row r="628" spans="1:6" ht="12.75">
      <c r="A628">
        <v>200004</v>
      </c>
      <c r="B628" t="s">
        <v>377</v>
      </c>
      <c r="C628" t="s">
        <v>256</v>
      </c>
      <c r="D628" s="1" t="s">
        <v>392</v>
      </c>
      <c r="E628" t="s">
        <v>342</v>
      </c>
      <c r="F628">
        <v>136</v>
      </c>
    </row>
    <row r="629" spans="1:6" ht="12.75">
      <c r="A629">
        <v>200004</v>
      </c>
      <c r="B629" t="s">
        <v>377</v>
      </c>
      <c r="C629" t="s">
        <v>256</v>
      </c>
      <c r="D629" s="1" t="s">
        <v>353</v>
      </c>
      <c r="E629" t="s">
        <v>342</v>
      </c>
      <c r="F629">
        <v>280</v>
      </c>
    </row>
    <row r="630" spans="1:6" ht="12.75">
      <c r="A630">
        <v>200004</v>
      </c>
      <c r="B630" t="s">
        <v>377</v>
      </c>
      <c r="C630" t="s">
        <v>256</v>
      </c>
      <c r="D630" s="1" t="s">
        <v>378</v>
      </c>
      <c r="E630" t="s">
        <v>342</v>
      </c>
      <c r="F630">
        <v>6</v>
      </c>
    </row>
    <row r="631" spans="1:6" ht="12.75">
      <c r="A631">
        <v>200004</v>
      </c>
      <c r="B631" t="s">
        <v>377</v>
      </c>
      <c r="C631" t="s">
        <v>256</v>
      </c>
      <c r="D631" s="1" t="s">
        <v>413</v>
      </c>
      <c r="E631" t="s">
        <v>342</v>
      </c>
      <c r="F631">
        <v>6</v>
      </c>
    </row>
    <row r="632" spans="1:6" ht="12.75">
      <c r="A632">
        <v>200004</v>
      </c>
      <c r="B632" t="s">
        <v>377</v>
      </c>
      <c r="C632" t="s">
        <v>256</v>
      </c>
      <c r="D632" s="1" t="s">
        <v>409</v>
      </c>
      <c r="E632" t="s">
        <v>342</v>
      </c>
      <c r="F632">
        <v>3</v>
      </c>
    </row>
    <row r="633" spans="1:6" ht="12.75">
      <c r="A633">
        <v>200004</v>
      </c>
      <c r="B633" t="s">
        <v>377</v>
      </c>
      <c r="C633" t="s">
        <v>256</v>
      </c>
      <c r="D633" s="1" t="s">
        <v>429</v>
      </c>
      <c r="E633" t="s">
        <v>342</v>
      </c>
      <c r="F633">
        <v>5</v>
      </c>
    </row>
    <row r="634" spans="1:6" ht="12.75">
      <c r="A634">
        <v>200004</v>
      </c>
      <c r="B634" t="s">
        <v>377</v>
      </c>
      <c r="C634" t="s">
        <v>256</v>
      </c>
      <c r="D634" s="1" t="s">
        <v>430</v>
      </c>
      <c r="E634" t="s">
        <v>342</v>
      </c>
      <c r="F634">
        <v>2</v>
      </c>
    </row>
    <row r="635" spans="1:6" ht="12.75">
      <c r="A635">
        <v>200004</v>
      </c>
      <c r="B635" t="s">
        <v>377</v>
      </c>
      <c r="C635" t="s">
        <v>256</v>
      </c>
      <c r="D635" s="1" t="s">
        <v>388</v>
      </c>
      <c r="E635" t="s">
        <v>342</v>
      </c>
      <c r="F635">
        <v>4</v>
      </c>
    </row>
    <row r="636" spans="1:6" ht="12.75">
      <c r="A636">
        <v>200004</v>
      </c>
      <c r="B636" t="s">
        <v>377</v>
      </c>
      <c r="C636" t="s">
        <v>256</v>
      </c>
      <c r="D636" s="1" t="s">
        <v>362</v>
      </c>
      <c r="E636" t="s">
        <v>342</v>
      </c>
      <c r="F636">
        <v>142</v>
      </c>
    </row>
    <row r="637" spans="1:6" ht="12.75">
      <c r="A637">
        <v>200004</v>
      </c>
      <c r="B637" t="s">
        <v>377</v>
      </c>
      <c r="C637" t="s">
        <v>256</v>
      </c>
      <c r="D637" s="1" t="s">
        <v>354</v>
      </c>
      <c r="E637" t="s">
        <v>342</v>
      </c>
      <c r="F637">
        <v>18</v>
      </c>
    </row>
    <row r="638" spans="1:6" ht="12.75">
      <c r="A638">
        <v>200004</v>
      </c>
      <c r="B638" t="s">
        <v>377</v>
      </c>
      <c r="C638" t="s">
        <v>256</v>
      </c>
      <c r="D638" s="1" t="s">
        <v>431</v>
      </c>
      <c r="E638" t="s">
        <v>342</v>
      </c>
      <c r="F638">
        <v>6</v>
      </c>
    </row>
    <row r="639" spans="1:6" ht="12.75">
      <c r="A639">
        <v>200004</v>
      </c>
      <c r="B639" t="s">
        <v>377</v>
      </c>
      <c r="C639" t="s">
        <v>256</v>
      </c>
      <c r="D639" s="1" t="s">
        <v>410</v>
      </c>
      <c r="E639" t="s">
        <v>342</v>
      </c>
      <c r="F639">
        <v>18</v>
      </c>
    </row>
    <row r="640" spans="1:6" ht="12.75">
      <c r="A640">
        <v>200004</v>
      </c>
      <c r="B640" t="s">
        <v>377</v>
      </c>
      <c r="C640" t="s">
        <v>256</v>
      </c>
      <c r="D640" s="1" t="s">
        <v>341</v>
      </c>
      <c r="E640" t="s">
        <v>342</v>
      </c>
      <c r="F640">
        <v>123</v>
      </c>
    </row>
    <row r="641" spans="1:6" ht="12.75">
      <c r="A641">
        <v>200004</v>
      </c>
      <c r="B641" t="s">
        <v>377</v>
      </c>
      <c r="C641" t="s">
        <v>256</v>
      </c>
      <c r="D641" s="1" t="s">
        <v>356</v>
      </c>
      <c r="E641" t="s">
        <v>342</v>
      </c>
      <c r="F641">
        <v>1284</v>
      </c>
    </row>
    <row r="642" spans="1:6" ht="12.75">
      <c r="A642">
        <v>200004</v>
      </c>
      <c r="B642" t="s">
        <v>377</v>
      </c>
      <c r="C642" t="s">
        <v>256</v>
      </c>
      <c r="D642" s="1" t="s">
        <v>357</v>
      </c>
      <c r="E642" t="s">
        <v>342</v>
      </c>
      <c r="F642">
        <v>297</v>
      </c>
    </row>
    <row r="643" spans="1:6" ht="12.75">
      <c r="A643">
        <v>200004</v>
      </c>
      <c r="B643" t="s">
        <v>377</v>
      </c>
      <c r="C643" t="s">
        <v>256</v>
      </c>
      <c r="D643" s="1" t="s">
        <v>390</v>
      </c>
      <c r="E643" t="s">
        <v>342</v>
      </c>
      <c r="F643">
        <v>1</v>
      </c>
    </row>
    <row r="644" spans="1:6" ht="12.75">
      <c r="A644">
        <v>200004</v>
      </c>
      <c r="B644" t="s">
        <v>377</v>
      </c>
      <c r="C644" t="s">
        <v>256</v>
      </c>
      <c r="D644" s="1" t="s">
        <v>418</v>
      </c>
      <c r="E644" t="s">
        <v>342</v>
      </c>
      <c r="F644">
        <v>3</v>
      </c>
    </row>
    <row r="645" spans="1:6" ht="12.75">
      <c r="A645">
        <v>200004</v>
      </c>
      <c r="B645" t="s">
        <v>377</v>
      </c>
      <c r="C645" t="s">
        <v>256</v>
      </c>
      <c r="D645" s="1" t="s">
        <v>402</v>
      </c>
      <c r="E645" t="s">
        <v>342</v>
      </c>
      <c r="F645">
        <v>52</v>
      </c>
    </row>
    <row r="646" spans="1:6" ht="12.75">
      <c r="A646">
        <v>200004</v>
      </c>
      <c r="B646" t="s">
        <v>379</v>
      </c>
      <c r="C646" t="s">
        <v>256</v>
      </c>
      <c r="D646" s="1" t="s">
        <v>394</v>
      </c>
      <c r="E646" t="s">
        <v>342</v>
      </c>
      <c r="F646">
        <v>12</v>
      </c>
    </row>
    <row r="647" spans="1:6" ht="12.75">
      <c r="A647">
        <v>200004</v>
      </c>
      <c r="B647" t="s">
        <v>379</v>
      </c>
      <c r="C647" t="s">
        <v>256</v>
      </c>
      <c r="D647" s="1" t="s">
        <v>352</v>
      </c>
      <c r="E647" t="s">
        <v>342</v>
      </c>
      <c r="F647">
        <v>373</v>
      </c>
    </row>
    <row r="648" spans="1:6" ht="12.75">
      <c r="A648">
        <v>200004</v>
      </c>
      <c r="B648" t="s">
        <v>379</v>
      </c>
      <c r="C648" t="s">
        <v>256</v>
      </c>
      <c r="D648" s="1" t="s">
        <v>366</v>
      </c>
      <c r="E648" t="s">
        <v>342</v>
      </c>
      <c r="F648">
        <v>4863</v>
      </c>
    </row>
    <row r="649" spans="1:6" ht="12.75">
      <c r="A649">
        <v>200004</v>
      </c>
      <c r="B649" t="s">
        <v>379</v>
      </c>
      <c r="C649" t="s">
        <v>256</v>
      </c>
      <c r="D649" s="1" t="s">
        <v>427</v>
      </c>
      <c r="E649" t="s">
        <v>342</v>
      </c>
      <c r="F649">
        <v>9</v>
      </c>
    </row>
    <row r="650" spans="1:6" ht="12.75">
      <c r="A650">
        <v>200004</v>
      </c>
      <c r="B650" t="s">
        <v>379</v>
      </c>
      <c r="C650" t="s">
        <v>256</v>
      </c>
      <c r="D650" s="1" t="s">
        <v>412</v>
      </c>
      <c r="E650" t="s">
        <v>342</v>
      </c>
      <c r="F650">
        <v>5</v>
      </c>
    </row>
    <row r="651" spans="1:6" ht="12.75">
      <c r="A651">
        <v>200004</v>
      </c>
      <c r="B651" t="s">
        <v>379</v>
      </c>
      <c r="C651" t="s">
        <v>256</v>
      </c>
      <c r="D651" s="1" t="s">
        <v>353</v>
      </c>
      <c r="E651" t="s">
        <v>342</v>
      </c>
      <c r="F651">
        <v>1332</v>
      </c>
    </row>
    <row r="652" spans="1:6" ht="12.75">
      <c r="A652">
        <v>200004</v>
      </c>
      <c r="B652" t="s">
        <v>379</v>
      </c>
      <c r="C652" t="s">
        <v>256</v>
      </c>
      <c r="D652" s="1" t="s">
        <v>362</v>
      </c>
      <c r="E652" t="s">
        <v>342</v>
      </c>
      <c r="F652">
        <v>86</v>
      </c>
    </row>
    <row r="653" spans="1:6" ht="12.75">
      <c r="A653">
        <v>200004</v>
      </c>
      <c r="B653" t="s">
        <v>379</v>
      </c>
      <c r="C653" t="s">
        <v>256</v>
      </c>
      <c r="D653" s="1" t="s">
        <v>373</v>
      </c>
      <c r="E653" t="s">
        <v>342</v>
      </c>
      <c r="F653">
        <v>2</v>
      </c>
    </row>
    <row r="654" spans="1:6" ht="12.75">
      <c r="A654">
        <v>200004</v>
      </c>
      <c r="B654" t="s">
        <v>379</v>
      </c>
      <c r="C654" t="s">
        <v>256</v>
      </c>
      <c r="D654" s="1" t="s">
        <v>354</v>
      </c>
      <c r="E654" t="s">
        <v>342</v>
      </c>
      <c r="F654">
        <v>182</v>
      </c>
    </row>
    <row r="655" spans="1:6" ht="12.75">
      <c r="A655">
        <v>200004</v>
      </c>
      <c r="B655" t="s">
        <v>379</v>
      </c>
      <c r="C655" t="s">
        <v>256</v>
      </c>
      <c r="D655" s="1" t="s">
        <v>355</v>
      </c>
      <c r="E655" t="s">
        <v>342</v>
      </c>
      <c r="F655">
        <v>83</v>
      </c>
    </row>
    <row r="656" spans="1:6" ht="12.75">
      <c r="A656">
        <v>200004</v>
      </c>
      <c r="B656" t="s">
        <v>379</v>
      </c>
      <c r="C656" t="s">
        <v>256</v>
      </c>
      <c r="D656" s="1" t="s">
        <v>380</v>
      </c>
      <c r="E656" t="s">
        <v>342</v>
      </c>
      <c r="F656">
        <v>2</v>
      </c>
    </row>
    <row r="657" spans="1:6" ht="12.75">
      <c r="A657">
        <v>200004</v>
      </c>
      <c r="B657" t="s">
        <v>379</v>
      </c>
      <c r="C657" t="s">
        <v>256</v>
      </c>
      <c r="D657" s="1" t="s">
        <v>381</v>
      </c>
      <c r="E657" t="s">
        <v>342</v>
      </c>
      <c r="F657">
        <v>17</v>
      </c>
    </row>
    <row r="658" spans="1:6" ht="12.75">
      <c r="A658">
        <v>200004</v>
      </c>
      <c r="B658" t="s">
        <v>379</v>
      </c>
      <c r="C658" t="s">
        <v>256</v>
      </c>
      <c r="D658" s="1" t="s">
        <v>382</v>
      </c>
      <c r="E658" t="s">
        <v>342</v>
      </c>
      <c r="F658">
        <v>2</v>
      </c>
    </row>
    <row r="659" spans="1:6" ht="12.75">
      <c r="A659">
        <v>200004</v>
      </c>
      <c r="B659" t="s">
        <v>379</v>
      </c>
      <c r="C659" t="s">
        <v>256</v>
      </c>
      <c r="D659" s="1" t="s">
        <v>374</v>
      </c>
      <c r="E659" t="s">
        <v>342</v>
      </c>
      <c r="F659">
        <v>81</v>
      </c>
    </row>
    <row r="660" spans="1:6" ht="12.75">
      <c r="A660">
        <v>200004</v>
      </c>
      <c r="B660" t="s">
        <v>379</v>
      </c>
      <c r="C660" t="s">
        <v>256</v>
      </c>
      <c r="D660" s="1" t="s">
        <v>383</v>
      </c>
      <c r="E660" t="s">
        <v>342</v>
      </c>
      <c r="F660">
        <v>2</v>
      </c>
    </row>
    <row r="661" spans="1:6" ht="12.75">
      <c r="A661">
        <v>200004</v>
      </c>
      <c r="B661" t="s">
        <v>379</v>
      </c>
      <c r="C661" t="s">
        <v>256</v>
      </c>
      <c r="D661" s="1" t="s">
        <v>432</v>
      </c>
      <c r="E661" t="s">
        <v>342</v>
      </c>
      <c r="F661">
        <v>1</v>
      </c>
    </row>
    <row r="662" spans="1:6" ht="12.75">
      <c r="A662">
        <v>200004</v>
      </c>
      <c r="B662" t="s">
        <v>379</v>
      </c>
      <c r="C662" t="s">
        <v>256</v>
      </c>
      <c r="D662" s="1" t="s">
        <v>384</v>
      </c>
      <c r="E662" t="s">
        <v>342</v>
      </c>
      <c r="F662">
        <v>9</v>
      </c>
    </row>
    <row r="663" spans="1:6" ht="12.75">
      <c r="A663">
        <v>200004</v>
      </c>
      <c r="B663" t="s">
        <v>379</v>
      </c>
      <c r="C663" t="s">
        <v>256</v>
      </c>
      <c r="D663" s="1" t="s">
        <v>341</v>
      </c>
      <c r="E663" t="s">
        <v>342</v>
      </c>
      <c r="F663">
        <v>1331</v>
      </c>
    </row>
    <row r="664" spans="1:6" ht="12.75">
      <c r="A664">
        <v>200004</v>
      </c>
      <c r="B664" t="s">
        <v>379</v>
      </c>
      <c r="C664" t="s">
        <v>256</v>
      </c>
      <c r="D664" s="1" t="s">
        <v>385</v>
      </c>
      <c r="E664" t="s">
        <v>342</v>
      </c>
      <c r="F664">
        <v>11</v>
      </c>
    </row>
    <row r="665" spans="1:6" ht="12.75">
      <c r="A665">
        <v>200004</v>
      </c>
      <c r="B665" t="s">
        <v>379</v>
      </c>
      <c r="C665" t="s">
        <v>256</v>
      </c>
      <c r="D665" s="1" t="s">
        <v>386</v>
      </c>
      <c r="E665" t="s">
        <v>342</v>
      </c>
      <c r="F665">
        <v>2</v>
      </c>
    </row>
    <row r="666" spans="1:6" ht="12.75">
      <c r="A666">
        <v>200004</v>
      </c>
      <c r="B666" t="s">
        <v>379</v>
      </c>
      <c r="C666" t="s">
        <v>256</v>
      </c>
      <c r="D666" s="1" t="s">
        <v>376</v>
      </c>
      <c r="E666" t="s">
        <v>342</v>
      </c>
      <c r="F666">
        <v>1</v>
      </c>
    </row>
    <row r="667" spans="1:6" ht="12.75">
      <c r="A667">
        <v>200004</v>
      </c>
      <c r="B667" t="s">
        <v>387</v>
      </c>
      <c r="C667" t="s">
        <v>256</v>
      </c>
      <c r="D667" s="1" t="s">
        <v>394</v>
      </c>
      <c r="E667" t="s">
        <v>342</v>
      </c>
      <c r="F667">
        <v>40</v>
      </c>
    </row>
    <row r="668" spans="1:6" ht="12.75">
      <c r="A668">
        <v>200004</v>
      </c>
      <c r="B668" t="s">
        <v>387</v>
      </c>
      <c r="C668" t="s">
        <v>256</v>
      </c>
      <c r="D668" s="1" t="s">
        <v>352</v>
      </c>
      <c r="E668" t="s">
        <v>342</v>
      </c>
      <c r="F668">
        <v>11</v>
      </c>
    </row>
    <row r="669" spans="1:6" ht="12.75">
      <c r="A669">
        <v>200004</v>
      </c>
      <c r="B669" t="s">
        <v>387</v>
      </c>
      <c r="C669" t="s">
        <v>256</v>
      </c>
      <c r="D669" s="1" t="s">
        <v>392</v>
      </c>
      <c r="E669" t="s">
        <v>342</v>
      </c>
      <c r="F669">
        <v>46</v>
      </c>
    </row>
    <row r="670" spans="1:6" ht="12.75">
      <c r="A670">
        <v>200004</v>
      </c>
      <c r="B670" t="s">
        <v>387</v>
      </c>
      <c r="C670" t="s">
        <v>256</v>
      </c>
      <c r="D670" s="1" t="s">
        <v>353</v>
      </c>
      <c r="E670" t="s">
        <v>342</v>
      </c>
      <c r="F670">
        <v>25</v>
      </c>
    </row>
    <row r="671" spans="1:6" ht="12.75">
      <c r="A671">
        <v>200004</v>
      </c>
      <c r="B671" t="s">
        <v>387</v>
      </c>
      <c r="C671" t="s">
        <v>256</v>
      </c>
      <c r="D671" s="1" t="s">
        <v>404</v>
      </c>
      <c r="E671" t="s">
        <v>342</v>
      </c>
      <c r="F671">
        <v>7</v>
      </c>
    </row>
    <row r="672" spans="1:6" ht="12.75">
      <c r="A672">
        <v>200004</v>
      </c>
      <c r="B672" t="s">
        <v>387</v>
      </c>
      <c r="C672" t="s">
        <v>256</v>
      </c>
      <c r="D672" s="1" t="s">
        <v>415</v>
      </c>
      <c r="E672" t="s">
        <v>342</v>
      </c>
      <c r="F672">
        <v>1</v>
      </c>
    </row>
    <row r="673" spans="1:6" ht="12.75">
      <c r="A673">
        <v>200004</v>
      </c>
      <c r="B673" t="s">
        <v>387</v>
      </c>
      <c r="C673" t="s">
        <v>256</v>
      </c>
      <c r="D673" s="1" t="s">
        <v>388</v>
      </c>
      <c r="E673" t="s">
        <v>342</v>
      </c>
      <c r="F673">
        <v>2</v>
      </c>
    </row>
    <row r="674" spans="1:6" ht="12.75">
      <c r="A674">
        <v>200004</v>
      </c>
      <c r="B674" t="s">
        <v>387</v>
      </c>
      <c r="C674" t="s">
        <v>256</v>
      </c>
      <c r="D674" s="1" t="s">
        <v>435</v>
      </c>
      <c r="E674" t="s">
        <v>342</v>
      </c>
      <c r="F674">
        <v>13</v>
      </c>
    </row>
    <row r="675" spans="1:6" ht="12.75">
      <c r="A675">
        <v>200004</v>
      </c>
      <c r="B675" t="s">
        <v>387</v>
      </c>
      <c r="C675" t="s">
        <v>256</v>
      </c>
      <c r="D675" s="1" t="s">
        <v>341</v>
      </c>
      <c r="E675" t="s">
        <v>342</v>
      </c>
      <c r="F675">
        <v>45</v>
      </c>
    </row>
    <row r="676" spans="1:6" ht="12.75">
      <c r="A676">
        <v>200004</v>
      </c>
      <c r="B676" t="s">
        <v>387</v>
      </c>
      <c r="C676" t="s">
        <v>256</v>
      </c>
      <c r="D676" s="1" t="s">
        <v>356</v>
      </c>
      <c r="E676" t="s">
        <v>342</v>
      </c>
      <c r="F676">
        <v>32</v>
      </c>
    </row>
    <row r="677" spans="1:6" ht="12.75">
      <c r="A677">
        <v>200004</v>
      </c>
      <c r="B677" t="s">
        <v>387</v>
      </c>
      <c r="C677" t="s">
        <v>256</v>
      </c>
      <c r="D677" s="1" t="s">
        <v>357</v>
      </c>
      <c r="E677" t="s">
        <v>342</v>
      </c>
      <c r="F677">
        <v>50</v>
      </c>
    </row>
    <row r="678" spans="1:9" ht="12.75">
      <c r="A678">
        <v>200004</v>
      </c>
      <c r="B678" t="s">
        <v>387</v>
      </c>
      <c r="C678" t="s">
        <v>256</v>
      </c>
      <c r="D678" s="1" t="s">
        <v>418</v>
      </c>
      <c r="E678" t="s">
        <v>342</v>
      </c>
      <c r="F678">
        <v>9</v>
      </c>
      <c r="H678" t="s">
        <v>256</v>
      </c>
      <c r="I678">
        <f>SUM(F569:F678)</f>
        <v>33790</v>
      </c>
    </row>
    <row r="679" spans="4:6" ht="12.75">
      <c r="D679" s="1"/>
      <c r="F679" s="87"/>
    </row>
    <row r="680" spans="4:6" ht="13.5" thickBot="1">
      <c r="D680" s="1" t="s">
        <v>119</v>
      </c>
      <c r="F680" s="256">
        <f>SUM(F7:F679)</f>
        <v>111710</v>
      </c>
    </row>
    <row r="681" ht="13.5" thickTop="1">
      <c r="D681" s="1"/>
    </row>
  </sheetData>
  <printOptions/>
  <pageMargins left="0.75" right="0.5" top="0.88" bottom="0.75" header="0.5" footer="0.5"/>
  <pageSetup horizontalDpi="600" verticalDpi="600" orientation="portrait" r:id="rId1"/>
  <headerFooter alignWithMargins="0">
    <oddHeader>&amp;L&amp;F&amp;C&amp;A&amp;RPage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B3:E32"/>
  <sheetViews>
    <sheetView workbookViewId="0" topLeftCell="A1">
      <selection activeCell="D3" sqref="D3"/>
    </sheetView>
  </sheetViews>
  <sheetFormatPr defaultColWidth="9.140625" defaultRowHeight="12.75"/>
  <sheetData>
    <row r="3" spans="2:4" ht="12.75">
      <c r="B3" t="s">
        <v>473</v>
      </c>
      <c r="C3" s="257" t="s">
        <v>474</v>
      </c>
      <c r="D3" s="258">
        <v>0.399789871716824</v>
      </c>
    </row>
    <row r="4" spans="2:5" ht="12.75">
      <c r="B4" s="259" t="s">
        <v>475</v>
      </c>
      <c r="C4" s="260"/>
      <c r="D4" s="260"/>
      <c r="E4" s="260"/>
    </row>
    <row r="5" spans="2:5" ht="12.75">
      <c r="B5" s="260"/>
      <c r="C5" s="261"/>
      <c r="D5" s="260"/>
      <c r="E5" s="260"/>
    </row>
    <row r="6" spans="2:5" ht="12.75">
      <c r="B6" s="260"/>
      <c r="C6" s="260"/>
      <c r="D6" s="260"/>
      <c r="E6" s="260"/>
    </row>
    <row r="7" spans="2:5" ht="12.75">
      <c r="B7" s="260"/>
      <c r="C7" s="261" t="s">
        <v>476</v>
      </c>
      <c r="D7" s="260"/>
      <c r="E7" s="260"/>
    </row>
    <row r="8" spans="2:5" ht="12.75">
      <c r="B8" s="260"/>
      <c r="C8" s="260"/>
      <c r="D8" s="260"/>
      <c r="E8" s="260"/>
    </row>
    <row r="9" spans="2:5" ht="12.75">
      <c r="B9" s="259" t="s">
        <v>477</v>
      </c>
      <c r="C9" s="260"/>
      <c r="D9" s="260"/>
      <c r="E9" s="260" t="s">
        <v>478</v>
      </c>
    </row>
    <row r="10" spans="2:5" ht="12.75">
      <c r="B10" s="260"/>
      <c r="C10" s="257" t="s">
        <v>48</v>
      </c>
      <c r="D10" s="257" t="s">
        <v>474</v>
      </c>
      <c r="E10" s="262" t="s">
        <v>479</v>
      </c>
    </row>
    <row r="11" spans="2:5" ht="12.75">
      <c r="B11" s="260" t="s">
        <v>480</v>
      </c>
      <c r="C11" s="263">
        <v>146.9025619449065</v>
      </c>
      <c r="D11" s="258">
        <v>0.35451262561933433</v>
      </c>
      <c r="E11" s="263">
        <v>52.07881294529571</v>
      </c>
    </row>
    <row r="12" spans="2:5" ht="12.75">
      <c r="B12" s="264" t="s">
        <v>481</v>
      </c>
      <c r="C12" s="265">
        <v>576.24575799653</v>
      </c>
      <c r="D12" s="266">
        <v>0.04527724609748968</v>
      </c>
      <c r="E12" s="265">
        <v>26.09082099744337</v>
      </c>
    </row>
    <row r="13" spans="2:5" ht="12.75">
      <c r="B13" s="260" t="s">
        <v>212</v>
      </c>
      <c r="C13" s="263"/>
      <c r="D13" s="258">
        <v>0.399789871716824</v>
      </c>
      <c r="E13" s="263">
        <v>78.16963394273908</v>
      </c>
    </row>
    <row r="14" spans="2:5" ht="12.75">
      <c r="B14" s="260"/>
      <c r="C14" s="260"/>
      <c r="D14" s="260"/>
      <c r="E14" s="260"/>
    </row>
    <row r="15" spans="2:5" ht="12.75">
      <c r="B15" s="259" t="s">
        <v>482</v>
      </c>
      <c r="C15" s="260"/>
      <c r="D15" s="260"/>
      <c r="E15" s="260"/>
    </row>
    <row r="16" spans="2:5" ht="12.75">
      <c r="B16" s="260"/>
      <c r="C16" s="257" t="s">
        <v>48</v>
      </c>
      <c r="D16" s="257" t="s">
        <v>483</v>
      </c>
      <c r="E16" s="262" t="s">
        <v>479</v>
      </c>
    </row>
    <row r="17" spans="2:5" ht="12.75">
      <c r="B17" s="260" t="s">
        <v>480</v>
      </c>
      <c r="C17" s="263">
        <v>146.9025619449065</v>
      </c>
      <c r="D17" s="258">
        <v>0.8867473908154431</v>
      </c>
      <c r="E17" s="263">
        <v>130.26546350874983</v>
      </c>
    </row>
    <row r="18" spans="2:5" ht="12.75">
      <c r="B18" s="264" t="s">
        <v>481</v>
      </c>
      <c r="C18" s="265">
        <v>576.24575799653</v>
      </c>
      <c r="D18" s="266">
        <v>0.1132526091845571</v>
      </c>
      <c r="E18" s="265">
        <v>65.26133562463987</v>
      </c>
    </row>
    <row r="19" spans="2:5" ht="12.75">
      <c r="B19" s="260" t="s">
        <v>212</v>
      </c>
      <c r="C19" s="263"/>
      <c r="D19" s="258">
        <v>1</v>
      </c>
      <c r="E19" s="263">
        <v>195.52679913338972</v>
      </c>
    </row>
    <row r="20" spans="2:5" ht="12.75">
      <c r="B20" s="260"/>
      <c r="C20" s="263"/>
      <c r="D20" s="258"/>
      <c r="E20" s="263"/>
    </row>
    <row r="21" spans="2:5" ht="12.75">
      <c r="B21" s="260"/>
      <c r="C21" s="260"/>
      <c r="D21" s="260"/>
      <c r="E21" s="260"/>
    </row>
    <row r="22" spans="2:5" ht="12.75">
      <c r="B22" s="260"/>
      <c r="C22" s="260"/>
      <c r="D22" s="260"/>
      <c r="E22" s="260"/>
    </row>
    <row r="23" spans="2:5" ht="12.75">
      <c r="B23" s="260"/>
      <c r="C23" s="260"/>
      <c r="D23" s="260"/>
      <c r="E23" s="260"/>
    </row>
    <row r="24" spans="2:5" ht="12.75">
      <c r="B24" s="259" t="s">
        <v>477</v>
      </c>
      <c r="C24" s="260"/>
      <c r="D24" s="260"/>
      <c r="E24" s="260" t="s">
        <v>484</v>
      </c>
    </row>
    <row r="25" spans="2:5" ht="12.75">
      <c r="B25" s="260"/>
      <c r="C25" s="257" t="s">
        <v>48</v>
      </c>
      <c r="D25" s="257" t="s">
        <v>474</v>
      </c>
      <c r="E25" s="262" t="s">
        <v>479</v>
      </c>
    </row>
    <row r="26" spans="2:5" ht="12.75">
      <c r="B26" s="260" t="s">
        <v>480</v>
      </c>
      <c r="C26" s="263">
        <v>339.01379788247306</v>
      </c>
      <c r="D26" s="258">
        <v>0.35451262561933433</v>
      </c>
      <c r="E26" s="263">
        <v>120.18467160849785</v>
      </c>
    </row>
    <row r="27" spans="2:5" ht="12.75">
      <c r="B27" s="264" t="s">
        <v>481</v>
      </c>
      <c r="C27" s="265">
        <v>1390.337797207395</v>
      </c>
      <c r="D27" s="266">
        <v>0.04527724609748968</v>
      </c>
      <c r="E27" s="265">
        <v>62.95066660280092</v>
      </c>
    </row>
    <row r="28" spans="2:5" ht="12.75">
      <c r="B28" s="260" t="s">
        <v>212</v>
      </c>
      <c r="C28" s="263"/>
      <c r="D28" s="258">
        <v>0.399789871716824</v>
      </c>
      <c r="E28" s="263">
        <v>183.13533821129877</v>
      </c>
    </row>
    <row r="29" spans="2:5" ht="12.75">
      <c r="B29" s="260"/>
      <c r="C29" s="260"/>
      <c r="D29" s="260"/>
      <c r="E29" s="260"/>
    </row>
    <row r="32" ht="12.75">
      <c r="B32" t="s">
        <v>485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&amp;L&amp;F&amp;C&amp;A&amp;RPage &amp;P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FJ26"/>
  <sheetViews>
    <sheetView showGridLines="0" tabSelected="1" workbookViewId="0" topLeftCell="A1">
      <selection activeCell="A27" sqref="A27"/>
    </sheetView>
  </sheetViews>
  <sheetFormatPr defaultColWidth="9.140625" defaultRowHeight="12.75"/>
  <cols>
    <col min="1" max="1" width="43.7109375" style="0" customWidth="1"/>
    <col min="2" max="2" width="7.7109375" style="0" hidden="1" customWidth="1"/>
    <col min="3" max="3" width="8.00390625" style="0" hidden="1" customWidth="1"/>
    <col min="4" max="4" width="10.7109375" style="0" hidden="1" customWidth="1"/>
    <col min="5" max="5" width="8.140625" style="0" hidden="1" customWidth="1"/>
    <col min="6" max="6" width="13.8515625" style="0" hidden="1" customWidth="1"/>
    <col min="7" max="7" width="2.00390625" style="0" hidden="1" customWidth="1"/>
    <col min="8" max="8" width="8.57421875" style="0" hidden="1" customWidth="1"/>
    <col min="9" max="9" width="7.140625" style="0" hidden="1" customWidth="1"/>
    <col min="10" max="10" width="6.00390625" style="0" hidden="1" customWidth="1"/>
    <col min="11" max="11" width="2.00390625" style="0" hidden="1" customWidth="1"/>
    <col min="12" max="12" width="8.57421875" style="0" hidden="1" customWidth="1"/>
    <col min="13" max="13" width="6.421875" style="0" hidden="1" customWidth="1"/>
    <col min="14" max="14" width="6.00390625" style="0" hidden="1" customWidth="1"/>
    <col min="15" max="15" width="2.00390625" style="0" hidden="1" customWidth="1"/>
    <col min="16" max="16" width="0.13671875" style="0" hidden="1" customWidth="1"/>
    <col min="17" max="17" width="10.140625" style="0" bestFit="1" customWidth="1"/>
    <col min="18" max="18" width="15.57421875" style="0" hidden="1" customWidth="1"/>
    <col min="19" max="19" width="2.00390625" style="0" hidden="1" customWidth="1"/>
    <col min="20" max="20" width="8.57421875" style="0" hidden="1" customWidth="1"/>
    <col min="21" max="21" width="6.421875" style="0" hidden="1" customWidth="1"/>
    <col min="22" max="22" width="10.28125" style="0" hidden="1" customWidth="1"/>
    <col min="23" max="23" width="2.00390625" style="0" hidden="1" customWidth="1"/>
    <col min="24" max="24" width="8.57421875" style="0" hidden="1" customWidth="1"/>
    <col min="25" max="25" width="6.421875" style="0" hidden="1" customWidth="1"/>
    <col min="26" max="26" width="9.28125" style="0" hidden="1" customWidth="1"/>
    <col min="27" max="27" width="2.00390625" style="0" hidden="1" customWidth="1"/>
    <col min="28" max="28" width="8.57421875" style="0" hidden="1" customWidth="1"/>
    <col min="29" max="29" width="6.421875" style="0" hidden="1" customWidth="1"/>
    <col min="30" max="30" width="7.140625" style="0" hidden="1" customWidth="1"/>
    <col min="31" max="31" width="2.00390625" style="0" hidden="1" customWidth="1"/>
    <col min="32" max="32" width="8.57421875" style="0" hidden="1" customWidth="1"/>
    <col min="33" max="33" width="6.421875" style="0" hidden="1" customWidth="1"/>
    <col min="34" max="34" width="10.421875" style="0" hidden="1" customWidth="1"/>
    <col min="35" max="35" width="2.00390625" style="0" hidden="1" customWidth="1"/>
    <col min="36" max="36" width="8.57421875" style="0" hidden="1" customWidth="1"/>
    <col min="37" max="37" width="6.421875" style="0" hidden="1" customWidth="1"/>
    <col min="38" max="38" width="7.00390625" style="0" hidden="1" customWidth="1"/>
    <col min="39" max="39" width="2.00390625" style="0" hidden="1" customWidth="1"/>
    <col min="40" max="40" width="8.57421875" style="0" hidden="1" customWidth="1"/>
    <col min="41" max="41" width="7.140625" style="0" hidden="1" customWidth="1"/>
    <col min="42" max="42" width="11.8515625" style="0" hidden="1" customWidth="1"/>
    <col min="43" max="43" width="2.00390625" style="0" hidden="1" customWidth="1"/>
    <col min="44" max="44" width="8.57421875" style="0" hidden="1" customWidth="1"/>
    <col min="45" max="45" width="6.421875" style="0" hidden="1" customWidth="1"/>
    <col min="46" max="46" width="10.140625" style="0" hidden="1" customWidth="1"/>
    <col min="47" max="47" width="2.00390625" style="0" hidden="1" customWidth="1"/>
    <col min="48" max="48" width="8.57421875" style="0" hidden="1" customWidth="1"/>
    <col min="49" max="49" width="6.421875" style="0" hidden="1" customWidth="1"/>
    <col min="50" max="50" width="10.140625" style="0" hidden="1" customWidth="1"/>
    <col min="51" max="51" width="2.00390625" style="0" hidden="1" customWidth="1"/>
    <col min="52" max="52" width="8.57421875" style="0" hidden="1" customWidth="1"/>
    <col min="53" max="53" width="6.421875" style="0" hidden="1" customWidth="1"/>
    <col min="54" max="54" width="3.57421875" style="0" hidden="1" customWidth="1"/>
    <col min="55" max="55" width="2.00390625" style="0" hidden="1" customWidth="1"/>
    <col min="56" max="56" width="8.57421875" style="0" hidden="1" customWidth="1"/>
    <col min="57" max="57" width="7.140625" style="0" hidden="1" customWidth="1"/>
    <col min="58" max="58" width="14.8515625" style="0" hidden="1" customWidth="1"/>
    <col min="59" max="59" width="2.00390625" style="0" hidden="1" customWidth="1"/>
    <col min="60" max="60" width="8.57421875" style="0" hidden="1" customWidth="1"/>
    <col min="61" max="61" width="8.140625" style="0" hidden="1" customWidth="1"/>
    <col min="62" max="62" width="9.421875" style="0" hidden="1" customWidth="1"/>
    <col min="63" max="63" width="2.00390625" style="0" hidden="1" customWidth="1"/>
    <col min="64" max="64" width="8.57421875" style="0" hidden="1" customWidth="1"/>
    <col min="65" max="65" width="6.421875" style="0" hidden="1" customWidth="1"/>
    <col min="66" max="66" width="10.140625" style="0" hidden="1" customWidth="1"/>
    <col min="67" max="67" width="2.00390625" style="0" hidden="1" customWidth="1"/>
    <col min="68" max="68" width="8.57421875" style="0" hidden="1" customWidth="1"/>
    <col min="69" max="69" width="6.421875" style="0" hidden="1" customWidth="1"/>
    <col min="70" max="70" width="10.28125" style="0" hidden="1" customWidth="1"/>
    <col min="71" max="71" width="2.00390625" style="0" hidden="1" customWidth="1"/>
    <col min="72" max="72" width="8.57421875" style="0" hidden="1" customWidth="1"/>
    <col min="73" max="73" width="6.421875" style="0" hidden="1" customWidth="1"/>
    <col min="74" max="74" width="7.28125" style="0" hidden="1" customWidth="1"/>
    <col min="75" max="75" width="2.00390625" style="0" hidden="1" customWidth="1"/>
    <col min="76" max="76" width="8.57421875" style="0" hidden="1" customWidth="1"/>
    <col min="77" max="77" width="6.421875" style="0" hidden="1" customWidth="1"/>
    <col min="78" max="78" width="3.421875" style="0" hidden="1" customWidth="1"/>
    <col min="79" max="79" width="2.00390625" style="0" hidden="1" customWidth="1"/>
    <col min="80" max="80" width="8.57421875" style="0" hidden="1" customWidth="1"/>
    <col min="81" max="81" width="7.8515625" style="0" hidden="1" customWidth="1"/>
    <col min="82" max="82" width="15.28125" style="0" hidden="1" customWidth="1"/>
    <col min="83" max="83" width="2.00390625" style="0" hidden="1" customWidth="1"/>
    <col min="84" max="84" width="8.57421875" style="0" hidden="1" customWidth="1"/>
    <col min="85" max="85" width="6.421875" style="0" hidden="1" customWidth="1"/>
    <col min="86" max="86" width="9.00390625" style="0" hidden="1" customWidth="1"/>
    <col min="87" max="87" width="2.00390625" style="0" hidden="1" customWidth="1"/>
    <col min="88" max="88" width="8.57421875" style="0" hidden="1" customWidth="1"/>
    <col min="89" max="89" width="6.421875" style="0" hidden="1" customWidth="1"/>
    <col min="90" max="90" width="8.8515625" style="0" hidden="1" customWidth="1"/>
    <col min="91" max="92" width="2.00390625" style="0" hidden="1" customWidth="1"/>
    <col min="93" max="93" width="8.00390625" style="0" hidden="1" customWidth="1"/>
    <col min="94" max="94" width="12.7109375" style="0" hidden="1" customWidth="1"/>
    <col min="95" max="95" width="10.421875" style="0" bestFit="1" customWidth="1"/>
    <col min="96" max="96" width="2.00390625" style="0" hidden="1" customWidth="1"/>
    <col min="97" max="97" width="8.57421875" style="0" hidden="1" customWidth="1"/>
    <col min="98" max="98" width="8.140625" style="0" bestFit="1" customWidth="1"/>
    <col min="99" max="99" width="8.28125" style="0" hidden="1" customWidth="1"/>
    <col min="100" max="100" width="2.00390625" style="0" hidden="1" customWidth="1"/>
    <col min="101" max="101" width="8.57421875" style="0" hidden="1" customWidth="1"/>
    <col min="102" max="102" width="6.421875" style="0" hidden="1" customWidth="1"/>
    <col min="103" max="103" width="8.7109375" style="0" hidden="1" customWidth="1"/>
    <col min="104" max="104" width="2.00390625" style="0" hidden="1" customWidth="1"/>
    <col min="105" max="105" width="8.57421875" style="0" hidden="1" customWidth="1"/>
    <col min="106" max="106" width="11.140625" style="0" customWidth="1"/>
    <col min="107" max="107" width="8.28125" style="0" hidden="1" customWidth="1"/>
    <col min="108" max="108" width="2.00390625" style="0" hidden="1" customWidth="1"/>
    <col min="109" max="109" width="8.57421875" style="0" hidden="1" customWidth="1"/>
    <col min="110" max="110" width="6.421875" style="0" hidden="1" customWidth="1"/>
    <col min="111" max="111" width="7.140625" style="0" hidden="1" customWidth="1"/>
    <col min="112" max="112" width="2.00390625" style="0" hidden="1" customWidth="1"/>
    <col min="113" max="113" width="8.57421875" style="0" hidden="1" customWidth="1"/>
    <col min="114" max="114" width="6.421875" style="0" hidden="1" customWidth="1"/>
    <col min="115" max="115" width="7.28125" style="0" hidden="1" customWidth="1"/>
    <col min="116" max="116" width="2.00390625" style="0" hidden="1" customWidth="1"/>
    <col min="117" max="117" width="8.57421875" style="0" hidden="1" customWidth="1"/>
    <col min="118" max="118" width="6.421875" style="0" hidden="1" customWidth="1"/>
    <col min="119" max="119" width="6.7109375" style="0" hidden="1" customWidth="1"/>
    <col min="120" max="120" width="2.00390625" style="0" hidden="1" customWidth="1"/>
    <col min="121" max="121" width="8.57421875" style="0" hidden="1" customWidth="1"/>
    <col min="122" max="122" width="6.421875" style="0" hidden="1" customWidth="1"/>
    <col min="123" max="123" width="6.7109375" style="0" hidden="1" customWidth="1"/>
    <col min="124" max="124" width="2.00390625" style="0" hidden="1" customWidth="1"/>
    <col min="125" max="125" width="8.28125" style="0" hidden="1" customWidth="1"/>
    <col min="126" max="126" width="7.57421875" style="0" hidden="1" customWidth="1"/>
    <col min="127" max="127" width="15.7109375" style="0" hidden="1" customWidth="1"/>
    <col min="128" max="129" width="2.00390625" style="0" hidden="1" customWidth="1"/>
    <col min="130" max="130" width="8.57421875" style="0" customWidth="1"/>
    <col min="131" max="131" width="7.140625" style="0" bestFit="1" customWidth="1"/>
    <col min="132" max="132" width="12.00390625" style="0" hidden="1" customWidth="1"/>
    <col min="133" max="133" width="3.7109375" style="0" hidden="1" customWidth="1"/>
    <col min="134" max="134" width="8.57421875" style="0" hidden="1" customWidth="1"/>
    <col min="135" max="135" width="6.140625" style="0" hidden="1" customWidth="1"/>
    <col min="136" max="136" width="5.28125" style="0" hidden="1" customWidth="1"/>
    <col min="137" max="137" width="2.00390625" style="0" hidden="1" customWidth="1"/>
    <col min="138" max="138" width="8.57421875" style="0" hidden="1" customWidth="1"/>
    <col min="139" max="139" width="6.140625" style="0" hidden="1" customWidth="1"/>
    <col min="140" max="140" width="5.421875" style="0" hidden="1" customWidth="1"/>
    <col min="141" max="141" width="2.00390625" style="0" hidden="1" customWidth="1"/>
    <col min="142" max="142" width="8.57421875" style="0" hidden="1" customWidth="1"/>
    <col min="143" max="143" width="6.140625" style="0" hidden="1" customWidth="1"/>
    <col min="144" max="144" width="7.421875" style="0" hidden="1" customWidth="1"/>
    <col min="145" max="145" width="2.00390625" style="0" hidden="1" customWidth="1"/>
    <col min="146" max="146" width="8.57421875" style="0" hidden="1" customWidth="1"/>
    <col min="147" max="147" width="6.140625" style="0" hidden="1" customWidth="1"/>
    <col min="148" max="148" width="6.28125" style="0" hidden="1" customWidth="1"/>
    <col min="149" max="149" width="2.00390625" style="0" hidden="1" customWidth="1"/>
    <col min="150" max="150" width="8.57421875" style="0" hidden="1" customWidth="1"/>
    <col min="151" max="151" width="6.140625" style="0" hidden="1" customWidth="1"/>
    <col min="152" max="152" width="6.8515625" style="0" hidden="1" customWidth="1"/>
    <col min="153" max="153" width="2.00390625" style="0" hidden="1" customWidth="1"/>
    <col min="154" max="154" width="8.57421875" style="0" hidden="1" customWidth="1"/>
    <col min="155" max="155" width="6.140625" style="0" hidden="1" customWidth="1"/>
    <col min="156" max="156" width="6.57421875" style="0" hidden="1" customWidth="1"/>
    <col min="157" max="157" width="2.00390625" style="0" hidden="1" customWidth="1"/>
    <col min="158" max="158" width="8.57421875" style="0" hidden="1" customWidth="1"/>
    <col min="159" max="159" width="6.140625" style="0" hidden="1" customWidth="1"/>
    <col min="160" max="160" width="5.28125" style="0" hidden="1" customWidth="1"/>
    <col min="161" max="161" width="2.00390625" style="0" hidden="1" customWidth="1"/>
    <col min="162" max="162" width="3.421875" style="0" hidden="1" customWidth="1"/>
    <col min="163" max="163" width="8.28125" style="0" bestFit="1" customWidth="1"/>
    <col min="164" max="164" width="8.28125" style="0" customWidth="1"/>
    <col min="165" max="165" width="4.57421875" style="0" hidden="1" customWidth="1"/>
    <col min="166" max="166" width="0.13671875" style="0" hidden="1" customWidth="1"/>
  </cols>
  <sheetData>
    <row r="1" spans="1:2" ht="12.75">
      <c r="A1" s="276" t="s">
        <v>521</v>
      </c>
      <c r="B1" s="276"/>
    </row>
    <row r="2" spans="1:2" ht="12.75">
      <c r="A2" s="276" t="s">
        <v>507</v>
      </c>
      <c r="B2" s="276"/>
    </row>
    <row r="3" spans="1:2" ht="12.75">
      <c r="A3" s="276" t="str">
        <f>"Database Vintage:  "&amp;MID('WINPC3 ACF Outputs'!A2,40,9)</f>
        <v>Database Vintage:  2001WA01E</v>
      </c>
      <c r="B3" s="276"/>
    </row>
    <row r="4" spans="1:2" ht="12.75">
      <c r="A4" s="276" t="s">
        <v>57</v>
      </c>
      <c r="B4" s="276"/>
    </row>
    <row r="5" spans="1:2" ht="12.75">
      <c r="A5" s="276" t="s">
        <v>100</v>
      </c>
      <c r="B5" s="276"/>
    </row>
    <row r="6" spans="1:2" ht="12.75">
      <c r="A6" s="276" t="str">
        <f>"Decimal Places:  "&amp;'WINPC3 Parameters'!A4</f>
        <v>Decimal Places:  2</v>
      </c>
      <c r="B6" s="276"/>
    </row>
    <row r="7" spans="1:2" ht="12.75">
      <c r="A7" s="276" t="str">
        <f>"Costs Format:  "&amp;'WINPC3 Parameters'!A5</f>
        <v>Costs Format:  Monthly</v>
      </c>
      <c r="B7" s="276"/>
    </row>
    <row r="8" spans="1:2" ht="12.75">
      <c r="A8" s="276" t="str">
        <f>"Group Totals:  "&amp;'WINPC3 Parameters'!A6</f>
        <v>Group Totals:  Yes</v>
      </c>
      <c r="B8" s="276"/>
    </row>
    <row r="9" spans="1:2" ht="12.75">
      <c r="A9" s="276" t="s">
        <v>522</v>
      </c>
      <c r="B9" s="276"/>
    </row>
    <row r="10" spans="1:2" ht="12.75">
      <c r="A10" s="276" t="s">
        <v>523</v>
      </c>
      <c r="B10" s="276"/>
    </row>
    <row r="11" spans="1:2" ht="12.75">
      <c r="A11" s="276" t="s">
        <v>524</v>
      </c>
      <c r="B11" s="276"/>
    </row>
    <row r="12" spans="1:2" ht="12.75">
      <c r="A12" s="276" t="s">
        <v>525</v>
      </c>
      <c r="B12" s="276"/>
    </row>
    <row r="15" ht="12.75">
      <c r="A15" s="9"/>
    </row>
    <row r="16" spans="1:3" ht="12.75">
      <c r="A16" s="275" t="s">
        <v>508</v>
      </c>
      <c r="B16" s="277">
        <v>20</v>
      </c>
      <c r="C16" s="277">
        <v>25</v>
      </c>
    </row>
    <row r="17" spans="1:166" ht="12.75">
      <c r="A17" s="98"/>
      <c r="B17" s="91"/>
      <c r="C17" s="91"/>
      <c r="D17" s="116"/>
      <c r="E17" s="91"/>
      <c r="F17" s="91"/>
      <c r="G17" s="117"/>
      <c r="H17" s="91"/>
      <c r="I17" s="91"/>
      <c r="J17" s="91"/>
      <c r="K17" s="91"/>
      <c r="L17" s="91"/>
      <c r="M17" s="91"/>
      <c r="N17" s="91"/>
      <c r="O17" s="91"/>
      <c r="P17" s="91"/>
      <c r="Q17" s="116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116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116" t="s">
        <v>494</v>
      </c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116"/>
      <c r="CP17" s="116" t="s">
        <v>493</v>
      </c>
      <c r="CQ17" s="116" t="s">
        <v>129</v>
      </c>
      <c r="CR17" s="91"/>
      <c r="CS17" s="91"/>
      <c r="CT17" s="116" t="s">
        <v>128</v>
      </c>
      <c r="CU17" s="91"/>
      <c r="CV17" s="91"/>
      <c r="CW17" s="91"/>
      <c r="CX17" s="91"/>
      <c r="CY17" s="91"/>
      <c r="CZ17" s="91"/>
      <c r="DA17" s="91"/>
      <c r="DB17" s="116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116" t="s">
        <v>491</v>
      </c>
      <c r="EA17" s="116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116"/>
      <c r="FH17" s="116"/>
      <c r="FI17" s="81"/>
      <c r="FJ17" s="82"/>
    </row>
    <row r="18" spans="1:166" ht="12.75">
      <c r="A18" s="99"/>
      <c r="B18" s="92"/>
      <c r="C18" s="92"/>
      <c r="D18" s="118"/>
      <c r="E18" s="92"/>
      <c r="F18" s="92" t="s">
        <v>101</v>
      </c>
      <c r="G18" s="119"/>
      <c r="H18" s="92"/>
      <c r="I18" s="92"/>
      <c r="J18" s="92" t="s">
        <v>64</v>
      </c>
      <c r="K18" s="92"/>
      <c r="L18" s="92"/>
      <c r="M18" s="92"/>
      <c r="N18" s="92" t="s">
        <v>65</v>
      </c>
      <c r="O18" s="92"/>
      <c r="P18" s="92"/>
      <c r="Q18" s="118" t="s">
        <v>121</v>
      </c>
      <c r="R18" s="92" t="s">
        <v>102</v>
      </c>
      <c r="S18" s="92"/>
      <c r="T18" s="92"/>
      <c r="U18" s="92"/>
      <c r="V18" s="92" t="s">
        <v>6</v>
      </c>
      <c r="W18" s="92"/>
      <c r="X18" s="92"/>
      <c r="Y18" s="92"/>
      <c r="Z18" s="92" t="s">
        <v>61</v>
      </c>
      <c r="AA18" s="92"/>
      <c r="AB18" s="92"/>
      <c r="AC18" s="92"/>
      <c r="AD18" s="92" t="s">
        <v>62</v>
      </c>
      <c r="AE18" s="92"/>
      <c r="AF18" s="92"/>
      <c r="AG18" s="92"/>
      <c r="AH18" s="92" t="s">
        <v>9</v>
      </c>
      <c r="AI18" s="92"/>
      <c r="AJ18" s="92"/>
      <c r="AK18" s="92"/>
      <c r="AL18" s="92" t="s">
        <v>63</v>
      </c>
      <c r="AM18" s="92"/>
      <c r="AN18" s="92"/>
      <c r="AO18" s="92"/>
      <c r="AP18" s="92" t="s">
        <v>103</v>
      </c>
      <c r="AQ18" s="92"/>
      <c r="AR18" s="92"/>
      <c r="AS18" s="92"/>
      <c r="AT18" s="92" t="s">
        <v>104</v>
      </c>
      <c r="AU18" s="92"/>
      <c r="AV18" s="92"/>
      <c r="AW18" s="92"/>
      <c r="AX18" s="92" t="s">
        <v>105</v>
      </c>
      <c r="AY18" s="92"/>
      <c r="AZ18" s="92"/>
      <c r="BA18" s="92"/>
      <c r="BB18" s="92" t="s">
        <v>85</v>
      </c>
      <c r="BC18" s="92"/>
      <c r="BD18" s="92"/>
      <c r="BE18" s="92"/>
      <c r="BF18" s="92" t="s">
        <v>106</v>
      </c>
      <c r="BG18" s="92"/>
      <c r="BH18" s="92"/>
      <c r="BI18" s="118" t="s">
        <v>122</v>
      </c>
      <c r="BJ18" s="92" t="s">
        <v>107</v>
      </c>
      <c r="BK18" s="92"/>
      <c r="BL18" s="92"/>
      <c r="BM18" s="92"/>
      <c r="BN18" s="92" t="s">
        <v>66</v>
      </c>
      <c r="BO18" s="92"/>
      <c r="BP18" s="92"/>
      <c r="BQ18" s="92"/>
      <c r="BR18" s="92" t="s">
        <v>14</v>
      </c>
      <c r="BS18" s="92"/>
      <c r="BT18" s="92"/>
      <c r="BU18" s="92"/>
      <c r="BV18" s="92" t="s">
        <v>67</v>
      </c>
      <c r="BW18" s="92"/>
      <c r="BX18" s="92"/>
      <c r="BY18" s="92"/>
      <c r="BZ18" s="92" t="s">
        <v>68</v>
      </c>
      <c r="CA18" s="92"/>
      <c r="CB18" s="92"/>
      <c r="CC18" s="118" t="s">
        <v>495</v>
      </c>
      <c r="CD18" s="92" t="s">
        <v>108</v>
      </c>
      <c r="CE18" s="92"/>
      <c r="CF18" s="92"/>
      <c r="CG18" s="92"/>
      <c r="CH18" s="92" t="s">
        <v>69</v>
      </c>
      <c r="CI18" s="92"/>
      <c r="CJ18" s="92"/>
      <c r="CK18" s="92"/>
      <c r="CL18" s="92" t="s">
        <v>70</v>
      </c>
      <c r="CM18" s="92"/>
      <c r="CN18" s="92"/>
      <c r="CO18" s="118" t="s">
        <v>127</v>
      </c>
      <c r="CP18" s="118" t="s">
        <v>127</v>
      </c>
      <c r="CQ18" s="118" t="s">
        <v>122</v>
      </c>
      <c r="CR18" s="92"/>
      <c r="CS18" s="92"/>
      <c r="CT18" s="118" t="s">
        <v>526</v>
      </c>
      <c r="CU18" s="92" t="s">
        <v>71</v>
      </c>
      <c r="CV18" s="92"/>
      <c r="CW18" s="92"/>
      <c r="CX18" s="92"/>
      <c r="CY18" s="92" t="s">
        <v>72</v>
      </c>
      <c r="CZ18" s="92"/>
      <c r="DA18" s="92"/>
      <c r="DB18" s="118"/>
      <c r="DC18" s="92" t="s">
        <v>73</v>
      </c>
      <c r="DD18" s="92"/>
      <c r="DE18" s="92"/>
      <c r="DF18" s="92"/>
      <c r="DG18" s="92" t="s">
        <v>74</v>
      </c>
      <c r="DH18" s="92"/>
      <c r="DI18" s="92"/>
      <c r="DJ18" s="92"/>
      <c r="DK18" s="92" t="s">
        <v>75</v>
      </c>
      <c r="DL18" s="92"/>
      <c r="DM18" s="92"/>
      <c r="DN18" s="92"/>
      <c r="DO18" s="92" t="s">
        <v>80</v>
      </c>
      <c r="DP18" s="92"/>
      <c r="DQ18" s="92"/>
      <c r="DR18" s="92"/>
      <c r="DS18" s="92" t="s">
        <v>76</v>
      </c>
      <c r="DT18" s="92"/>
      <c r="DU18" s="92"/>
      <c r="DV18" s="92"/>
      <c r="DW18" s="92" t="s">
        <v>109</v>
      </c>
      <c r="DX18" s="92"/>
      <c r="DY18" s="92"/>
      <c r="DZ18" s="118" t="s">
        <v>122</v>
      </c>
      <c r="EA18" s="118"/>
      <c r="EB18" s="92" t="s">
        <v>110</v>
      </c>
      <c r="EC18" s="92"/>
      <c r="ED18" s="92"/>
      <c r="EE18" s="92"/>
      <c r="EF18" s="92" t="s">
        <v>77</v>
      </c>
      <c r="EG18" s="92"/>
      <c r="EH18" s="92"/>
      <c r="EI18" s="92"/>
      <c r="EJ18" s="92" t="s">
        <v>78</v>
      </c>
      <c r="EK18" s="92"/>
      <c r="EL18" s="92"/>
      <c r="EM18" s="92"/>
      <c r="EN18" s="92" t="s">
        <v>79</v>
      </c>
      <c r="EO18" s="92"/>
      <c r="EP18" s="92"/>
      <c r="EQ18" s="92"/>
      <c r="ER18" s="92" t="s">
        <v>81</v>
      </c>
      <c r="ES18" s="92"/>
      <c r="ET18" s="92"/>
      <c r="EU18" s="92"/>
      <c r="EV18" s="92" t="s">
        <v>82</v>
      </c>
      <c r="EW18" s="92"/>
      <c r="EX18" s="92"/>
      <c r="EY18" s="92"/>
      <c r="EZ18" s="92" t="s">
        <v>83</v>
      </c>
      <c r="FA18" s="92"/>
      <c r="FB18" s="92"/>
      <c r="FC18" s="92"/>
      <c r="FD18" s="92" t="s">
        <v>84</v>
      </c>
      <c r="FE18" s="92"/>
      <c r="FF18" s="92"/>
      <c r="FG18" s="118"/>
      <c r="FH18" s="118" t="s">
        <v>125</v>
      </c>
      <c r="FI18" s="83" t="s">
        <v>111</v>
      </c>
      <c r="FJ18" s="84"/>
    </row>
    <row r="19" spans="1:166" ht="12.75">
      <c r="A19" s="100" t="s">
        <v>112</v>
      </c>
      <c r="B19" s="93" t="s">
        <v>113</v>
      </c>
      <c r="C19" s="93" t="s">
        <v>114</v>
      </c>
      <c r="D19" s="120" t="s">
        <v>115</v>
      </c>
      <c r="E19" s="93" t="s">
        <v>116</v>
      </c>
      <c r="F19" s="93"/>
      <c r="G19" s="121"/>
      <c r="H19" s="93" t="s">
        <v>117</v>
      </c>
      <c r="I19" s="93" t="s">
        <v>116</v>
      </c>
      <c r="J19" s="93"/>
      <c r="K19" s="93"/>
      <c r="L19" s="93" t="s">
        <v>117</v>
      </c>
      <c r="M19" s="93" t="s">
        <v>116</v>
      </c>
      <c r="N19" s="93"/>
      <c r="O19" s="93"/>
      <c r="P19" s="93" t="s">
        <v>117</v>
      </c>
      <c r="Q19" s="120" t="s">
        <v>48</v>
      </c>
      <c r="R19" s="93"/>
      <c r="S19" s="93"/>
      <c r="T19" s="93" t="s">
        <v>117</v>
      </c>
      <c r="U19" s="93" t="s">
        <v>116</v>
      </c>
      <c r="V19" s="93"/>
      <c r="W19" s="93"/>
      <c r="X19" s="93" t="s">
        <v>117</v>
      </c>
      <c r="Y19" s="93" t="s">
        <v>116</v>
      </c>
      <c r="Z19" s="93"/>
      <c r="AA19" s="93"/>
      <c r="AB19" s="93" t="s">
        <v>117</v>
      </c>
      <c r="AC19" s="93" t="s">
        <v>116</v>
      </c>
      <c r="AD19" s="93"/>
      <c r="AE19" s="93"/>
      <c r="AF19" s="93" t="s">
        <v>117</v>
      </c>
      <c r="AG19" s="93" t="s">
        <v>116</v>
      </c>
      <c r="AH19" s="93"/>
      <c r="AI19" s="93"/>
      <c r="AJ19" s="93" t="s">
        <v>117</v>
      </c>
      <c r="AK19" s="93" t="s">
        <v>116</v>
      </c>
      <c r="AL19" s="93"/>
      <c r="AM19" s="93"/>
      <c r="AN19" s="93" t="s">
        <v>117</v>
      </c>
      <c r="AO19" s="93" t="s">
        <v>116</v>
      </c>
      <c r="AP19" s="93"/>
      <c r="AQ19" s="93"/>
      <c r="AR19" s="93" t="s">
        <v>117</v>
      </c>
      <c r="AS19" s="93" t="s">
        <v>116</v>
      </c>
      <c r="AT19" s="93"/>
      <c r="AU19" s="93"/>
      <c r="AV19" s="93" t="s">
        <v>117</v>
      </c>
      <c r="AW19" s="93" t="s">
        <v>116</v>
      </c>
      <c r="AX19" s="93"/>
      <c r="AY19" s="93"/>
      <c r="AZ19" s="93" t="s">
        <v>117</v>
      </c>
      <c r="BA19" s="93" t="s">
        <v>116</v>
      </c>
      <c r="BB19" s="93"/>
      <c r="BC19" s="93"/>
      <c r="BD19" s="93" t="s">
        <v>117</v>
      </c>
      <c r="BE19" s="93" t="s">
        <v>116</v>
      </c>
      <c r="BF19" s="93"/>
      <c r="BG19" s="93"/>
      <c r="BH19" s="93" t="s">
        <v>117</v>
      </c>
      <c r="BI19" s="120" t="s">
        <v>123</v>
      </c>
      <c r="BJ19" s="93"/>
      <c r="BK19" s="93"/>
      <c r="BL19" s="93" t="s">
        <v>117</v>
      </c>
      <c r="BM19" s="93" t="s">
        <v>116</v>
      </c>
      <c r="BN19" s="93"/>
      <c r="BO19" s="93"/>
      <c r="BP19" s="93" t="s">
        <v>117</v>
      </c>
      <c r="BQ19" s="93" t="s">
        <v>116</v>
      </c>
      <c r="BR19" s="93"/>
      <c r="BS19" s="93"/>
      <c r="BT19" s="93" t="s">
        <v>117</v>
      </c>
      <c r="BU19" s="93" t="s">
        <v>116</v>
      </c>
      <c r="BV19" s="93"/>
      <c r="BW19" s="93"/>
      <c r="BX19" s="93" t="s">
        <v>117</v>
      </c>
      <c r="BY19" s="93" t="s">
        <v>116</v>
      </c>
      <c r="BZ19" s="93"/>
      <c r="CA19" s="93"/>
      <c r="CB19" s="93" t="s">
        <v>117</v>
      </c>
      <c r="CC19" s="120" t="s">
        <v>496</v>
      </c>
      <c r="CD19" s="93"/>
      <c r="CE19" s="93"/>
      <c r="CF19" s="93" t="s">
        <v>117</v>
      </c>
      <c r="CG19" s="93" t="s">
        <v>116</v>
      </c>
      <c r="CH19" s="93"/>
      <c r="CI19" s="93"/>
      <c r="CJ19" s="93" t="s">
        <v>117</v>
      </c>
      <c r="CK19" s="93" t="s">
        <v>116</v>
      </c>
      <c r="CL19" s="93"/>
      <c r="CM19" s="93"/>
      <c r="CN19" s="93"/>
      <c r="CO19" s="120" t="s">
        <v>128</v>
      </c>
      <c r="CP19" s="120" t="s">
        <v>128</v>
      </c>
      <c r="CQ19" s="120" t="s">
        <v>527</v>
      </c>
      <c r="CR19" s="93"/>
      <c r="CS19" s="93" t="s">
        <v>117</v>
      </c>
      <c r="CT19" s="120" t="s">
        <v>123</v>
      </c>
      <c r="CU19" s="93"/>
      <c r="CV19" s="93"/>
      <c r="CW19" s="93" t="s">
        <v>117</v>
      </c>
      <c r="CX19" s="93" t="s">
        <v>116</v>
      </c>
      <c r="CY19" s="93"/>
      <c r="CZ19" s="93"/>
      <c r="DA19" s="93" t="s">
        <v>117</v>
      </c>
      <c r="DB19" s="120" t="s">
        <v>151</v>
      </c>
      <c r="DC19" s="93"/>
      <c r="DD19" s="93"/>
      <c r="DE19" s="93" t="s">
        <v>117</v>
      </c>
      <c r="DF19" s="93" t="s">
        <v>116</v>
      </c>
      <c r="DG19" s="93"/>
      <c r="DH19" s="93"/>
      <c r="DI19" s="93" t="s">
        <v>117</v>
      </c>
      <c r="DJ19" s="93" t="s">
        <v>116</v>
      </c>
      <c r="DK19" s="93"/>
      <c r="DL19" s="93"/>
      <c r="DM19" s="93" t="s">
        <v>117</v>
      </c>
      <c r="DN19" s="93" t="s">
        <v>116</v>
      </c>
      <c r="DO19" s="93"/>
      <c r="DP19" s="93"/>
      <c r="DQ19" s="93" t="s">
        <v>117</v>
      </c>
      <c r="DR19" s="93" t="s">
        <v>116</v>
      </c>
      <c r="DS19" s="93"/>
      <c r="DT19" s="93"/>
      <c r="DU19" s="93" t="s">
        <v>117</v>
      </c>
      <c r="DV19" s="93" t="s">
        <v>116</v>
      </c>
      <c r="DW19" s="93"/>
      <c r="DX19" s="93"/>
      <c r="DY19" s="93"/>
      <c r="DZ19" s="120" t="s">
        <v>492</v>
      </c>
      <c r="EA19" s="120" t="s">
        <v>126</v>
      </c>
      <c r="EB19" s="93" t="s">
        <v>118</v>
      </c>
      <c r="EC19" s="93" t="s">
        <v>118</v>
      </c>
      <c r="ED19" s="93" t="s">
        <v>117</v>
      </c>
      <c r="EE19" s="93" t="s">
        <v>116</v>
      </c>
      <c r="EF19" s="93"/>
      <c r="EG19" s="93"/>
      <c r="EH19" s="93" t="s">
        <v>117</v>
      </c>
      <c r="EI19" s="93" t="s">
        <v>116</v>
      </c>
      <c r="EJ19" s="93"/>
      <c r="EK19" s="93"/>
      <c r="EL19" s="93" t="s">
        <v>117</v>
      </c>
      <c r="EM19" s="93" t="s">
        <v>116</v>
      </c>
      <c r="EN19" s="93"/>
      <c r="EO19" s="93"/>
      <c r="EP19" s="93" t="s">
        <v>117</v>
      </c>
      <c r="EQ19" s="93" t="s">
        <v>116</v>
      </c>
      <c r="ER19" s="93"/>
      <c r="ES19" s="93"/>
      <c r="ET19" s="93" t="s">
        <v>117</v>
      </c>
      <c r="EU19" s="93" t="s">
        <v>116</v>
      </c>
      <c r="EV19" s="93"/>
      <c r="EW19" s="93"/>
      <c r="EX19" s="93" t="s">
        <v>117</v>
      </c>
      <c r="EY19" s="93" t="s">
        <v>116</v>
      </c>
      <c r="EZ19" s="93"/>
      <c r="FA19" s="93"/>
      <c r="FB19" s="93" t="s">
        <v>117</v>
      </c>
      <c r="FC19" s="93" t="s">
        <v>116</v>
      </c>
      <c r="FD19" s="93"/>
      <c r="FE19" s="93"/>
      <c r="FF19" s="93"/>
      <c r="FG19" s="120" t="s">
        <v>124</v>
      </c>
      <c r="FH19" s="120" t="s">
        <v>124</v>
      </c>
      <c r="FI19" s="85" t="s">
        <v>118</v>
      </c>
      <c r="FJ19" s="86" t="s">
        <v>118</v>
      </c>
    </row>
    <row r="20" spans="1:164" ht="12.75" hidden="1">
      <c r="A20" s="108" t="str">
        <f>'WINPC3 Investments'!B4</f>
        <v>LOW SIDE CHANNEL PERFORMANCE</v>
      </c>
      <c r="B20" s="109" t="str">
        <f>'WINPC3 Investments'!A4</f>
        <v>GROUP</v>
      </c>
      <c r="C20" s="110"/>
      <c r="D20" s="122"/>
      <c r="E20" s="111"/>
      <c r="F20" s="112"/>
      <c r="G20" s="113"/>
      <c r="H20" s="112"/>
      <c r="I20" s="111"/>
      <c r="J20" s="112"/>
      <c r="K20" s="112"/>
      <c r="L20" s="112"/>
      <c r="M20" s="111"/>
      <c r="N20" s="112"/>
      <c r="O20" s="112"/>
      <c r="P20" s="112"/>
      <c r="Q20" s="114"/>
      <c r="R20" s="112"/>
      <c r="S20" s="112"/>
      <c r="T20" s="112"/>
      <c r="U20" s="111"/>
      <c r="V20" s="112"/>
      <c r="W20" s="112"/>
      <c r="X20" s="112"/>
      <c r="Y20" s="111"/>
      <c r="Z20" s="112"/>
      <c r="AA20" s="112"/>
      <c r="AB20" s="112"/>
      <c r="AC20" s="111"/>
      <c r="AD20" s="112"/>
      <c r="AE20" s="112"/>
      <c r="AF20" s="112"/>
      <c r="AG20" s="111"/>
      <c r="AH20" s="112"/>
      <c r="AI20" s="112"/>
      <c r="AJ20" s="112"/>
      <c r="AK20" s="111"/>
      <c r="AL20" s="112"/>
      <c r="AM20" s="112"/>
      <c r="AN20" s="112"/>
      <c r="AO20" s="111"/>
      <c r="AP20" s="112"/>
      <c r="AQ20" s="112"/>
      <c r="AR20" s="112"/>
      <c r="AS20" s="111"/>
      <c r="AT20" s="112"/>
      <c r="AU20" s="112"/>
      <c r="AV20" s="112"/>
      <c r="AW20" s="111"/>
      <c r="AX20" s="112"/>
      <c r="AY20" s="112"/>
      <c r="AZ20" s="112"/>
      <c r="BA20" s="111"/>
      <c r="BB20" s="112"/>
      <c r="BC20" s="112"/>
      <c r="BD20" s="112"/>
      <c r="BE20" s="111"/>
      <c r="BF20" s="112"/>
      <c r="BG20" s="112"/>
      <c r="BH20" s="112"/>
      <c r="BI20" s="115"/>
      <c r="BJ20" s="112"/>
      <c r="BK20" s="112"/>
      <c r="BL20" s="112"/>
      <c r="BM20" s="111"/>
      <c r="BN20" s="112"/>
      <c r="BO20" s="112"/>
      <c r="BP20" s="112"/>
      <c r="BQ20" s="111"/>
      <c r="BR20" s="112"/>
      <c r="BS20" s="112"/>
      <c r="BT20" s="112"/>
      <c r="BU20" s="111"/>
      <c r="BV20" s="112"/>
      <c r="BW20" s="112"/>
      <c r="BX20" s="112"/>
      <c r="BY20" s="111"/>
      <c r="BZ20" s="112"/>
      <c r="CA20" s="112"/>
      <c r="CB20" s="112"/>
      <c r="CC20" s="114"/>
      <c r="CD20" s="112"/>
      <c r="CE20" s="112"/>
      <c r="CF20" s="112"/>
      <c r="CG20" s="111"/>
      <c r="CH20" s="112"/>
      <c r="CI20" s="112"/>
      <c r="CJ20" s="112"/>
      <c r="CK20" s="111"/>
      <c r="CL20" s="112"/>
      <c r="CM20" s="112"/>
      <c r="CN20" s="112"/>
      <c r="CO20" s="115"/>
      <c r="CP20" s="114"/>
      <c r="CQ20" s="115"/>
      <c r="CR20" s="112"/>
      <c r="CS20" s="112"/>
      <c r="CT20" s="114"/>
      <c r="CU20" s="112"/>
      <c r="CV20" s="112"/>
      <c r="CW20" s="112"/>
      <c r="CX20" s="111"/>
      <c r="CY20" s="112"/>
      <c r="CZ20" s="112"/>
      <c r="DA20" s="112"/>
      <c r="DB20" s="115"/>
      <c r="DC20" s="112"/>
      <c r="DD20" s="112"/>
      <c r="DE20" s="112"/>
      <c r="DF20" s="111"/>
      <c r="DG20" s="112"/>
      <c r="DH20" s="112"/>
      <c r="DI20" s="112"/>
      <c r="DJ20" s="111"/>
      <c r="DK20" s="112"/>
      <c r="DL20" s="112"/>
      <c r="DM20" s="112"/>
      <c r="DN20" s="111"/>
      <c r="DO20" s="112"/>
      <c r="DP20" s="112"/>
      <c r="DQ20" s="112"/>
      <c r="DR20" s="111"/>
      <c r="DS20" s="112"/>
      <c r="DT20" s="112"/>
      <c r="DU20" s="112"/>
      <c r="DV20" s="111"/>
      <c r="DW20" s="112"/>
      <c r="DX20" s="112"/>
      <c r="DY20" s="112"/>
      <c r="DZ20" s="115"/>
      <c r="EA20" s="114"/>
      <c r="EB20" s="112"/>
      <c r="EC20" s="112"/>
      <c r="ED20" s="112"/>
      <c r="EE20" s="111"/>
      <c r="EF20" s="112"/>
      <c r="EG20" s="112"/>
      <c r="EH20" s="112"/>
      <c r="EI20" s="111"/>
      <c r="EJ20" s="112"/>
      <c r="EK20" s="112"/>
      <c r="EL20" s="112"/>
      <c r="EM20" s="111"/>
      <c r="EN20" s="112"/>
      <c r="EO20" s="112"/>
      <c r="EP20" s="112"/>
      <c r="EQ20" s="111"/>
      <c r="ER20" s="112"/>
      <c r="ES20" s="112"/>
      <c r="ET20" s="112"/>
      <c r="EU20" s="111"/>
      <c r="EV20" s="112"/>
      <c r="EW20" s="112"/>
      <c r="EX20" s="112"/>
      <c r="EY20" s="111"/>
      <c r="EZ20" s="112"/>
      <c r="FA20" s="112"/>
      <c r="FB20" s="112"/>
      <c r="FC20" s="111"/>
      <c r="FD20" s="112"/>
      <c r="FE20" s="112"/>
      <c r="FF20" s="112"/>
      <c r="FG20" s="115"/>
      <c r="FH20" s="114"/>
    </row>
    <row r="21" spans="1:164" ht="12.75" hidden="1">
      <c r="A21" s="101" t="str">
        <f>'WINPC3 Investments'!G5</f>
        <v>Analog Circuit Equipment</v>
      </c>
      <c r="B21" s="94" t="str">
        <f>'WINPC3 Investments'!A5</f>
        <v>EF&amp;I</v>
      </c>
      <c r="C21" s="95" t="str">
        <f>'WINPC3 Investments'!F5</f>
        <v>357C</v>
      </c>
      <c r="D21" s="123"/>
      <c r="E21" s="12">
        <f>SUM('WINPC3 Investments'!C5:E5)</f>
        <v>525.3114344162655</v>
      </c>
      <c r="F21" s="11">
        <v>0</v>
      </c>
      <c r="G21" s="13">
        <v>0</v>
      </c>
      <c r="H21" s="15">
        <f>'WINPC3 ACF Outputs'!G45</f>
        <v>0.1018384233</v>
      </c>
      <c r="I21" s="12">
        <f>E21*H21</f>
        <v>53.49688822241383</v>
      </c>
      <c r="J21" s="11"/>
      <c r="K21" s="11"/>
      <c r="L21" s="15">
        <f>'WINPC3 ACF Outputs'!H45</f>
        <v>0.0038462715</v>
      </c>
      <c r="M21" s="12">
        <f>E21*L21</f>
        <v>2.0204903988194007</v>
      </c>
      <c r="N21" s="11"/>
      <c r="O21" s="11"/>
      <c r="P21" s="15">
        <v>0</v>
      </c>
      <c r="Q21" s="104">
        <f>E21+I21+M21</f>
        <v>580.8288130374988</v>
      </c>
      <c r="R21" s="11"/>
      <c r="S21" s="11"/>
      <c r="T21" s="15">
        <f>'WINPC3 ACF Outputs'!B45</f>
        <v>0.1079156495</v>
      </c>
      <c r="U21" s="12">
        <f>(E21*T21)/'WINPC3 Parameters'!B5</f>
        <v>4.724110386233995</v>
      </c>
      <c r="V21" s="11"/>
      <c r="W21" s="11"/>
      <c r="X21" s="15">
        <f>'WINPC3 ACF Outputs'!C45</f>
        <v>0.0436292497</v>
      </c>
      <c r="Y21" s="12">
        <f>(E21*X21)/'WINPC3 Parameters'!B5</f>
        <v>1.9099119785343681</v>
      </c>
      <c r="Z21" s="11"/>
      <c r="AA21" s="11"/>
      <c r="AB21" s="15">
        <f>'WINPC3 ACF Outputs'!D45</f>
        <v>0.0149284794</v>
      </c>
      <c r="AC21" s="12">
        <f>(E21*AB21)/'WINPC3 Parameters'!B5</f>
        <v>0.6535084106056391</v>
      </c>
      <c r="AD21" s="11"/>
      <c r="AE21" s="11"/>
      <c r="AF21" s="15">
        <f>'WINPC3 ACF Outputs'!E45</f>
        <v>0.0143299852</v>
      </c>
      <c r="AG21" s="12">
        <f>(E21*AF21)/'WINPC3 Parameters'!B5</f>
        <v>0.6273087567146546</v>
      </c>
      <c r="AH21" s="11"/>
      <c r="AI21" s="11"/>
      <c r="AJ21" s="15">
        <f>'WINPC3 ACF Outputs'!F45</f>
        <v>0.0606351295</v>
      </c>
      <c r="AK21" s="12">
        <f>(BE21-BA21)*AJ21</f>
        <v>0.5192053340266292</v>
      </c>
      <c r="AL21" s="11"/>
      <c r="AM21" s="11"/>
      <c r="AN21" s="15">
        <v>0</v>
      </c>
      <c r="AO21" s="12">
        <f>U21+Y21+AC21+AG21</f>
        <v>7.914839532088656</v>
      </c>
      <c r="AP21" s="11"/>
      <c r="AQ21" s="11"/>
      <c r="AR21" s="15">
        <f>'WINPC3 ACF Outputs'!B42+'WINPC3 ACF Outputs'!C42+'WINPC3 ACF Outputs'!D42+'WINPC3 ACF Outputs'!E42</f>
        <v>0.140023106</v>
      </c>
      <c r="AS21" s="12">
        <f>(I21*AR21)/'WINPC3 Parameters'!B5</f>
        <v>0.6242333708531004</v>
      </c>
      <c r="AT21" s="11"/>
      <c r="AU21" s="11"/>
      <c r="AV21" s="15">
        <f>'WINPC3 ACF Outputs'!B41+'WINPC3 ACF Outputs'!C41+'WINPC3 ACF Outputs'!D41+'WINPC3 ACF Outputs'!E41</f>
        <v>0.1408059196</v>
      </c>
      <c r="AW21" s="12">
        <f>(M21*AV21)/'WINPC3 Parameters'!B5</f>
        <v>0.02370808405406137</v>
      </c>
      <c r="AX21" s="11"/>
      <c r="AY21" s="11"/>
      <c r="AZ21" s="15">
        <f>'WINPC3 ACF Outputs'!AC45</f>
        <v>0.01057</v>
      </c>
      <c r="BA21" s="12">
        <f>(AO21+AS21+AW21)*AZ21</f>
        <v>0.09050859503254578</v>
      </c>
      <c r="BB21" s="11"/>
      <c r="BC21" s="11"/>
      <c r="BD21" s="15">
        <v>0</v>
      </c>
      <c r="BE21" s="12">
        <f>AO21+AS21+AW21+BA21</f>
        <v>8.653289582028362</v>
      </c>
      <c r="BF21" s="11"/>
      <c r="BG21" s="11"/>
      <c r="BH21" s="15">
        <v>0</v>
      </c>
      <c r="BI21" s="106">
        <v>0</v>
      </c>
      <c r="BJ21" s="11"/>
      <c r="BK21" s="11"/>
      <c r="BL21" s="15">
        <f>'WINPC3 ACF Outputs'!I45</f>
        <v>0.0200099167</v>
      </c>
      <c r="BM21" s="12">
        <f>(BE21+BI21-BA21)*BL21</f>
        <v>0.1713405342701301</v>
      </c>
      <c r="BN21" s="11"/>
      <c r="BO21" s="11"/>
      <c r="BP21" s="15">
        <f>'WINPC3 ACF Outputs'!J45</f>
        <v>0.0172594504</v>
      </c>
      <c r="BQ21" s="12">
        <f>(BE21+BI21-BA21)*BP21</f>
        <v>0.14778889373111734</v>
      </c>
      <c r="BR21" s="11"/>
      <c r="BS21" s="11"/>
      <c r="BT21" s="15">
        <f>'WINPC3 ACF Outputs'!K45</f>
        <v>0</v>
      </c>
      <c r="BU21" s="12">
        <f>(BE21+BI21-BA21)*BT21</f>
        <v>0</v>
      </c>
      <c r="BV21" s="11"/>
      <c r="BW21" s="11"/>
      <c r="BX21" s="15">
        <f>'WINPC3 ACF Outputs'!L45</f>
        <v>0</v>
      </c>
      <c r="BY21" s="12">
        <f>0</f>
        <v>0</v>
      </c>
      <c r="BZ21" s="11"/>
      <c r="CA21" s="11"/>
      <c r="CB21" s="15">
        <v>0</v>
      </c>
      <c r="CC21" s="104">
        <f>BE21+BI21+BM21+BQ21+BU21+BY21</f>
        <v>8.97241901002961</v>
      </c>
      <c r="CD21" s="11"/>
      <c r="CE21" s="11"/>
      <c r="CF21" s="15">
        <f>'WINPC3 ACF Outputs'!M45</f>
        <v>0.1580294862</v>
      </c>
      <c r="CG21" s="12">
        <f>(BE21-BA21)*CF21</f>
        <v>1.3531718798180778</v>
      </c>
      <c r="CH21" s="11"/>
      <c r="CI21" s="11"/>
      <c r="CJ21" s="15">
        <f>'WINPC3 ACF Outputs'!N45</f>
        <v>0</v>
      </c>
      <c r="CK21" s="12">
        <f>CC21*CJ21</f>
        <v>0</v>
      </c>
      <c r="CL21" s="11"/>
      <c r="CM21" s="11"/>
      <c r="CN21" s="11"/>
      <c r="CO21" s="106">
        <f>CP21-CC21</f>
        <v>1.8723772138447075</v>
      </c>
      <c r="CP21" s="104">
        <f>AK21+CC21+CG21+CK21</f>
        <v>10.844796223874317</v>
      </c>
      <c r="CQ21" s="106">
        <f>CP21-BI21-BM21-BQ21-BU21-BA21</f>
        <v>10.435158200840524</v>
      </c>
      <c r="CR21" s="11"/>
      <c r="CS21" s="15">
        <f>'WINPC3 ACF Outputs'!O45</f>
        <v>0.1771593013</v>
      </c>
      <c r="CT21" s="104">
        <f>(CP21-BI21-AK21)*CS21</f>
        <v>1.8292744675550614</v>
      </c>
      <c r="CU21" s="11"/>
      <c r="CV21" s="11"/>
      <c r="CW21" s="15">
        <f>'WINPC3 ACF Outputs'!P45</f>
        <v>0</v>
      </c>
      <c r="CX21" s="12">
        <f>(CT21+DV21)*CW21</f>
        <v>0</v>
      </c>
      <c r="CY21" s="11"/>
      <c r="CZ21" s="11"/>
      <c r="DA21" s="15">
        <f>'WINPC3 ACF Outputs'!Q45</f>
        <v>0.0354501515</v>
      </c>
      <c r="DB21" s="106">
        <f>(CP21+CT21+DF21+DJ21+DN21+DR21+EE21+EI21+EM21+EQ21+EU21+EY21+FC21-('Total Product Costs'!$D$33*'WINPC3 Output'!AK21))*DA21</f>
        <v>0.506545127468074</v>
      </c>
      <c r="DC21" s="11"/>
      <c r="DD21" s="11"/>
      <c r="DE21" s="15">
        <f>'WINPC3 ACF Outputs'!R45</f>
        <v>0.0064364652</v>
      </c>
      <c r="DF21" s="12">
        <f>(CT21+DV21)*DE21</f>
        <v>0.08157621494772513</v>
      </c>
      <c r="DG21" s="11"/>
      <c r="DH21" s="11"/>
      <c r="DI21" s="15">
        <f>'WINPC3 ACF Outputs'!S45</f>
        <v>0.0048826016</v>
      </c>
      <c r="DJ21" s="12">
        <f>(CT21+DV21)*DI21</f>
        <v>0.061882437836486184</v>
      </c>
      <c r="DK21" s="11"/>
      <c r="DL21" s="11"/>
      <c r="DM21" s="15">
        <f>'WINPC3 ACF Outputs'!X45</f>
        <v>0.0822028887</v>
      </c>
      <c r="DN21" s="12">
        <f>(CT21+DV21)*DM21</f>
        <v>1.0418452224235013</v>
      </c>
      <c r="DO21" s="11"/>
      <c r="DP21" s="11"/>
      <c r="DQ21" s="15">
        <f>'WINPC3 ACF Outputs'!T45</f>
        <v>0</v>
      </c>
      <c r="DR21" s="12">
        <f>(CT21+DV21)*DQ21</f>
        <v>0</v>
      </c>
      <c r="DS21" s="11"/>
      <c r="DT21" s="11"/>
      <c r="DU21" s="15">
        <v>0</v>
      </c>
      <c r="DV21" s="12">
        <f>CP21</f>
        <v>10.844796223874317</v>
      </c>
      <c r="DW21" s="11"/>
      <c r="DX21" s="11"/>
      <c r="DY21" s="11"/>
      <c r="DZ21" s="106">
        <f>EA21-CC21</f>
        <v>4.208196808867843</v>
      </c>
      <c r="EA21" s="104">
        <f>DV21+DB21+CT21</f>
        <v>13.180615818897452</v>
      </c>
      <c r="EB21" s="11">
        <f>+DF21+DJ21+DN21+DR21+EE21+EI21+EM21+EQ21+EU21+EY21+FC21-('Total Product Costs'!$D$33*'WINPC3 Output'!AK21)</f>
        <v>1.6148704282742739</v>
      </c>
      <c r="EC21" s="11"/>
      <c r="ED21" s="15">
        <f>'WINPC3 ACF Outputs'!U45</f>
        <v>0.0019519001</v>
      </c>
      <c r="EE21" s="12">
        <f>(CT21+DV21)*ED21</f>
        <v>0.02473851985000807</v>
      </c>
      <c r="EF21" s="11"/>
      <c r="EG21" s="11"/>
      <c r="EH21" s="15">
        <f>'WINPC3 ACF Outputs'!V45</f>
        <v>0.0003326277</v>
      </c>
      <c r="EI21" s="12">
        <f>(CT21+DV21)*EH21</f>
        <v>0.004215746983727564</v>
      </c>
      <c r="EJ21" s="11"/>
      <c r="EK21" s="11"/>
      <c r="EL21" s="15">
        <f>'WINPC3 ACF Outputs'!W45</f>
        <v>0.011109885</v>
      </c>
      <c r="EM21" s="12">
        <f>(CT21+DV21)*EL21</f>
        <v>0.14080746786365086</v>
      </c>
      <c r="EN21" s="11"/>
      <c r="EO21" s="11"/>
      <c r="EP21" s="15">
        <f>'WINPC3 ACF Outputs'!Y45</f>
        <v>0.0063377718</v>
      </c>
      <c r="EQ21" s="12">
        <f>(CT21+DV21)*EP21</f>
        <v>0.08032536781934761</v>
      </c>
      <c r="ER21" s="11"/>
      <c r="ES21" s="11"/>
      <c r="ET21" s="15">
        <f>'WINPC3 ACF Outputs'!Z45</f>
        <v>0.0018292357</v>
      </c>
      <c r="EU21" s="12">
        <f>(CT21+DV21)*ET21</f>
        <v>0.023183862573086304</v>
      </c>
      <c r="EV21" s="11"/>
      <c r="EW21" s="11"/>
      <c r="EX21" s="15">
        <f>'WINPC3 ACF Outputs'!AA45</f>
        <v>4.43648E-05</v>
      </c>
      <c r="EY21" s="12">
        <f>(CT21+DV21)*EX21</f>
        <v>0.000562282611411126</v>
      </c>
      <c r="EZ21" s="11"/>
      <c r="FA21" s="11"/>
      <c r="FB21" s="15">
        <f>'WINPC3 ACF Outputs'!AB45</f>
        <v>0.017730204</v>
      </c>
      <c r="FC21" s="12">
        <f>(CT21+DV21)*FB21</f>
        <v>0.2247138588694639</v>
      </c>
      <c r="FD21" s="11"/>
      <c r="FE21" s="11"/>
      <c r="FF21" s="11"/>
      <c r="FG21" s="106">
        <f>FH21-EA21</f>
        <v>1.6148704282742745</v>
      </c>
      <c r="FH21" s="104">
        <f>EA21+EB21</f>
        <v>14.795486247171727</v>
      </c>
    </row>
    <row r="22" spans="1:166" ht="12.75">
      <c r="A22" s="102" t="str">
        <f>'WINPC3 Investments'!B4</f>
        <v>LOW SIDE CHANNEL PERFORMANCE</v>
      </c>
      <c r="B22" s="96" t="s">
        <v>119</v>
      </c>
      <c r="C22" s="97" t="s">
        <v>120</v>
      </c>
      <c r="D22" s="124">
        <f>'WINPC3 Investments'!G4</f>
        <v>0</v>
      </c>
      <c r="E22" s="88">
        <f>SUM(E21:E21)</f>
        <v>525.3114344162655</v>
      </c>
      <c r="F22" s="87">
        <v>0</v>
      </c>
      <c r="G22" s="89">
        <v>0</v>
      </c>
      <c r="H22" s="103" t="s">
        <v>118</v>
      </c>
      <c r="I22" s="88">
        <f>SUM(I21:I21)</f>
        <v>53.49688822241383</v>
      </c>
      <c r="J22" s="87">
        <v>0</v>
      </c>
      <c r="K22" s="87">
        <v>0</v>
      </c>
      <c r="L22" s="103" t="s">
        <v>118</v>
      </c>
      <c r="M22" s="88">
        <f>SUM(M21:M21)</f>
        <v>2.0204903988194007</v>
      </c>
      <c r="N22" s="87">
        <v>0</v>
      </c>
      <c r="O22" s="87">
        <v>0</v>
      </c>
      <c r="P22" s="103" t="s">
        <v>118</v>
      </c>
      <c r="Q22" s="105">
        <f>SUM(Q21:Q21)</f>
        <v>580.8288130374988</v>
      </c>
      <c r="R22" s="87">
        <v>0</v>
      </c>
      <c r="S22" s="87">
        <v>0</v>
      </c>
      <c r="T22" s="103" t="s">
        <v>118</v>
      </c>
      <c r="U22" s="88">
        <f>SUM(U21:U21)</f>
        <v>4.724110386233995</v>
      </c>
      <c r="V22" s="87">
        <v>0</v>
      </c>
      <c r="W22" s="87">
        <v>0</v>
      </c>
      <c r="X22" s="103" t="s">
        <v>118</v>
      </c>
      <c r="Y22" s="88">
        <f>SUM(Y21:Y21)</f>
        <v>1.9099119785343681</v>
      </c>
      <c r="Z22" s="87">
        <v>0</v>
      </c>
      <c r="AA22" s="87">
        <v>0</v>
      </c>
      <c r="AB22" s="103" t="s">
        <v>118</v>
      </c>
      <c r="AC22" s="88">
        <f>SUM(AC21:AC21)</f>
        <v>0.6535084106056391</v>
      </c>
      <c r="AD22" s="87">
        <v>0</v>
      </c>
      <c r="AE22" s="87">
        <v>0</v>
      </c>
      <c r="AF22" s="103" t="s">
        <v>118</v>
      </c>
      <c r="AG22" s="88">
        <f>SUM(AG21:AG21)</f>
        <v>0.6273087567146546</v>
      </c>
      <c r="AH22" s="87">
        <v>0</v>
      </c>
      <c r="AI22" s="87">
        <v>0</v>
      </c>
      <c r="AJ22" s="103" t="s">
        <v>118</v>
      </c>
      <c r="AK22" s="88">
        <f>SUM(AK21:AK21)</f>
        <v>0.5192053340266292</v>
      </c>
      <c r="AL22" s="87">
        <v>0</v>
      </c>
      <c r="AM22" s="87">
        <v>0</v>
      </c>
      <c r="AN22" s="103" t="s">
        <v>118</v>
      </c>
      <c r="AO22" s="88">
        <f>SUM(AO21:AO21)</f>
        <v>7.914839532088656</v>
      </c>
      <c r="AP22" s="87">
        <v>0</v>
      </c>
      <c r="AQ22" s="87">
        <v>0</v>
      </c>
      <c r="AR22" s="103" t="s">
        <v>118</v>
      </c>
      <c r="AS22" s="88">
        <f>SUM(AS21:AS21)</f>
        <v>0.6242333708531004</v>
      </c>
      <c r="AT22" s="87">
        <v>0</v>
      </c>
      <c r="AU22" s="87">
        <v>0</v>
      </c>
      <c r="AV22" s="103" t="s">
        <v>118</v>
      </c>
      <c r="AW22" s="88">
        <f>SUM(AW21:AW21)</f>
        <v>0.02370808405406137</v>
      </c>
      <c r="AX22" s="87">
        <v>0</v>
      </c>
      <c r="AY22" s="87">
        <v>0</v>
      </c>
      <c r="AZ22" s="103" t="s">
        <v>118</v>
      </c>
      <c r="BA22" s="88">
        <f>SUM(BA21:BA21)</f>
        <v>0.09050859503254578</v>
      </c>
      <c r="BB22" s="87">
        <v>0</v>
      </c>
      <c r="BC22" s="87">
        <v>0</v>
      </c>
      <c r="BD22" s="103" t="s">
        <v>118</v>
      </c>
      <c r="BE22" s="88">
        <f>SUM(BE21:BE21)</f>
        <v>8.653289582028362</v>
      </c>
      <c r="BF22" s="87">
        <v>0</v>
      </c>
      <c r="BG22" s="87">
        <v>0</v>
      </c>
      <c r="BH22" s="103" t="s">
        <v>118</v>
      </c>
      <c r="BI22" s="107">
        <f>SUM(BI21:BI21)</f>
        <v>0</v>
      </c>
      <c r="BJ22" s="87">
        <v>0</v>
      </c>
      <c r="BK22" s="87">
        <v>0</v>
      </c>
      <c r="BL22" s="103" t="s">
        <v>118</v>
      </c>
      <c r="BM22" s="88">
        <f>SUM(BM21:BM21)</f>
        <v>0.1713405342701301</v>
      </c>
      <c r="BN22" s="87">
        <v>0</v>
      </c>
      <c r="BO22" s="87">
        <v>0</v>
      </c>
      <c r="BP22" s="103" t="s">
        <v>118</v>
      </c>
      <c r="BQ22" s="88">
        <f>SUM(BQ21:BQ21)</f>
        <v>0.14778889373111734</v>
      </c>
      <c r="BR22" s="87">
        <v>0</v>
      </c>
      <c r="BS22" s="87">
        <v>0</v>
      </c>
      <c r="BT22" s="103" t="s">
        <v>118</v>
      </c>
      <c r="BU22" s="88">
        <f>SUM(BU21:BU21)</f>
        <v>0</v>
      </c>
      <c r="BV22" s="87">
        <v>0</v>
      </c>
      <c r="BW22" s="87">
        <v>0</v>
      </c>
      <c r="BX22" s="103" t="s">
        <v>118</v>
      </c>
      <c r="BY22" s="88">
        <f>SUM(BY21:BY21)</f>
        <v>0</v>
      </c>
      <c r="BZ22" s="87">
        <v>0</v>
      </c>
      <c r="CA22" s="87">
        <v>0</v>
      </c>
      <c r="CB22" s="103" t="s">
        <v>118</v>
      </c>
      <c r="CC22" s="105">
        <f>SUM(CC21:CC21)</f>
        <v>8.97241901002961</v>
      </c>
      <c r="CD22" s="87">
        <v>0</v>
      </c>
      <c r="CE22" s="87">
        <v>0</v>
      </c>
      <c r="CF22" s="103" t="s">
        <v>118</v>
      </c>
      <c r="CG22" s="88">
        <f>SUM(CG21:CG21)</f>
        <v>1.3531718798180778</v>
      </c>
      <c r="CH22" s="87">
        <v>0</v>
      </c>
      <c r="CI22" s="87">
        <v>0</v>
      </c>
      <c r="CJ22" s="103" t="s">
        <v>118</v>
      </c>
      <c r="CK22" s="88">
        <f>SUM(CK21:CK21)</f>
        <v>0</v>
      </c>
      <c r="CL22" s="87">
        <v>0</v>
      </c>
      <c r="CM22" s="87">
        <v>0</v>
      </c>
      <c r="CN22" s="87"/>
      <c r="CO22" s="107">
        <f>CP22-CC22</f>
        <v>1.8723772138447075</v>
      </c>
      <c r="CP22" s="105">
        <f>SUM(CP21:CP21)</f>
        <v>10.844796223874317</v>
      </c>
      <c r="CQ22" s="107">
        <f>SUM(CQ21:CQ21)</f>
        <v>10.435158200840524</v>
      </c>
      <c r="CR22" s="87">
        <v>0</v>
      </c>
      <c r="CS22" s="103" t="s">
        <v>118</v>
      </c>
      <c r="CT22" s="105">
        <f>SUM(CT21:CT21)</f>
        <v>1.8292744675550614</v>
      </c>
      <c r="CU22" s="87">
        <v>0</v>
      </c>
      <c r="CV22" s="87">
        <v>0</v>
      </c>
      <c r="CW22" s="103" t="s">
        <v>118</v>
      </c>
      <c r="CX22" s="88">
        <f>SUM(CX21:CX21)</f>
        <v>0</v>
      </c>
      <c r="CY22" s="87">
        <v>0</v>
      </c>
      <c r="CZ22" s="87">
        <v>0</v>
      </c>
      <c r="DA22" s="103" t="s">
        <v>118</v>
      </c>
      <c r="DB22" s="107">
        <f>SUM(DB21:DB21)</f>
        <v>0.506545127468074</v>
      </c>
      <c r="DC22" s="87">
        <v>0</v>
      </c>
      <c r="DD22" s="87">
        <v>0</v>
      </c>
      <c r="DE22" s="103" t="s">
        <v>118</v>
      </c>
      <c r="DF22" s="88">
        <f>SUM(DF21:DF21)</f>
        <v>0.08157621494772513</v>
      </c>
      <c r="DG22" s="87">
        <v>0</v>
      </c>
      <c r="DH22" s="87">
        <v>0</v>
      </c>
      <c r="DI22" s="103" t="s">
        <v>118</v>
      </c>
      <c r="DJ22" s="88">
        <f>SUM(DJ21:DJ21)</f>
        <v>0.061882437836486184</v>
      </c>
      <c r="DK22" s="87">
        <v>0</v>
      </c>
      <c r="DL22" s="87">
        <v>0</v>
      </c>
      <c r="DM22" s="103" t="s">
        <v>118</v>
      </c>
      <c r="DN22" s="88">
        <f>SUM(DN21:DN21)</f>
        <v>1.0418452224235013</v>
      </c>
      <c r="DO22" s="87">
        <v>0</v>
      </c>
      <c r="DP22" s="87">
        <v>0</v>
      </c>
      <c r="DQ22" s="103" t="s">
        <v>118</v>
      </c>
      <c r="DR22" s="88">
        <f>SUM(DR21:DR21)</f>
        <v>0</v>
      </c>
      <c r="DS22" s="87">
        <v>0</v>
      </c>
      <c r="DT22" s="87">
        <v>0</v>
      </c>
      <c r="DU22" s="103" t="s">
        <v>118</v>
      </c>
      <c r="DV22" s="88">
        <f>SUM(DV21:DV21)</f>
        <v>10.844796223874317</v>
      </c>
      <c r="DW22" s="87">
        <v>0</v>
      </c>
      <c r="DX22" s="87">
        <v>0</v>
      </c>
      <c r="DY22" s="87"/>
      <c r="DZ22" s="107">
        <f>EA22-CC22</f>
        <v>4.208196808867843</v>
      </c>
      <c r="EA22" s="105">
        <f>SUM(EA21:EA21)</f>
        <v>13.180615818897452</v>
      </c>
      <c r="EB22" s="87">
        <v>0</v>
      </c>
      <c r="EC22" s="87">
        <v>0</v>
      </c>
      <c r="ED22" s="103" t="s">
        <v>118</v>
      </c>
      <c r="EE22" s="88">
        <f>SUM(EE21:EE21)</f>
        <v>0.02473851985000807</v>
      </c>
      <c r="EF22" s="87">
        <v>0</v>
      </c>
      <c r="EG22" s="87">
        <v>0</v>
      </c>
      <c r="EH22" s="103" t="s">
        <v>118</v>
      </c>
      <c r="EI22" s="88">
        <f>SUM(EI21:EI21)</f>
        <v>0.004215746983727564</v>
      </c>
      <c r="EJ22" s="87">
        <v>0</v>
      </c>
      <c r="EK22" s="87">
        <v>0</v>
      </c>
      <c r="EL22" s="103" t="s">
        <v>118</v>
      </c>
      <c r="EM22" s="88">
        <f>SUM(EM21:EM21)</f>
        <v>0.14080746786365086</v>
      </c>
      <c r="EN22" s="87">
        <v>0</v>
      </c>
      <c r="EO22" s="87">
        <v>0</v>
      </c>
      <c r="EP22" s="103" t="s">
        <v>118</v>
      </c>
      <c r="EQ22" s="88">
        <f>SUM(EQ21:EQ21)</f>
        <v>0.08032536781934761</v>
      </c>
      <c r="ER22" s="87">
        <v>0</v>
      </c>
      <c r="ES22" s="87">
        <v>0</v>
      </c>
      <c r="ET22" s="103" t="s">
        <v>118</v>
      </c>
      <c r="EU22" s="88">
        <f>SUM(EU21:EU21)</f>
        <v>0.023183862573086304</v>
      </c>
      <c r="EV22" s="87">
        <v>0</v>
      </c>
      <c r="EW22" s="87">
        <v>0</v>
      </c>
      <c r="EX22" s="103" t="s">
        <v>118</v>
      </c>
      <c r="EY22" s="88">
        <f>SUM(EY21:EY21)</f>
        <v>0.000562282611411126</v>
      </c>
      <c r="EZ22" s="87">
        <v>0</v>
      </c>
      <c r="FA22" s="87">
        <v>0</v>
      </c>
      <c r="FB22" s="103" t="s">
        <v>118</v>
      </c>
      <c r="FC22" s="88">
        <f>SUM(FC21:FC21)</f>
        <v>0.2247138588694639</v>
      </c>
      <c r="FD22" s="87">
        <v>0</v>
      </c>
      <c r="FE22" s="87">
        <v>0</v>
      </c>
      <c r="FF22" s="87"/>
      <c r="FG22" s="107">
        <f>FH22-EA22</f>
        <v>1.6148704282742745</v>
      </c>
      <c r="FH22" s="105">
        <f>SUM(FH21:FH21)</f>
        <v>14.795486247171727</v>
      </c>
      <c r="FI22">
        <v>0</v>
      </c>
      <c r="FJ22">
        <v>0</v>
      </c>
    </row>
    <row r="23" spans="1:164" ht="24" hidden="1">
      <c r="A23" s="101" t="str">
        <f>'WINPC3 Investments'!B6</f>
        <v>Low Side Channel Performance with MULTIPLEXING</v>
      </c>
      <c r="B23" s="94" t="str">
        <f>'WINPC3 Investments'!A6</f>
        <v>GROUP</v>
      </c>
      <c r="C23" s="95"/>
      <c r="D23" s="123"/>
      <c r="E23" s="12"/>
      <c r="F23" s="11"/>
      <c r="G23" s="13"/>
      <c r="H23" s="15"/>
      <c r="I23" s="12"/>
      <c r="J23" s="11"/>
      <c r="K23" s="11"/>
      <c r="L23" s="15"/>
      <c r="M23" s="12"/>
      <c r="N23" s="11"/>
      <c r="O23" s="11"/>
      <c r="P23" s="15"/>
      <c r="Q23" s="104"/>
      <c r="R23" s="11"/>
      <c r="S23" s="11"/>
      <c r="T23" s="15"/>
      <c r="U23" s="12"/>
      <c r="V23" s="11"/>
      <c r="W23" s="11"/>
      <c r="X23" s="15"/>
      <c r="Y23" s="12"/>
      <c r="Z23" s="11"/>
      <c r="AA23" s="11"/>
      <c r="AB23" s="15"/>
      <c r="AC23" s="12"/>
      <c r="AD23" s="11"/>
      <c r="AE23" s="11"/>
      <c r="AF23" s="15"/>
      <c r="AG23" s="12"/>
      <c r="AH23" s="11"/>
      <c r="AI23" s="11"/>
      <c r="AJ23" s="15"/>
      <c r="AK23" s="12"/>
      <c r="AL23" s="11"/>
      <c r="AM23" s="11"/>
      <c r="AN23" s="15"/>
      <c r="AO23" s="12"/>
      <c r="AP23" s="11"/>
      <c r="AQ23" s="11"/>
      <c r="AR23" s="15"/>
      <c r="AS23" s="12"/>
      <c r="AT23" s="11"/>
      <c r="AU23" s="11"/>
      <c r="AV23" s="15"/>
      <c r="AW23" s="12"/>
      <c r="AX23" s="11"/>
      <c r="AY23" s="11"/>
      <c r="AZ23" s="15"/>
      <c r="BA23" s="12"/>
      <c r="BB23" s="11"/>
      <c r="BC23" s="11"/>
      <c r="BD23" s="15"/>
      <c r="BE23" s="12"/>
      <c r="BF23" s="11"/>
      <c r="BG23" s="11"/>
      <c r="BH23" s="15"/>
      <c r="BI23" s="106"/>
      <c r="BJ23" s="11"/>
      <c r="BK23" s="11"/>
      <c r="BL23" s="15"/>
      <c r="BM23" s="12"/>
      <c r="BN23" s="11"/>
      <c r="BO23" s="11"/>
      <c r="BP23" s="15"/>
      <c r="BQ23" s="12"/>
      <c r="BR23" s="11"/>
      <c r="BS23" s="11"/>
      <c r="BT23" s="15"/>
      <c r="BU23" s="12"/>
      <c r="BV23" s="11"/>
      <c r="BW23" s="11"/>
      <c r="BX23" s="15"/>
      <c r="BY23" s="12"/>
      <c r="BZ23" s="11"/>
      <c r="CA23" s="11"/>
      <c r="CB23" s="15"/>
      <c r="CC23" s="104"/>
      <c r="CD23" s="11"/>
      <c r="CE23" s="11"/>
      <c r="CF23" s="15"/>
      <c r="CG23" s="12"/>
      <c r="CH23" s="11"/>
      <c r="CI23" s="11"/>
      <c r="CJ23" s="15"/>
      <c r="CK23" s="12"/>
      <c r="CL23" s="11"/>
      <c r="CM23" s="11"/>
      <c r="CN23" s="11"/>
      <c r="CO23" s="106"/>
      <c r="CP23" s="104"/>
      <c r="CQ23" s="106"/>
      <c r="CR23" s="11"/>
      <c r="CS23" s="15"/>
      <c r="CT23" s="104"/>
      <c r="CU23" s="11"/>
      <c r="CV23" s="11"/>
      <c r="CW23" s="15"/>
      <c r="CX23" s="12"/>
      <c r="CY23" s="11"/>
      <c r="CZ23" s="11"/>
      <c r="DA23" s="15"/>
      <c r="DB23" s="106"/>
      <c r="DC23" s="11"/>
      <c r="DD23" s="11"/>
      <c r="DE23" s="15"/>
      <c r="DF23" s="12"/>
      <c r="DG23" s="11"/>
      <c r="DH23" s="11"/>
      <c r="DI23" s="15"/>
      <c r="DJ23" s="12"/>
      <c r="DK23" s="11"/>
      <c r="DL23" s="11"/>
      <c r="DM23" s="15"/>
      <c r="DN23" s="12"/>
      <c r="DO23" s="11"/>
      <c r="DP23" s="11"/>
      <c r="DQ23" s="15"/>
      <c r="DR23" s="12"/>
      <c r="DS23" s="11"/>
      <c r="DT23" s="11"/>
      <c r="DU23" s="15"/>
      <c r="DV23" s="12"/>
      <c r="DW23" s="11"/>
      <c r="DX23" s="11"/>
      <c r="DY23" s="11"/>
      <c r="DZ23" s="106"/>
      <c r="EA23" s="104"/>
      <c r="EB23" s="11"/>
      <c r="EC23" s="11"/>
      <c r="ED23" s="15"/>
      <c r="EE23" s="12"/>
      <c r="EF23" s="11"/>
      <c r="EG23" s="11"/>
      <c r="EH23" s="15"/>
      <c r="EI23" s="12"/>
      <c r="EJ23" s="11"/>
      <c r="EK23" s="11"/>
      <c r="EL23" s="15"/>
      <c r="EM23" s="12"/>
      <c r="EN23" s="11"/>
      <c r="EO23" s="11"/>
      <c r="EP23" s="15"/>
      <c r="EQ23" s="12"/>
      <c r="ER23" s="11"/>
      <c r="ES23" s="11"/>
      <c r="ET23" s="15"/>
      <c r="EU23" s="12"/>
      <c r="EV23" s="11"/>
      <c r="EW23" s="11"/>
      <c r="EX23" s="15"/>
      <c r="EY23" s="12"/>
      <c r="EZ23" s="11"/>
      <c r="FA23" s="11"/>
      <c r="FB23" s="15"/>
      <c r="FC23" s="12"/>
      <c r="FD23" s="11"/>
      <c r="FE23" s="11"/>
      <c r="FF23" s="11"/>
      <c r="FG23" s="106"/>
      <c r="FH23" s="104"/>
    </row>
    <row r="24" spans="1:164" ht="12.75" hidden="1">
      <c r="A24" s="101" t="str">
        <f>'WINPC3 Investments'!G7</f>
        <v>Analog Circuit Equipment</v>
      </c>
      <c r="B24" s="94" t="str">
        <f>'WINPC3 Investments'!A7</f>
        <v>EF&amp;I</v>
      </c>
      <c r="C24" s="95" t="str">
        <f>'WINPC3 Investments'!F7</f>
        <v>357C</v>
      </c>
      <c r="D24" s="123"/>
      <c r="E24" s="12">
        <f>SUM('WINPC3 Investments'!C7:E7)</f>
        <v>299.6727544634102</v>
      </c>
      <c r="F24" s="11">
        <v>0</v>
      </c>
      <c r="G24" s="13">
        <v>0</v>
      </c>
      <c r="H24" s="15">
        <f>'WINPC3 ACF Outputs'!G45</f>
        <v>0.1018384233</v>
      </c>
      <c r="I24" s="12">
        <f>E24*H24</f>
        <v>30.518200820521727</v>
      </c>
      <c r="J24" s="11"/>
      <c r="K24" s="11"/>
      <c r="L24" s="15">
        <f>'WINPC3 ACF Outputs'!H45</f>
        <v>0.0038462715</v>
      </c>
      <c r="M24" s="12">
        <f>E24*L24</f>
        <v>1.1526227748191122</v>
      </c>
      <c r="N24" s="11"/>
      <c r="O24" s="11"/>
      <c r="P24" s="15">
        <v>0</v>
      </c>
      <c r="Q24" s="104">
        <f>E24+I24+M24</f>
        <v>331.343578058751</v>
      </c>
      <c r="R24" s="11"/>
      <c r="S24" s="11"/>
      <c r="T24" s="15">
        <f>'WINPC3 ACF Outputs'!B45</f>
        <v>0.1079156495</v>
      </c>
      <c r="U24" s="12">
        <f>(E24*T24)/'WINPC3 Parameters'!B5</f>
        <v>2.694948327947744</v>
      </c>
      <c r="V24" s="11"/>
      <c r="W24" s="11"/>
      <c r="X24" s="15">
        <f>'WINPC3 ACF Outputs'!C45</f>
        <v>0.0436292497</v>
      </c>
      <c r="Y24" s="12">
        <f>(E24*X24)/'WINPC3 Parameters'!B5</f>
        <v>1.0895414527309093</v>
      </c>
      <c r="Z24" s="11"/>
      <c r="AA24" s="11"/>
      <c r="AB24" s="15">
        <f>'WINPC3 ACF Outputs'!D45</f>
        <v>0.0149284794</v>
      </c>
      <c r="AC24" s="12">
        <f>(E24*AB24)/'WINPC3 Parameters'!B5</f>
        <v>0.37280487847902305</v>
      </c>
      <c r="AD24" s="11"/>
      <c r="AE24" s="11"/>
      <c r="AF24" s="15">
        <f>'WINPC3 ACF Outputs'!E45</f>
        <v>0.0143299852</v>
      </c>
      <c r="AG24" s="12">
        <f>(E24*AF24)/'WINPC3 Parameters'!B5</f>
        <v>0.35785884469199175</v>
      </c>
      <c r="AH24" s="11"/>
      <c r="AI24" s="11"/>
      <c r="AJ24" s="15">
        <f>'WINPC3 ACF Outputs'!F45</f>
        <v>0.0606351295</v>
      </c>
      <c r="AK24" s="12">
        <f>(BE24-BA24)*AJ24</f>
        <v>0.29618942666411013</v>
      </c>
      <c r="AL24" s="11"/>
      <c r="AM24" s="11"/>
      <c r="AN24" s="15">
        <v>0</v>
      </c>
      <c r="AO24" s="12">
        <f>U24+Y24+AC24+AG24</f>
        <v>4.515153503849668</v>
      </c>
      <c r="AP24" s="11"/>
      <c r="AQ24" s="11"/>
      <c r="AR24" s="15">
        <f>'WINPC3 ACF Outputs'!B42+'WINPC3 ACF Outputs'!C42+'WINPC3 ACF Outputs'!D42+'WINPC3 ACF Outputs'!E42</f>
        <v>0.140023106</v>
      </c>
      <c r="AS24" s="12">
        <f>(I24*AR24)/'WINPC3 Parameters'!B5</f>
        <v>0.3561044390351001</v>
      </c>
      <c r="AT24" s="11"/>
      <c r="AU24" s="11"/>
      <c r="AV24" s="15">
        <f>'WINPC3 ACF Outputs'!B41+'WINPC3 ACF Outputs'!C41+'WINPC3 ACF Outputs'!D41+'WINPC3 ACF Outputs'!E41</f>
        <v>0.1408059196</v>
      </c>
      <c r="AW24" s="12">
        <f>(M24*AV24)/'WINPC3 Parameters'!B5</f>
        <v>0.013524675813359067</v>
      </c>
      <c r="AX24" s="11"/>
      <c r="AY24" s="11"/>
      <c r="AZ24" s="15">
        <f>'WINPC3 ACF Outputs'!AC45</f>
        <v>0.01057</v>
      </c>
      <c r="BA24" s="12">
        <f>(AO24+AS24+AW24)*AZ24</f>
        <v>0.05163215227963921</v>
      </c>
      <c r="BB24" s="11"/>
      <c r="BC24" s="11"/>
      <c r="BD24" s="15">
        <v>0</v>
      </c>
      <c r="BE24" s="12">
        <f>AO24+AS24+AW24+BA24</f>
        <v>4.936414770977767</v>
      </c>
      <c r="BF24" s="11"/>
      <c r="BG24" s="11"/>
      <c r="BH24" s="15">
        <v>0</v>
      </c>
      <c r="BI24" s="106">
        <v>0</v>
      </c>
      <c r="BJ24" s="11"/>
      <c r="BK24" s="11"/>
      <c r="BL24" s="15">
        <f>'WINPC3 ACF Outputs'!I45</f>
        <v>0.0200099167</v>
      </c>
      <c r="BM24" s="12">
        <f>(BE24+BI24-BA24)*BL24</f>
        <v>0.0977440932977574</v>
      </c>
      <c r="BN24" s="11"/>
      <c r="BO24" s="11"/>
      <c r="BP24" s="15">
        <f>'WINPC3 ACF Outputs'!J45</f>
        <v>0.0172594504</v>
      </c>
      <c r="BQ24" s="12">
        <f>(BE24+BI24-BA24)*BP24</f>
        <v>0.08430866332220245</v>
      </c>
      <c r="BR24" s="11"/>
      <c r="BS24" s="11"/>
      <c r="BT24" s="15">
        <f>'WINPC3 ACF Outputs'!K45</f>
        <v>0</v>
      </c>
      <c r="BU24" s="12">
        <f>(BE24+BI24-BA24)*BT24</f>
        <v>0</v>
      </c>
      <c r="BV24" s="11"/>
      <c r="BW24" s="11"/>
      <c r="BX24" s="15">
        <f>'WINPC3 ACF Outputs'!L45</f>
        <v>0</v>
      </c>
      <c r="BY24" s="12">
        <f>0</f>
        <v>0</v>
      </c>
      <c r="BZ24" s="11"/>
      <c r="CA24" s="11"/>
      <c r="CB24" s="15">
        <v>0</v>
      </c>
      <c r="CC24" s="104">
        <f>BE24+BI24+BM24+BQ24+BU24+BY24</f>
        <v>5.118467527597727</v>
      </c>
      <c r="CD24" s="11"/>
      <c r="CE24" s="11"/>
      <c r="CF24" s="15">
        <f>'WINPC3 ACF Outputs'!M45</f>
        <v>0.1580294862</v>
      </c>
      <c r="CG24" s="12">
        <f>(BE24-BA24)*CF24</f>
        <v>0.7719396874315557</v>
      </c>
      <c r="CH24" s="11"/>
      <c r="CI24" s="11"/>
      <c r="CJ24" s="15">
        <f>'WINPC3 ACF Outputs'!N45</f>
        <v>0</v>
      </c>
      <c r="CK24" s="12">
        <f>CC24*CJ24</f>
        <v>0</v>
      </c>
      <c r="CL24" s="11"/>
      <c r="CM24" s="11"/>
      <c r="CN24" s="11"/>
      <c r="CO24" s="106">
        <f>CP24-CC24</f>
        <v>1.0681291140956661</v>
      </c>
      <c r="CP24" s="104">
        <f>AK24+CC24+CG24+CK24</f>
        <v>6.186596641693393</v>
      </c>
      <c r="CQ24" s="106">
        <f>CP24-BI24-BM24-BQ24-BU24-BA24</f>
        <v>5.952911732793794</v>
      </c>
      <c r="CR24" s="11"/>
      <c r="CS24" s="15">
        <f>'WINPC3 ACF Outputs'!O45</f>
        <v>0.1771593013</v>
      </c>
      <c r="CT24" s="104">
        <f>(CP24-BI24-AK24)*CS24</f>
        <v>1.0435404265870665</v>
      </c>
      <c r="CU24" s="11"/>
      <c r="CV24" s="11"/>
      <c r="CW24" s="15">
        <f>'WINPC3 ACF Outputs'!P45</f>
        <v>0</v>
      </c>
      <c r="CX24" s="12">
        <f>(CT24+DV24)*CW24</f>
        <v>0</v>
      </c>
      <c r="CY24" s="11"/>
      <c r="CZ24" s="11"/>
      <c r="DA24" s="15">
        <f>'WINPC3 ACF Outputs'!Q45</f>
        <v>0.0354501515</v>
      </c>
      <c r="DB24" s="106">
        <f>(CP24+CT24+DF24+DJ24+DN24+DR24+EE24+EI24+EM24+EQ24+EU24+EY24+FC24-('Total Product Costs'!$D$33*'WINPC3 Output'!AK24))*DA24</f>
        <v>0.28896719862391185</v>
      </c>
      <c r="DC24" s="11"/>
      <c r="DD24" s="11"/>
      <c r="DE24" s="15">
        <f>'WINPC3 ACF Outputs'!R45</f>
        <v>0.0064364652</v>
      </c>
      <c r="DF24" s="12">
        <f>(CT24+DV24)*DE24</f>
        <v>0.0465365256312172</v>
      </c>
      <c r="DG24" s="11"/>
      <c r="DH24" s="11"/>
      <c r="DI24" s="15">
        <f>'WINPC3 ACF Outputs'!S45</f>
        <v>0.0048826016</v>
      </c>
      <c r="DJ24" s="12">
        <f>(CT24+DV24)*DI24</f>
        <v>0.03530187881780548</v>
      </c>
      <c r="DK24" s="11"/>
      <c r="DL24" s="11"/>
      <c r="DM24" s="15">
        <f>'WINPC3 ACF Outputs'!X45</f>
        <v>0.0822028887</v>
      </c>
      <c r="DN24" s="12">
        <f>(CT24+DV24)*DM24</f>
        <v>0.594338152709603</v>
      </c>
      <c r="DO24" s="11"/>
      <c r="DP24" s="11"/>
      <c r="DQ24" s="15">
        <f>'WINPC3 ACF Outputs'!T45</f>
        <v>0</v>
      </c>
      <c r="DR24" s="12">
        <f>(CT24+DV24)*DQ24</f>
        <v>0</v>
      </c>
      <c r="DS24" s="11"/>
      <c r="DT24" s="11"/>
      <c r="DU24" s="15">
        <v>0</v>
      </c>
      <c r="DV24" s="12">
        <f>CP24</f>
        <v>6.186596641693393</v>
      </c>
      <c r="DW24" s="11"/>
      <c r="DX24" s="11"/>
      <c r="DY24" s="11"/>
      <c r="DZ24" s="106">
        <f>EA24-CC24</f>
        <v>2.400636739306644</v>
      </c>
      <c r="EA24" s="104">
        <f>DV24+DB24+CT24</f>
        <v>7.519104266904371</v>
      </c>
      <c r="EB24" s="11">
        <f>+DF24+DJ24+DN24+DR24+EE24+EI24+EM24+EQ24+EU24+EY24+FC24-('Total Product Costs'!$D$33*'WINPC3 Output'!AK24)</f>
        <v>0.9212300316291656</v>
      </c>
      <c r="EC24" s="11"/>
      <c r="ED24" s="15">
        <f>'WINPC3 ACF Outputs'!U45</f>
        <v>0.0019519001</v>
      </c>
      <c r="EE24" s="12">
        <f>(CT24+DV24)*ED24</f>
        <v>0.014112505266590336</v>
      </c>
      <c r="EF24" s="11"/>
      <c r="EG24" s="11"/>
      <c r="EH24" s="15">
        <f>'WINPC3 ACF Outputs'!V45</f>
        <v>0.0003326277</v>
      </c>
      <c r="EI24" s="12">
        <f>(CT24+DV24)*EH24</f>
        <v>0.002404943863706872</v>
      </c>
      <c r="EJ24" s="11"/>
      <c r="EK24" s="11"/>
      <c r="EL24" s="15">
        <f>'WINPC3 ACF Outputs'!W45</f>
        <v>0.011109885</v>
      </c>
      <c r="EM24" s="12">
        <f>(CT24+DV24)*EL24</f>
        <v>0.08032599136283305</v>
      </c>
      <c r="EN24" s="11"/>
      <c r="EO24" s="11"/>
      <c r="EP24" s="15">
        <f>'WINPC3 ACF Outputs'!Y45</f>
        <v>0.0063377718</v>
      </c>
      <c r="EQ24" s="12">
        <f>(CT24+DV24)*EP24</f>
        <v>0.04582295882148257</v>
      </c>
      <c r="ER24" s="11"/>
      <c r="ES24" s="11"/>
      <c r="ET24" s="15">
        <f>'WINPC3 ACF Outputs'!Z45</f>
        <v>0.0018292357</v>
      </c>
      <c r="EU24" s="12">
        <f>(CT24+DV24)*ET24</f>
        <v>0.013225624841191955</v>
      </c>
      <c r="EV24" s="11"/>
      <c r="EW24" s="11"/>
      <c r="EX24" s="15">
        <f>'WINPC3 ACF Outputs'!AA45</f>
        <v>4.43648E-05</v>
      </c>
      <c r="EY24" s="12">
        <f>(CT24+DV24)*EX24</f>
        <v>0.0003207635850068489</v>
      </c>
      <c r="EZ24" s="11"/>
      <c r="FA24" s="11"/>
      <c r="FB24" s="15">
        <f>'WINPC3 ACF Outputs'!AB45</f>
        <v>0.017730204</v>
      </c>
      <c r="FC24" s="12">
        <f>(CT24+DV24)*FB24</f>
        <v>0.12819180516857448</v>
      </c>
      <c r="FD24" s="11"/>
      <c r="FE24" s="11"/>
      <c r="FF24" s="11"/>
      <c r="FG24" s="106">
        <f>FH24-EA24</f>
        <v>0.9212300316291664</v>
      </c>
      <c r="FH24" s="104">
        <f>EA24+EB24</f>
        <v>8.440334298533537</v>
      </c>
    </row>
    <row r="25" spans="1:166" ht="12.75" customHeight="1">
      <c r="A25" s="102" t="str">
        <f>'WINPC3 Investments'!B6</f>
        <v>Low Side Channel Performance with MULTIPLEXING</v>
      </c>
      <c r="B25" s="96" t="s">
        <v>119</v>
      </c>
      <c r="C25" s="97" t="s">
        <v>120</v>
      </c>
      <c r="D25" s="124">
        <f>'WINPC3 Investments'!G6</f>
        <v>0</v>
      </c>
      <c r="E25" s="88">
        <f>SUM(E24:E24)</f>
        <v>299.6727544634102</v>
      </c>
      <c r="F25" s="87">
        <v>0</v>
      </c>
      <c r="G25" s="89">
        <v>0</v>
      </c>
      <c r="H25" s="103" t="s">
        <v>118</v>
      </c>
      <c r="I25" s="88">
        <f>SUM(I24:I24)</f>
        <v>30.518200820521727</v>
      </c>
      <c r="J25" s="87">
        <v>0</v>
      </c>
      <c r="K25" s="87">
        <v>0</v>
      </c>
      <c r="L25" s="103" t="s">
        <v>118</v>
      </c>
      <c r="M25" s="88">
        <f>SUM(M24:M24)</f>
        <v>1.1526227748191122</v>
      </c>
      <c r="N25" s="87">
        <v>0</v>
      </c>
      <c r="O25" s="87">
        <v>0</v>
      </c>
      <c r="P25" s="103" t="s">
        <v>118</v>
      </c>
      <c r="Q25" s="105">
        <f>SUM(Q24:Q24)</f>
        <v>331.343578058751</v>
      </c>
      <c r="R25" s="87">
        <v>0</v>
      </c>
      <c r="S25" s="87">
        <v>0</v>
      </c>
      <c r="T25" s="103" t="s">
        <v>118</v>
      </c>
      <c r="U25" s="88">
        <f>SUM(U24:U24)</f>
        <v>2.694948327947744</v>
      </c>
      <c r="V25" s="87">
        <v>0</v>
      </c>
      <c r="W25" s="87">
        <v>0</v>
      </c>
      <c r="X25" s="103" t="s">
        <v>118</v>
      </c>
      <c r="Y25" s="88">
        <f>SUM(Y24:Y24)</f>
        <v>1.0895414527309093</v>
      </c>
      <c r="Z25" s="87">
        <v>0</v>
      </c>
      <c r="AA25" s="87">
        <v>0</v>
      </c>
      <c r="AB25" s="103" t="s">
        <v>118</v>
      </c>
      <c r="AC25" s="88">
        <f>SUM(AC24:AC24)</f>
        <v>0.37280487847902305</v>
      </c>
      <c r="AD25" s="87">
        <v>0</v>
      </c>
      <c r="AE25" s="87">
        <v>0</v>
      </c>
      <c r="AF25" s="103" t="s">
        <v>118</v>
      </c>
      <c r="AG25" s="88">
        <f>SUM(AG24:AG24)</f>
        <v>0.35785884469199175</v>
      </c>
      <c r="AH25" s="87">
        <v>0</v>
      </c>
      <c r="AI25" s="87">
        <v>0</v>
      </c>
      <c r="AJ25" s="103" t="s">
        <v>118</v>
      </c>
      <c r="AK25" s="88">
        <f>SUM(AK24:AK24)</f>
        <v>0.29618942666411013</v>
      </c>
      <c r="AL25" s="87">
        <v>0</v>
      </c>
      <c r="AM25" s="87">
        <v>0</v>
      </c>
      <c r="AN25" s="103" t="s">
        <v>118</v>
      </c>
      <c r="AO25" s="88">
        <f>SUM(AO24:AO24)</f>
        <v>4.515153503849668</v>
      </c>
      <c r="AP25" s="87">
        <v>0</v>
      </c>
      <c r="AQ25" s="87">
        <v>0</v>
      </c>
      <c r="AR25" s="103" t="s">
        <v>118</v>
      </c>
      <c r="AS25" s="88">
        <f>SUM(AS24:AS24)</f>
        <v>0.3561044390351001</v>
      </c>
      <c r="AT25" s="87">
        <v>0</v>
      </c>
      <c r="AU25" s="87">
        <v>0</v>
      </c>
      <c r="AV25" s="103" t="s">
        <v>118</v>
      </c>
      <c r="AW25" s="88">
        <f>SUM(AW24:AW24)</f>
        <v>0.013524675813359067</v>
      </c>
      <c r="AX25" s="87">
        <v>0</v>
      </c>
      <c r="AY25" s="87">
        <v>0</v>
      </c>
      <c r="AZ25" s="103" t="s">
        <v>118</v>
      </c>
      <c r="BA25" s="88">
        <f>SUM(BA24:BA24)</f>
        <v>0.05163215227963921</v>
      </c>
      <c r="BB25" s="87">
        <v>0</v>
      </c>
      <c r="BC25" s="87">
        <v>0</v>
      </c>
      <c r="BD25" s="103" t="s">
        <v>118</v>
      </c>
      <c r="BE25" s="88">
        <f>SUM(BE24:BE24)</f>
        <v>4.936414770977767</v>
      </c>
      <c r="BF25" s="87">
        <v>0</v>
      </c>
      <c r="BG25" s="87">
        <v>0</v>
      </c>
      <c r="BH25" s="103" t="s">
        <v>118</v>
      </c>
      <c r="BI25" s="107">
        <f>SUM(BI24:BI24)</f>
        <v>0</v>
      </c>
      <c r="BJ25" s="87">
        <v>0</v>
      </c>
      <c r="BK25" s="87">
        <v>0</v>
      </c>
      <c r="BL25" s="103" t="s">
        <v>118</v>
      </c>
      <c r="BM25" s="88">
        <f>SUM(BM24:BM24)</f>
        <v>0.0977440932977574</v>
      </c>
      <c r="BN25" s="87">
        <v>0</v>
      </c>
      <c r="BO25" s="87">
        <v>0</v>
      </c>
      <c r="BP25" s="103" t="s">
        <v>118</v>
      </c>
      <c r="BQ25" s="88">
        <f>SUM(BQ24:BQ24)</f>
        <v>0.08430866332220245</v>
      </c>
      <c r="BR25" s="87">
        <v>0</v>
      </c>
      <c r="BS25" s="87">
        <v>0</v>
      </c>
      <c r="BT25" s="103" t="s">
        <v>118</v>
      </c>
      <c r="BU25" s="88">
        <f>SUM(BU24:BU24)</f>
        <v>0</v>
      </c>
      <c r="BV25" s="87">
        <v>0</v>
      </c>
      <c r="BW25" s="87">
        <v>0</v>
      </c>
      <c r="BX25" s="103" t="s">
        <v>118</v>
      </c>
      <c r="BY25" s="88">
        <f>SUM(BY24:BY24)</f>
        <v>0</v>
      </c>
      <c r="BZ25" s="87">
        <v>0</v>
      </c>
      <c r="CA25" s="87">
        <v>0</v>
      </c>
      <c r="CB25" s="103" t="s">
        <v>118</v>
      </c>
      <c r="CC25" s="105">
        <f>SUM(CC24:CC24)</f>
        <v>5.118467527597727</v>
      </c>
      <c r="CD25" s="87">
        <v>0</v>
      </c>
      <c r="CE25" s="87">
        <v>0</v>
      </c>
      <c r="CF25" s="103" t="s">
        <v>118</v>
      </c>
      <c r="CG25" s="88">
        <f>SUM(CG24:CG24)</f>
        <v>0.7719396874315557</v>
      </c>
      <c r="CH25" s="87">
        <v>0</v>
      </c>
      <c r="CI25" s="87">
        <v>0</v>
      </c>
      <c r="CJ25" s="103" t="s">
        <v>118</v>
      </c>
      <c r="CK25" s="88">
        <f>SUM(CK24:CK24)</f>
        <v>0</v>
      </c>
      <c r="CL25" s="87">
        <v>0</v>
      </c>
      <c r="CM25" s="87">
        <v>0</v>
      </c>
      <c r="CN25" s="87"/>
      <c r="CO25" s="107">
        <f>CP25-CC25</f>
        <v>1.0681291140956661</v>
      </c>
      <c r="CP25" s="105">
        <f>SUM(CP24:CP24)</f>
        <v>6.186596641693393</v>
      </c>
      <c r="CQ25" s="107">
        <f>SUM(CQ24:CQ24)</f>
        <v>5.952911732793794</v>
      </c>
      <c r="CR25" s="87">
        <v>0</v>
      </c>
      <c r="CS25" s="103" t="s">
        <v>118</v>
      </c>
      <c r="CT25" s="105">
        <f>SUM(CT24:CT24)</f>
        <v>1.0435404265870665</v>
      </c>
      <c r="CU25" s="87">
        <v>0</v>
      </c>
      <c r="CV25" s="87">
        <v>0</v>
      </c>
      <c r="CW25" s="103" t="s">
        <v>118</v>
      </c>
      <c r="CX25" s="88">
        <f>SUM(CX24:CX24)</f>
        <v>0</v>
      </c>
      <c r="CY25" s="87">
        <v>0</v>
      </c>
      <c r="CZ25" s="87">
        <v>0</v>
      </c>
      <c r="DA25" s="103" t="s">
        <v>118</v>
      </c>
      <c r="DB25" s="107">
        <f>SUM(DB24:DB24)</f>
        <v>0.28896719862391185</v>
      </c>
      <c r="DC25" s="87">
        <v>0</v>
      </c>
      <c r="DD25" s="87">
        <v>0</v>
      </c>
      <c r="DE25" s="103" t="s">
        <v>118</v>
      </c>
      <c r="DF25" s="88">
        <f>SUM(DF24:DF24)</f>
        <v>0.0465365256312172</v>
      </c>
      <c r="DG25" s="87">
        <v>0</v>
      </c>
      <c r="DH25" s="87">
        <v>0</v>
      </c>
      <c r="DI25" s="103" t="s">
        <v>118</v>
      </c>
      <c r="DJ25" s="88">
        <f>SUM(DJ24:DJ24)</f>
        <v>0.03530187881780548</v>
      </c>
      <c r="DK25" s="87">
        <v>0</v>
      </c>
      <c r="DL25" s="87">
        <v>0</v>
      </c>
      <c r="DM25" s="103" t="s">
        <v>118</v>
      </c>
      <c r="DN25" s="88">
        <f>SUM(DN24:DN24)</f>
        <v>0.594338152709603</v>
      </c>
      <c r="DO25" s="87">
        <v>0</v>
      </c>
      <c r="DP25" s="87">
        <v>0</v>
      </c>
      <c r="DQ25" s="103" t="s">
        <v>118</v>
      </c>
      <c r="DR25" s="88">
        <f>SUM(DR24:DR24)</f>
        <v>0</v>
      </c>
      <c r="DS25" s="87">
        <v>0</v>
      </c>
      <c r="DT25" s="87">
        <v>0</v>
      </c>
      <c r="DU25" s="103" t="s">
        <v>118</v>
      </c>
      <c r="DV25" s="88">
        <f>SUM(DV24:DV24)</f>
        <v>6.186596641693393</v>
      </c>
      <c r="DW25" s="87">
        <v>0</v>
      </c>
      <c r="DX25" s="87">
        <v>0</v>
      </c>
      <c r="DY25" s="87"/>
      <c r="DZ25" s="107">
        <f>EA25-CC25</f>
        <v>2.400636739306644</v>
      </c>
      <c r="EA25" s="105">
        <f>SUM(EA24:EA24)</f>
        <v>7.519104266904371</v>
      </c>
      <c r="EB25" s="87">
        <v>0</v>
      </c>
      <c r="EC25" s="87">
        <v>0</v>
      </c>
      <c r="ED25" s="103" t="s">
        <v>118</v>
      </c>
      <c r="EE25" s="88">
        <f>SUM(EE24:EE24)</f>
        <v>0.014112505266590336</v>
      </c>
      <c r="EF25" s="87">
        <v>0</v>
      </c>
      <c r="EG25" s="87">
        <v>0</v>
      </c>
      <c r="EH25" s="103" t="s">
        <v>118</v>
      </c>
      <c r="EI25" s="88">
        <f>SUM(EI24:EI24)</f>
        <v>0.002404943863706872</v>
      </c>
      <c r="EJ25" s="87">
        <v>0</v>
      </c>
      <c r="EK25" s="87">
        <v>0</v>
      </c>
      <c r="EL25" s="103" t="s">
        <v>118</v>
      </c>
      <c r="EM25" s="88">
        <f>SUM(EM24:EM24)</f>
        <v>0.08032599136283305</v>
      </c>
      <c r="EN25" s="87">
        <v>0</v>
      </c>
      <c r="EO25" s="87">
        <v>0</v>
      </c>
      <c r="EP25" s="103" t="s">
        <v>118</v>
      </c>
      <c r="EQ25" s="88">
        <f>SUM(EQ24:EQ24)</f>
        <v>0.04582295882148257</v>
      </c>
      <c r="ER25" s="87">
        <v>0</v>
      </c>
      <c r="ES25" s="87">
        <v>0</v>
      </c>
      <c r="ET25" s="103" t="s">
        <v>118</v>
      </c>
      <c r="EU25" s="88">
        <f>SUM(EU24:EU24)</f>
        <v>0.013225624841191955</v>
      </c>
      <c r="EV25" s="87">
        <v>0</v>
      </c>
      <c r="EW25" s="87">
        <v>0</v>
      </c>
      <c r="EX25" s="103" t="s">
        <v>118</v>
      </c>
      <c r="EY25" s="88">
        <f>SUM(EY24:EY24)</f>
        <v>0.0003207635850068489</v>
      </c>
      <c r="EZ25" s="87">
        <v>0</v>
      </c>
      <c r="FA25" s="87">
        <v>0</v>
      </c>
      <c r="FB25" s="103" t="s">
        <v>118</v>
      </c>
      <c r="FC25" s="88">
        <f>SUM(FC24:FC24)</f>
        <v>0.12819180516857448</v>
      </c>
      <c r="FD25" s="87">
        <v>0</v>
      </c>
      <c r="FE25" s="87">
        <v>0</v>
      </c>
      <c r="FF25" s="87"/>
      <c r="FG25" s="107">
        <f>FH25-EA25</f>
        <v>0.9212300316291664</v>
      </c>
      <c r="FH25" s="105">
        <f>SUM(FH24:FH24)</f>
        <v>8.440334298533537</v>
      </c>
      <c r="FI25">
        <v>0</v>
      </c>
      <c r="FJ25">
        <v>0</v>
      </c>
    </row>
    <row r="26" spans="1:164" ht="12.75">
      <c r="A26" s="14"/>
      <c r="E26" s="10"/>
      <c r="I26" s="10"/>
      <c r="M26" s="10"/>
      <c r="Q26" s="10"/>
      <c r="U26" s="10"/>
      <c r="Y26" s="10"/>
      <c r="AC26" s="10"/>
      <c r="AG26" s="10"/>
      <c r="AK26" s="10"/>
      <c r="AO26" s="10"/>
      <c r="AS26" s="10"/>
      <c r="AW26" s="10"/>
      <c r="BA26" s="10"/>
      <c r="BE26" s="10"/>
      <c r="BI26" s="10"/>
      <c r="BM26" s="10"/>
      <c r="BQ26" s="10"/>
      <c r="BU26" s="10"/>
      <c r="BY26" s="10"/>
      <c r="CC26" s="10"/>
      <c r="CG26" s="10"/>
      <c r="CK26" s="10"/>
      <c r="CP26" s="10"/>
      <c r="CT26" s="10"/>
      <c r="CX26" s="10"/>
      <c r="DB26" s="10"/>
      <c r="DF26" s="10"/>
      <c r="DJ26" s="10"/>
      <c r="DN26" s="10"/>
      <c r="DR26" s="10"/>
      <c r="DV26" s="10"/>
      <c r="EA26" s="10"/>
      <c r="EE26" s="10"/>
      <c r="EI26" s="10"/>
      <c r="EM26" s="10"/>
      <c r="EQ26" s="10"/>
      <c r="EU26" s="10"/>
      <c r="EY26" s="10"/>
      <c r="FC26" s="10"/>
      <c r="FH26" s="10"/>
    </row>
  </sheetData>
  <printOptions/>
  <pageMargins left="0.62" right="0.18" top="0.9099999999999999" bottom="0.9099999999999999" header="0.36" footer="0.34"/>
  <pageSetup horizontalDpi="600" verticalDpi="600" orientation="landscape" scale="90" r:id="rId1"/>
  <headerFooter alignWithMargins="0">
    <oddHeader>&amp;L&amp;F&amp;C&amp;A&amp;RPage &amp;P</oddHeader>
  </headerFooter>
  <rowBreaks count="1" manualBreakCount="1">
    <brk id="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F50"/>
  <sheetViews>
    <sheetView workbookViewId="0" topLeftCell="A1">
      <pane xSplit="4" ySplit="4" topLeftCell="E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4" sqref="E14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23.28125" style="0" bestFit="1" customWidth="1"/>
    <col min="4" max="4" width="8.7109375" style="0" customWidth="1"/>
    <col min="5" max="6" width="12.7109375" style="0" customWidth="1"/>
  </cols>
  <sheetData>
    <row r="1" spans="1:6" ht="12.75">
      <c r="A1" s="134"/>
      <c r="B1" s="132">
        <v>37791.49675925926</v>
      </c>
      <c r="C1" s="126"/>
      <c r="D1" s="126"/>
      <c r="E1" s="134"/>
      <c r="F1" s="134"/>
    </row>
    <row r="2" spans="1:6" ht="12.75">
      <c r="A2" s="135"/>
      <c r="B2" s="133"/>
      <c r="C2" s="90"/>
      <c r="D2" s="90"/>
      <c r="E2" s="135"/>
      <c r="F2" s="135"/>
    </row>
    <row r="3" spans="1:6" ht="42.75" customHeight="1">
      <c r="A3" s="316" t="s">
        <v>141</v>
      </c>
      <c r="B3" s="296" t="s">
        <v>506</v>
      </c>
      <c r="C3" s="298" t="s">
        <v>142</v>
      </c>
      <c r="D3" s="298" t="s">
        <v>143</v>
      </c>
      <c r="E3" s="319" t="str">
        <f>'Investment Cost Calc'!A5</f>
        <v>LOW SIDE CHANNEL PERFORMANCE</v>
      </c>
      <c r="F3" s="319" t="str">
        <f>'Investment Cost Calc'!A12</f>
        <v>Low Side Channel Performance with MULTIPLEXING</v>
      </c>
    </row>
    <row r="4" spans="1:6" ht="12.75" customHeight="1">
      <c r="A4" s="317"/>
      <c r="B4" s="297"/>
      <c r="C4" s="299"/>
      <c r="D4" s="299" t="s">
        <v>144</v>
      </c>
      <c r="E4" s="314" t="s">
        <v>153</v>
      </c>
      <c r="F4" s="314" t="s">
        <v>154</v>
      </c>
    </row>
    <row r="5" spans="1:6" ht="9.75" customHeight="1">
      <c r="A5" s="318">
        <v>5</v>
      </c>
      <c r="B5" s="303" t="s">
        <v>48</v>
      </c>
      <c r="C5" s="301" t="s">
        <v>155</v>
      </c>
      <c r="D5" s="302"/>
      <c r="E5" s="315">
        <f>'Investment Cost Calc'!D10</f>
        <v>580.8288130374988</v>
      </c>
      <c r="F5" s="315">
        <f>'Investment Cost Calc'!D17</f>
        <v>331.343578058751</v>
      </c>
    </row>
    <row r="6" spans="1:6" ht="9.75" customHeight="1">
      <c r="A6" s="284">
        <v>6</v>
      </c>
      <c r="B6" s="284"/>
      <c r="C6" s="284"/>
      <c r="D6" s="295"/>
      <c r="E6" s="300"/>
      <c r="F6" s="300"/>
    </row>
    <row r="7" spans="1:6" ht="9.75" customHeight="1">
      <c r="A7" s="284">
        <v>7</v>
      </c>
      <c r="B7" s="274" t="s">
        <v>528</v>
      </c>
      <c r="C7" s="274"/>
      <c r="D7" s="295"/>
      <c r="E7" s="300"/>
      <c r="F7" s="300"/>
    </row>
    <row r="8" spans="1:6" ht="9.75" customHeight="1">
      <c r="A8" s="284">
        <v>8</v>
      </c>
      <c r="B8" s="284" t="s">
        <v>133</v>
      </c>
      <c r="C8" s="284" t="s">
        <v>537</v>
      </c>
      <c r="D8" s="295"/>
      <c r="E8" s="300">
        <f>'Investment Cost Calc'!E10</f>
        <v>4.854049591022593</v>
      </c>
      <c r="F8" s="300">
        <f>'Investment Cost Calc'!E17</f>
        <v>2.769074335608427</v>
      </c>
    </row>
    <row r="9" spans="1:6" ht="9.75" customHeight="1">
      <c r="A9" s="284">
        <v>9</v>
      </c>
      <c r="B9" s="284" t="s">
        <v>134</v>
      </c>
      <c r="C9" s="284" t="s">
        <v>538</v>
      </c>
      <c r="D9" s="295"/>
      <c r="E9" s="300">
        <f>'Investment Cost Calc'!F10</f>
        <v>2.2353697989330423</v>
      </c>
      <c r="F9" s="300">
        <f>'Investment Cost Calc'!F17</f>
        <v>1.2752043473696038</v>
      </c>
    </row>
    <row r="10" spans="1:6" ht="9.75" customHeight="1">
      <c r="A10" s="284">
        <v>10</v>
      </c>
      <c r="B10" s="284" t="s">
        <v>529</v>
      </c>
      <c r="C10" s="284" t="s">
        <v>539</v>
      </c>
      <c r="D10" s="295"/>
      <c r="E10" s="300">
        <f>'Investment Cost Calc'!G10</f>
        <v>0.7648692617187224</v>
      </c>
      <c r="F10" s="300">
        <f>'Investment Cost Calc'!G17</f>
        <v>0.436332551409902</v>
      </c>
    </row>
    <row r="11" spans="1:6" ht="9.75" customHeight="1">
      <c r="A11" s="284">
        <v>11</v>
      </c>
      <c r="B11" s="284" t="s">
        <v>136</v>
      </c>
      <c r="C11" s="284" t="s">
        <v>540</v>
      </c>
      <c r="D11" s="295"/>
      <c r="E11" s="300">
        <f>'Investment Cost Calc'!H10</f>
        <v>0.7084923353214604</v>
      </c>
      <c r="F11" s="300">
        <f>'Investment Cost Calc'!H17</f>
        <v>0.40417138431019456</v>
      </c>
    </row>
    <row r="12" spans="1:6" ht="9.75" customHeight="1">
      <c r="A12" s="284">
        <v>12</v>
      </c>
      <c r="B12" s="284" t="s">
        <v>530</v>
      </c>
      <c r="C12" s="284" t="s">
        <v>541</v>
      </c>
      <c r="D12" s="295">
        <f>'WINPC3 ACF Outputs'!F41</f>
        <v>0.0606351295</v>
      </c>
      <c r="E12" s="300">
        <f>SUM(E8:E11)*D12</f>
        <v>0.5192053340266293</v>
      </c>
      <c r="F12" s="300">
        <f>SUM(F8:F11)*D12</f>
        <v>0.2961894266641101</v>
      </c>
    </row>
    <row r="13" spans="1:6" ht="9.75" customHeight="1">
      <c r="A13" s="284">
        <v>13</v>
      </c>
      <c r="B13" s="284" t="s">
        <v>531</v>
      </c>
      <c r="C13" s="284" t="s">
        <v>542</v>
      </c>
      <c r="D13" s="295"/>
      <c r="E13" s="300">
        <f>D13</f>
        <v>0</v>
      </c>
      <c r="F13" s="300">
        <f>D13</f>
        <v>0</v>
      </c>
    </row>
    <row r="14" spans="1:6" ht="9.75" customHeight="1">
      <c r="A14" s="284">
        <v>14</v>
      </c>
      <c r="B14" s="284" t="s">
        <v>150</v>
      </c>
      <c r="C14" s="284" t="s">
        <v>541</v>
      </c>
      <c r="D14" s="295">
        <f>'WINPC3 ACF Outputs'!M41</f>
        <v>0.1580294862</v>
      </c>
      <c r="E14" s="300">
        <f>SUM(E8:E11)*D14</f>
        <v>1.3531718798180783</v>
      </c>
      <c r="F14" s="300">
        <f>SUM(F8:F11)*D14</f>
        <v>0.7719396874315556</v>
      </c>
    </row>
    <row r="15" spans="1:6" ht="9.75" customHeight="1">
      <c r="A15" s="284">
        <v>15</v>
      </c>
      <c r="B15" s="284" t="s">
        <v>532</v>
      </c>
      <c r="C15" s="284" t="s">
        <v>542</v>
      </c>
      <c r="D15" s="295"/>
      <c r="E15" s="300">
        <f>D15</f>
        <v>0</v>
      </c>
      <c r="F15" s="300">
        <f>D15</f>
        <v>0</v>
      </c>
    </row>
    <row r="16" spans="1:6" ht="9.75" customHeight="1">
      <c r="A16" s="284">
        <v>16</v>
      </c>
      <c r="B16" s="274" t="s">
        <v>533</v>
      </c>
      <c r="C16" s="274" t="s">
        <v>543</v>
      </c>
      <c r="D16" s="295"/>
      <c r="E16" s="300">
        <f>SUM(E8:E15)</f>
        <v>10.435158200840526</v>
      </c>
      <c r="F16" s="300">
        <f>SUM(F8:F15)</f>
        <v>5.952911732793793</v>
      </c>
    </row>
    <row r="17" spans="1:6" ht="9.75" customHeight="1">
      <c r="A17" s="284">
        <v>17</v>
      </c>
      <c r="B17" s="284"/>
      <c r="C17" s="284"/>
      <c r="D17" s="295"/>
      <c r="E17" s="300"/>
      <c r="F17" s="300"/>
    </row>
    <row r="18" spans="1:6" ht="9.75" customHeight="1">
      <c r="A18" s="284">
        <v>18</v>
      </c>
      <c r="B18" s="274" t="s">
        <v>534</v>
      </c>
      <c r="C18" s="274"/>
      <c r="D18" s="295"/>
      <c r="E18" s="300"/>
      <c r="F18" s="300"/>
    </row>
    <row r="19" spans="1:6" ht="9.75" customHeight="1">
      <c r="A19" s="284">
        <v>19</v>
      </c>
      <c r="B19" s="284" t="s">
        <v>145</v>
      </c>
      <c r="C19" s="284"/>
      <c r="D19" s="295"/>
      <c r="E19" s="300">
        <v>0</v>
      </c>
      <c r="F19" s="300">
        <v>0</v>
      </c>
    </row>
    <row r="20" spans="1:6" ht="9.75" customHeight="1">
      <c r="A20" s="284">
        <v>20</v>
      </c>
      <c r="B20" s="284" t="s">
        <v>146</v>
      </c>
      <c r="C20" s="284" t="s">
        <v>541</v>
      </c>
      <c r="D20" s="295">
        <f>'WINPC3 ACF Outputs'!AC41</f>
        <v>0.01057</v>
      </c>
      <c r="E20" s="300">
        <f>SUM(E8:E11)*D20</f>
        <v>0.0905085950325458</v>
      </c>
      <c r="F20" s="300">
        <f>SUM(F8:F11)*D20</f>
        <v>0.0516321522796392</v>
      </c>
    </row>
    <row r="21" spans="1:6" ht="9.75" customHeight="1">
      <c r="A21" s="284">
        <v>21</v>
      </c>
      <c r="B21" s="284"/>
      <c r="C21" s="284"/>
      <c r="D21" s="295"/>
      <c r="E21" s="300"/>
      <c r="F21" s="300"/>
    </row>
    <row r="22" spans="1:6" ht="9.75" customHeight="1">
      <c r="A22" s="284">
        <v>22</v>
      </c>
      <c r="B22" s="274" t="s">
        <v>535</v>
      </c>
      <c r="C22" s="274"/>
      <c r="D22" s="295"/>
      <c r="E22" s="300"/>
      <c r="F22" s="300"/>
    </row>
    <row r="23" spans="1:6" ht="9.75" customHeight="1">
      <c r="A23" s="284">
        <v>23</v>
      </c>
      <c r="B23" s="284" t="s">
        <v>147</v>
      </c>
      <c r="C23" s="284" t="s">
        <v>544</v>
      </c>
      <c r="D23" s="295">
        <f>'WINPC3 ACF Outputs'!I41</f>
        <v>0.0200099167</v>
      </c>
      <c r="E23" s="300">
        <f>(SUM(E8:E11)+E19)*D23</f>
        <v>0.17134053427013013</v>
      </c>
      <c r="F23" s="300">
        <f>(SUM(F8:F11)+F19)*D23</f>
        <v>0.09774409329775739</v>
      </c>
    </row>
    <row r="24" spans="1:6" ht="9.75" customHeight="1">
      <c r="A24" s="284">
        <v>24</v>
      </c>
      <c r="B24" s="284" t="s">
        <v>148</v>
      </c>
      <c r="C24" s="284" t="s">
        <v>544</v>
      </c>
      <c r="D24" s="295">
        <f>'WINPC3 ACF Outputs'!J41</f>
        <v>0.0172594504</v>
      </c>
      <c r="E24" s="300">
        <f>(SUM(E8:E11)+E19)*D24</f>
        <v>0.1477888937311174</v>
      </c>
      <c r="F24" s="300">
        <f>(SUM(F8:F11)+F19)*D24</f>
        <v>0.08430866332220244</v>
      </c>
    </row>
    <row r="25" spans="1:6" ht="9.75" customHeight="1">
      <c r="A25" s="284">
        <v>25</v>
      </c>
      <c r="B25" s="284" t="s">
        <v>149</v>
      </c>
      <c r="C25" s="284" t="s">
        <v>544</v>
      </c>
      <c r="D25" s="295">
        <f>'WINPC3 ACF Outputs'!K41</f>
        <v>0</v>
      </c>
      <c r="E25" s="300">
        <f>(SUM(E8:E11)+E19)*D25</f>
        <v>0</v>
      </c>
      <c r="F25" s="300">
        <f>(SUM(F8:F11)+F19)*D25</f>
        <v>0</v>
      </c>
    </row>
    <row r="26" spans="1:6" ht="9.75" customHeight="1">
      <c r="A26" s="284">
        <v>26</v>
      </c>
      <c r="B26" s="284"/>
      <c r="C26" s="284"/>
      <c r="D26" s="295"/>
      <c r="E26" s="300"/>
      <c r="F26" s="300"/>
    </row>
    <row r="27" spans="1:6" ht="9.75" customHeight="1">
      <c r="A27" s="284">
        <v>27</v>
      </c>
      <c r="B27" s="276" t="s">
        <v>536</v>
      </c>
      <c r="C27" s="284" t="s">
        <v>545</v>
      </c>
      <c r="D27" s="295">
        <f>'WINPC3 ACF Outputs'!O41</f>
        <v>0.1771593013</v>
      </c>
      <c r="E27" s="300">
        <f>(SUM(E23:E25)+E16-E12-E13+E20)*D27</f>
        <v>1.8292744675550616</v>
      </c>
      <c r="F27" s="300">
        <f>(SUM(F23:F25)+F16-F12-F13+F20)*D27</f>
        <v>1.0435404265870665</v>
      </c>
    </row>
    <row r="28" spans="1:6" ht="9.75" customHeight="1">
      <c r="A28" s="284">
        <v>28</v>
      </c>
      <c r="B28" s="284"/>
      <c r="C28" s="284"/>
      <c r="D28" s="295"/>
      <c r="E28" s="300"/>
      <c r="F28" s="300"/>
    </row>
    <row r="29" spans="1:6" ht="9.75" customHeight="1">
      <c r="A29" s="284">
        <v>29</v>
      </c>
      <c r="B29" s="276" t="s">
        <v>151</v>
      </c>
      <c r="C29" s="284" t="s">
        <v>546</v>
      </c>
      <c r="D29" s="295">
        <f>'WINPC3 ACF Outputs'!Q41</f>
        <v>0.0354501515</v>
      </c>
      <c r="E29" s="300">
        <f>(SUM(E16:E27)+E33)*D29</f>
        <v>0.5065451274680741</v>
      </c>
      <c r="F29" s="300">
        <f>(SUM(F16:F27)+F33)*D29</f>
        <v>0.2889671986239118</v>
      </c>
    </row>
    <row r="30" spans="1:6" ht="9.75" customHeight="1">
      <c r="A30" s="284">
        <v>30</v>
      </c>
      <c r="B30" s="284"/>
      <c r="C30" s="284"/>
      <c r="D30" s="295"/>
      <c r="E30" s="300"/>
      <c r="F30" s="300"/>
    </row>
    <row r="31" spans="1:6" ht="9.75" customHeight="1">
      <c r="A31" s="304">
        <v>31</v>
      </c>
      <c r="B31" s="305" t="s">
        <v>126</v>
      </c>
      <c r="C31" s="305" t="s">
        <v>547</v>
      </c>
      <c r="D31" s="306"/>
      <c r="E31" s="307">
        <f>SUM(E16:E30)</f>
        <v>13.180615818897454</v>
      </c>
      <c r="F31" s="308">
        <f>SUM(F16:F30)</f>
        <v>7.51910426690437</v>
      </c>
    </row>
    <row r="32" spans="1:6" ht="9.75" customHeight="1">
      <c r="A32" s="284">
        <v>32</v>
      </c>
      <c r="B32" s="284"/>
      <c r="C32" s="284"/>
      <c r="D32" s="295"/>
      <c r="E32" s="300"/>
      <c r="F32" s="300"/>
    </row>
    <row r="33" spans="1:6" ht="9.75" customHeight="1">
      <c r="A33" s="284">
        <v>33</v>
      </c>
      <c r="B33" s="284" t="s">
        <v>124</v>
      </c>
      <c r="C33" s="284" t="s">
        <v>560</v>
      </c>
      <c r="D33" s="295">
        <f>+'WINPC3 ACF Outputs'!U41+'WINPC3 ACF Outputs'!V41+'WINPC3 ACF Outputs'!R41+'WINPC3 ACF Outputs'!W41+'WINPC3 ACF Outputs'!S41+'WINPC3 ACF Outputs'!X41+'WINPC3 ACF Outputs'!Y41+'WINPC3 ACF Outputs'!Z41+'WINPC3 ACF Outputs'!AA41+'WINPC3 ACF Outputs'!AB41+'WINPC3 ACF Outputs'!T41</f>
        <v>0.1328579446</v>
      </c>
      <c r="E33" s="300">
        <f>(SUM(E16:E28)-E12)*$D33</f>
        <v>1.6148704282742739</v>
      </c>
      <c r="F33" s="300">
        <f>(SUM(F16:F28)-F12)*$D33</f>
        <v>0.9212300316291655</v>
      </c>
    </row>
    <row r="34" spans="1:6" ht="9.75" customHeight="1">
      <c r="A34" s="284">
        <v>34</v>
      </c>
      <c r="B34" s="284" t="s">
        <v>178</v>
      </c>
      <c r="C34" s="284"/>
      <c r="D34" s="295"/>
      <c r="E34" s="300">
        <v>0</v>
      </c>
      <c r="F34" s="300">
        <v>0</v>
      </c>
    </row>
    <row r="35" spans="1:6" ht="9.75" customHeight="1">
      <c r="A35" s="284">
        <v>35</v>
      </c>
      <c r="B35" s="284"/>
      <c r="C35" s="284"/>
      <c r="D35" s="295"/>
      <c r="E35" s="300"/>
      <c r="F35" s="300"/>
    </row>
    <row r="36" spans="1:6" ht="9.75" customHeight="1">
      <c r="A36" s="309">
        <v>36</v>
      </c>
      <c r="B36" s="310" t="s">
        <v>152</v>
      </c>
      <c r="C36" s="310" t="s">
        <v>548</v>
      </c>
      <c r="D36" s="311"/>
      <c r="E36" s="312">
        <f>SUM(E31:E34)</f>
        <v>14.795486247171729</v>
      </c>
      <c r="F36" s="313">
        <f>SUM(F31:F34)</f>
        <v>8.440334298533536</v>
      </c>
    </row>
    <row r="37" spans="1:6" ht="9.75" customHeight="1">
      <c r="A37" s="284"/>
      <c r="B37" s="284"/>
      <c r="C37" s="284"/>
      <c r="D37" s="295"/>
      <c r="E37" s="300"/>
      <c r="F37" s="300"/>
    </row>
    <row r="38" spans="1:6" ht="9.75" customHeight="1">
      <c r="A38" s="284"/>
      <c r="B38" s="284"/>
      <c r="C38" s="284"/>
      <c r="D38" s="295"/>
      <c r="E38" s="300"/>
      <c r="F38" s="300"/>
    </row>
    <row r="39" spans="1:6" ht="9.75" customHeight="1">
      <c r="A39" s="284"/>
      <c r="B39" s="284"/>
      <c r="C39" s="284"/>
      <c r="D39" s="295"/>
      <c r="E39" s="300"/>
      <c r="F39" s="300"/>
    </row>
    <row r="40" spans="1:6" ht="9.75" customHeight="1">
      <c r="A40" s="284"/>
      <c r="B40" s="284"/>
      <c r="C40" s="284"/>
      <c r="D40" s="295"/>
      <c r="E40" s="300"/>
      <c r="F40" s="300"/>
    </row>
    <row r="41" spans="1:6" ht="9.75" customHeight="1">
      <c r="A41" s="284"/>
      <c r="B41" s="284"/>
      <c r="C41" s="284"/>
      <c r="D41" s="295"/>
      <c r="E41" s="300"/>
      <c r="F41" s="300"/>
    </row>
    <row r="42" spans="1:6" ht="9.75" customHeight="1">
      <c r="A42" s="284"/>
      <c r="B42" s="284"/>
      <c r="C42" s="284"/>
      <c r="D42" s="295"/>
      <c r="E42" s="300"/>
      <c r="F42" s="300"/>
    </row>
    <row r="43" spans="1:6" ht="9.75" customHeight="1">
      <c r="A43" s="284"/>
      <c r="B43" s="284"/>
      <c r="C43" s="284"/>
      <c r="D43" s="295"/>
      <c r="E43" s="300"/>
      <c r="F43" s="300"/>
    </row>
    <row r="44" spans="1:6" ht="9.75" customHeight="1">
      <c r="A44" s="284"/>
      <c r="B44" s="284"/>
      <c r="C44" s="284"/>
      <c r="D44" s="295"/>
      <c r="E44" s="300"/>
      <c r="F44" s="300"/>
    </row>
    <row r="45" spans="1:6" ht="9.75" customHeight="1">
      <c r="A45" s="284"/>
      <c r="B45" s="284"/>
      <c r="C45" s="284"/>
      <c r="D45" s="295"/>
      <c r="E45" s="300"/>
      <c r="F45" s="300"/>
    </row>
    <row r="46" spans="1:6" ht="9.75" customHeight="1">
      <c r="A46" s="284"/>
      <c r="B46" s="284"/>
      <c r="C46" s="284"/>
      <c r="D46" s="295"/>
      <c r="E46" s="300"/>
      <c r="F46" s="300"/>
    </row>
    <row r="47" spans="1:6" ht="9.75" customHeight="1">
      <c r="A47" s="284"/>
      <c r="B47" s="284"/>
      <c r="C47" s="284"/>
      <c r="D47" s="295"/>
      <c r="E47" s="300"/>
      <c r="F47" s="300"/>
    </row>
    <row r="48" spans="1:6" ht="9.75" customHeight="1">
      <c r="A48" s="284"/>
      <c r="B48" s="284"/>
      <c r="C48" s="284"/>
      <c r="D48" s="295"/>
      <c r="E48" s="300"/>
      <c r="F48" s="300"/>
    </row>
    <row r="49" spans="1:6" ht="9.75" customHeight="1">
      <c r="A49" s="284"/>
      <c r="B49" s="284"/>
      <c r="C49" s="284"/>
      <c r="D49" s="295"/>
      <c r="E49" s="300"/>
      <c r="F49" s="300"/>
    </row>
    <row r="50" spans="1:6" ht="9.75" customHeight="1">
      <c r="A50" s="284"/>
      <c r="B50" s="284"/>
      <c r="C50" s="284"/>
      <c r="D50" s="295"/>
      <c r="E50" s="300"/>
      <c r="F50" s="300"/>
    </row>
  </sheetData>
  <printOptions/>
  <pageMargins left="0.4600000000000001" right="0.25" top="1.19" bottom="0.79" header="0.49" footer="0.17"/>
  <pageSetup horizontalDpi="600" verticalDpi="600" orientation="landscape" scale="95" r:id="rId1"/>
  <headerFooter alignWithMargins="0">
    <oddHeader>&amp;L&amp;F&amp;C&amp;A&amp;RPage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J17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28" sqref="D25:D28"/>
    </sheetView>
  </sheetViews>
  <sheetFormatPr defaultColWidth="9.140625" defaultRowHeight="12.75"/>
  <cols>
    <col min="1" max="1" width="9.421875" style="0" customWidth="1"/>
    <col min="2" max="2" width="6.140625" style="0" customWidth="1"/>
    <col min="3" max="3" width="29.8515625" style="0" customWidth="1"/>
    <col min="4" max="10" width="11.57421875" style="0" customWidth="1"/>
  </cols>
  <sheetData>
    <row r="1" spans="1:10" ht="12.75">
      <c r="A1" s="125">
        <v>37791</v>
      </c>
      <c r="B1" s="126"/>
      <c r="C1" s="126"/>
      <c r="D1" s="126"/>
      <c r="E1" s="126"/>
      <c r="F1" s="126"/>
      <c r="G1" s="126"/>
      <c r="H1" s="126"/>
      <c r="I1" s="126"/>
      <c r="J1" s="127"/>
    </row>
    <row r="2" spans="1:10" ht="12.75">
      <c r="A2" s="128" t="s">
        <v>506</v>
      </c>
      <c r="B2" s="90"/>
      <c r="C2" s="278" t="str">
        <f>'WINPC3 Investments'!B2</f>
        <v>CHANNEL PERFORMANCE</v>
      </c>
      <c r="D2" s="129"/>
      <c r="E2" s="129"/>
      <c r="F2" s="129"/>
      <c r="G2" s="129"/>
      <c r="H2" s="129"/>
      <c r="I2" s="129"/>
      <c r="J2" s="130"/>
    </row>
    <row r="3" spans="1:10" ht="22.5">
      <c r="A3" s="279" t="s">
        <v>130</v>
      </c>
      <c r="B3" s="280" t="s">
        <v>131</v>
      </c>
      <c r="C3" s="280" t="s">
        <v>132</v>
      </c>
      <c r="D3" s="281" t="s">
        <v>48</v>
      </c>
      <c r="E3" s="281" t="s">
        <v>133</v>
      </c>
      <c r="F3" s="282" t="s">
        <v>134</v>
      </c>
      <c r="G3" s="281" t="s">
        <v>135</v>
      </c>
      <c r="H3" s="281" t="s">
        <v>136</v>
      </c>
      <c r="I3" s="281" t="s">
        <v>137</v>
      </c>
      <c r="J3" s="283" t="s">
        <v>138</v>
      </c>
    </row>
    <row r="4" spans="1:10" ht="12.75">
      <c r="A4" s="1"/>
      <c r="B4" s="1"/>
      <c r="C4" s="1"/>
      <c r="D4" s="18"/>
      <c r="E4" s="18"/>
      <c r="F4" s="18"/>
      <c r="G4" s="18"/>
      <c r="H4" s="18"/>
      <c r="I4" s="18"/>
      <c r="J4" s="18"/>
    </row>
    <row r="5" spans="1:10" ht="15" customHeight="1">
      <c r="A5" s="131" t="str">
        <f>'WINPC3 Investments'!B4</f>
        <v>LOW SIDE CHANNEL PERFORMANCE</v>
      </c>
      <c r="B5" s="1"/>
      <c r="C5" s="1"/>
      <c r="D5" s="18"/>
      <c r="E5" s="18"/>
      <c r="F5" s="18"/>
      <c r="G5" s="18"/>
      <c r="H5" s="18"/>
      <c r="I5" s="18"/>
      <c r="J5" s="18"/>
    </row>
    <row r="6" spans="1:10" ht="15" customHeight="1">
      <c r="A6" s="19"/>
      <c r="B6" s="20"/>
      <c r="C6" s="20"/>
      <c r="D6" s="16"/>
      <c r="E6" s="16"/>
      <c r="F6" s="16"/>
      <c r="G6" s="16"/>
      <c r="H6" s="16"/>
      <c r="I6" s="16"/>
      <c r="J6" s="17"/>
    </row>
    <row r="7" spans="1:10" ht="9.75" customHeight="1">
      <c r="A7" s="290">
        <v>2232.3</v>
      </c>
      <c r="B7" s="291" t="s">
        <v>54</v>
      </c>
      <c r="C7" s="291" t="s">
        <v>139</v>
      </c>
      <c r="D7" s="285">
        <f>'WINPC3 Output'!E21</f>
        <v>525.3114344162655</v>
      </c>
      <c r="E7" s="285">
        <f>(D7*'WINPC3 ACF Outputs'!B45)/'WINPC3 Parameters'!B5</f>
        <v>4.724110386233995</v>
      </c>
      <c r="F7" s="285">
        <f>(D7*'WINPC3 ACF Outputs'!C45)/'WINPC3 Parameters'!B5</f>
        <v>1.9099119785343681</v>
      </c>
      <c r="G7" s="285">
        <f>(D7*'WINPC3 ACF Outputs'!D45)/'WINPC3 Parameters'!B5</f>
        <v>0.6535084106056391</v>
      </c>
      <c r="H7" s="285">
        <f>(D7*'WINPC3 ACF Outputs'!E45)/'WINPC3 Parameters'!B5</f>
        <v>0.6273087567146546</v>
      </c>
      <c r="I7" s="285">
        <v>0</v>
      </c>
      <c r="J7" s="286">
        <f>SUM(E7:I7)</f>
        <v>7.914839532088656</v>
      </c>
    </row>
    <row r="8" spans="1:10" ht="9.75" customHeight="1">
      <c r="A8" s="290">
        <v>2111</v>
      </c>
      <c r="B8" s="291" t="s">
        <v>86</v>
      </c>
      <c r="C8" s="291" t="s">
        <v>140</v>
      </c>
      <c r="D8" s="285">
        <f>'WINPC3 Output'!M22</f>
        <v>2.0204903988194007</v>
      </c>
      <c r="E8" s="285">
        <f>('WINPC3 ACF Outputs'!B41*D8)/'WINPC3 Parameters'!B5</f>
        <v>0</v>
      </c>
      <c r="F8" s="285">
        <f>('WINPC3 ACF Outputs'!C41*D8)/'WINPC3 Parameters'!B5</f>
        <v>0.01546268514196005</v>
      </c>
      <c r="G8" s="285">
        <f>('WINPC3 ACF Outputs'!D41*D8)/'WINPC3 Parameters'!B5</f>
        <v>0.005290817028184426</v>
      </c>
      <c r="H8" s="285">
        <f>('WINPC3 ACF Outputs'!E41*D8)/'WINPC3 Parameters'!B5</f>
        <v>0.002954581883916899</v>
      </c>
      <c r="I8" s="285"/>
      <c r="J8" s="286">
        <f>SUM(E8:I8)</f>
        <v>0.023708084054061374</v>
      </c>
    </row>
    <row r="9" spans="1:10" ht="9.75" customHeight="1">
      <c r="A9" s="290">
        <v>2121</v>
      </c>
      <c r="B9" s="291" t="s">
        <v>87</v>
      </c>
      <c r="C9" s="291" t="s">
        <v>490</v>
      </c>
      <c r="D9" s="285">
        <f>'WINPC3 Output'!I22</f>
        <v>53.49688822241383</v>
      </c>
      <c r="E9" s="285">
        <f>('WINPC3 ACF Outputs'!B42*D9)/'WINPC3 Parameters'!B5</f>
        <v>0.12993920478859852</v>
      </c>
      <c r="F9" s="285">
        <f>('WINPC3 ACF Outputs'!C42*D9)/'WINPC3 Parameters'!B5</f>
        <v>0.3099951352567142</v>
      </c>
      <c r="G9" s="285">
        <f>('WINPC3 ACF Outputs'!D42*D9)/'WINPC3 Parameters'!B5</f>
        <v>0.10607003408489879</v>
      </c>
      <c r="H9" s="285">
        <f>('WINPC3 ACF Outputs'!E42*D9)/'WINPC3 Parameters'!B5</f>
        <v>0.07822899672288881</v>
      </c>
      <c r="I9" s="285"/>
      <c r="J9" s="286">
        <f>SUM(E9:I9)</f>
        <v>0.6242333708531004</v>
      </c>
    </row>
    <row r="10" spans="1:10" ht="11.25" customHeight="1">
      <c r="A10" s="292"/>
      <c r="B10" s="293"/>
      <c r="C10" s="294" t="s">
        <v>129</v>
      </c>
      <c r="D10" s="287">
        <f aca="true" t="shared" si="0" ref="D10:J10">SUM(D7:D9)</f>
        <v>580.8288130374988</v>
      </c>
      <c r="E10" s="288">
        <f t="shared" si="0"/>
        <v>4.854049591022593</v>
      </c>
      <c r="F10" s="288">
        <f t="shared" si="0"/>
        <v>2.2353697989330423</v>
      </c>
      <c r="G10" s="288">
        <f t="shared" si="0"/>
        <v>0.7648692617187224</v>
      </c>
      <c r="H10" s="288">
        <f t="shared" si="0"/>
        <v>0.7084923353214604</v>
      </c>
      <c r="I10" s="288">
        <f t="shared" si="0"/>
        <v>0</v>
      </c>
      <c r="J10" s="289">
        <f t="shared" si="0"/>
        <v>8.562780986995818</v>
      </c>
    </row>
    <row r="11" spans="1:10" ht="15" customHeight="1">
      <c r="A11" s="1"/>
      <c r="B11" s="1"/>
      <c r="C11" s="1"/>
      <c r="D11" s="18"/>
      <c r="E11" s="18"/>
      <c r="F11" s="18"/>
      <c r="G11" s="18"/>
      <c r="H11" s="18"/>
      <c r="I11" s="18"/>
      <c r="J11" s="18"/>
    </row>
    <row r="12" spans="1:10" ht="15" customHeight="1">
      <c r="A12" s="131" t="str">
        <f>'WINPC3 Investments'!B6</f>
        <v>Low Side Channel Performance with MULTIPLEXING</v>
      </c>
      <c r="B12" s="1"/>
      <c r="C12" s="1"/>
      <c r="D12" s="18"/>
      <c r="E12" s="18"/>
      <c r="F12" s="18"/>
      <c r="G12" s="18"/>
      <c r="H12" s="18"/>
      <c r="I12" s="18"/>
      <c r="J12" s="18"/>
    </row>
    <row r="13" spans="1:10" ht="9.75" customHeight="1">
      <c r="A13" s="19"/>
      <c r="B13" s="20"/>
      <c r="C13" s="20"/>
      <c r="D13" s="16"/>
      <c r="E13" s="16"/>
      <c r="F13" s="16"/>
      <c r="G13" s="16"/>
      <c r="H13" s="16"/>
      <c r="I13" s="16"/>
      <c r="J13" s="17"/>
    </row>
    <row r="14" spans="1:10" ht="9.75" customHeight="1">
      <c r="A14" s="290">
        <v>2232.3</v>
      </c>
      <c r="B14" s="291" t="s">
        <v>54</v>
      </c>
      <c r="C14" s="291" t="s">
        <v>139</v>
      </c>
      <c r="D14" s="285">
        <f>'WINPC3 Output'!E24</f>
        <v>299.6727544634102</v>
      </c>
      <c r="E14" s="285">
        <f>(D14*'WINPC3 ACF Outputs'!B45)/'WINPC3 Parameters'!B5</f>
        <v>2.694948327947744</v>
      </c>
      <c r="F14" s="285">
        <f>(D14*'WINPC3 ACF Outputs'!C45)/'WINPC3 Parameters'!B5</f>
        <v>1.0895414527309093</v>
      </c>
      <c r="G14" s="285">
        <f>(D14*'WINPC3 ACF Outputs'!D45)/'WINPC3 Parameters'!B5</f>
        <v>0.37280487847902305</v>
      </c>
      <c r="H14" s="285">
        <f>(D14*'WINPC3 ACF Outputs'!E45)/'WINPC3 Parameters'!B5</f>
        <v>0.35785884469199175</v>
      </c>
      <c r="I14" s="285">
        <v>0</v>
      </c>
      <c r="J14" s="286">
        <f>SUM(E14:I14)</f>
        <v>4.515153503849668</v>
      </c>
    </row>
    <row r="15" spans="1:10" ht="9.75" customHeight="1">
      <c r="A15" s="290">
        <v>2111</v>
      </c>
      <c r="B15" s="291" t="s">
        <v>86</v>
      </c>
      <c r="C15" s="291" t="s">
        <v>140</v>
      </c>
      <c r="D15" s="285">
        <f>'WINPC3 Output'!M25</f>
        <v>1.1526227748191122</v>
      </c>
      <c r="E15" s="285">
        <f>('WINPC3 ACF Outputs'!B41*D15)/'WINPC3 Parameters'!B5</f>
        <v>0</v>
      </c>
      <c r="F15" s="285">
        <f>('WINPC3 ACF Outputs'!C41*D15)/'WINPC3 Parameters'!B5</f>
        <v>0.00882094914427421</v>
      </c>
      <c r="G15" s="285">
        <f>('WINPC3 ACF Outputs'!D41*D15)/'WINPC3 Parameters'!B5</f>
        <v>0.0030182356756802546</v>
      </c>
      <c r="H15" s="285">
        <f>('WINPC3 ACF Outputs'!E41*D15)/'WINPC3 Parameters'!B5</f>
        <v>0.0016854909934046038</v>
      </c>
      <c r="I15" s="285"/>
      <c r="J15" s="286">
        <f>SUM(E15:I15)</f>
        <v>0.013524675813359067</v>
      </c>
    </row>
    <row r="16" spans="1:10" ht="9.75" customHeight="1">
      <c r="A16" s="290">
        <v>2121</v>
      </c>
      <c r="B16" s="291" t="s">
        <v>87</v>
      </c>
      <c r="C16" s="291" t="s">
        <v>490</v>
      </c>
      <c r="D16" s="285">
        <f>'WINPC3 Output'!I25</f>
        <v>30.518200820521727</v>
      </c>
      <c r="E16" s="285">
        <f>('WINPC3 ACF Outputs'!B42*D16)/'WINPC3 Parameters'!B5</f>
        <v>0.07412600766068296</v>
      </c>
      <c r="F16" s="285">
        <f>('WINPC3 ACF Outputs'!C42*D16)/'WINPC3 Parameters'!B5</f>
        <v>0.17684194549442026</v>
      </c>
      <c r="G16" s="285">
        <f>('WINPC3 ACF Outputs'!D42*D16)/'WINPC3 Parameters'!B5</f>
        <v>0.06050943725519867</v>
      </c>
      <c r="H16" s="285">
        <f>('WINPC3 ACF Outputs'!E42*D16)/'WINPC3 Parameters'!B5</f>
        <v>0.044627048624798216</v>
      </c>
      <c r="I16" s="285"/>
      <c r="J16" s="286">
        <f>SUM(E16:I16)</f>
        <v>0.3561044390351001</v>
      </c>
    </row>
    <row r="17" spans="1:10" ht="11.25" customHeight="1">
      <c r="A17" s="292"/>
      <c r="B17" s="293"/>
      <c r="C17" s="294" t="s">
        <v>129</v>
      </c>
      <c r="D17" s="287">
        <f aca="true" t="shared" si="1" ref="D17:J17">SUM(D14:D16)</f>
        <v>331.343578058751</v>
      </c>
      <c r="E17" s="288">
        <f t="shared" si="1"/>
        <v>2.769074335608427</v>
      </c>
      <c r="F17" s="288">
        <f t="shared" si="1"/>
        <v>1.2752043473696038</v>
      </c>
      <c r="G17" s="288">
        <f t="shared" si="1"/>
        <v>0.436332551409902</v>
      </c>
      <c r="H17" s="288">
        <f t="shared" si="1"/>
        <v>0.40417138431019456</v>
      </c>
      <c r="I17" s="288">
        <f t="shared" si="1"/>
        <v>0</v>
      </c>
      <c r="J17" s="289">
        <f t="shared" si="1"/>
        <v>4.884782618698128</v>
      </c>
    </row>
    <row r="18" ht="9.75" customHeight="1"/>
    <row r="19" ht="11.25" customHeight="1"/>
    <row r="20" ht="9.75" customHeight="1"/>
    <row r="21" ht="11.25" customHeight="1"/>
    <row r="22" ht="9.75" customHeight="1"/>
    <row r="23" ht="11.25" customHeight="1"/>
    <row r="24" ht="9.75" customHeight="1"/>
    <row r="25" ht="11.25" customHeight="1"/>
    <row r="26" ht="9.75" customHeight="1"/>
    <row r="27" ht="11.25" customHeight="1"/>
    <row r="28" ht="9.75" customHeight="1"/>
    <row r="29" ht="11.25" customHeight="1"/>
    <row r="30" ht="9.75" customHeight="1"/>
    <row r="31" ht="11.25" customHeight="1"/>
    <row r="32" ht="9.75" customHeight="1"/>
    <row r="33" ht="11.25" customHeight="1"/>
    <row r="34" ht="9.75" customHeight="1"/>
    <row r="35" ht="11.25" customHeight="1"/>
    <row r="36" ht="9.75" customHeight="1"/>
    <row r="37" ht="11.25" customHeight="1"/>
  </sheetData>
  <printOptions horizontalCentered="1"/>
  <pageMargins left="0.25" right="0.25" top="0.68" bottom="0.84" header="0.32" footer="0.23000000000000004"/>
  <pageSetup horizontalDpi="600" verticalDpi="600" orientation="landscape" scale="95" r:id="rId1"/>
  <headerFooter alignWithMargins="0">
    <oddHeader>&amp;L&amp;F&amp;C&amp;A&amp;RPage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H29"/>
  <sheetViews>
    <sheetView workbookViewId="0" topLeftCell="A1">
      <selection activeCell="G28" sqref="G25:G28"/>
    </sheetView>
  </sheetViews>
  <sheetFormatPr defaultColWidth="9.140625" defaultRowHeight="12.75"/>
  <cols>
    <col min="1" max="1" width="9.8515625" style="0" bestFit="1" customWidth="1"/>
    <col min="3" max="3" width="9.57421875" style="6" customWidth="1"/>
    <col min="4" max="5" width="3.140625" style="6" bestFit="1" customWidth="1"/>
    <col min="6" max="6" width="5.28125" style="0" bestFit="1" customWidth="1"/>
    <col min="7" max="7" width="22.421875" style="0" bestFit="1" customWidth="1"/>
    <col min="8" max="8" width="23.421875" style="0" bestFit="1" customWidth="1"/>
  </cols>
  <sheetData>
    <row r="1" spans="1:6" ht="12.75">
      <c r="A1" t="s">
        <v>48</v>
      </c>
      <c r="F1" s="5"/>
    </row>
    <row r="2" spans="1:6" ht="12.75">
      <c r="A2" t="s">
        <v>49</v>
      </c>
      <c r="B2" t="s">
        <v>50</v>
      </c>
      <c r="F2" s="5"/>
    </row>
    <row r="3" spans="1:6" ht="12.75">
      <c r="A3" t="s">
        <v>51</v>
      </c>
      <c r="B3" s="4">
        <v>37791</v>
      </c>
      <c r="F3" s="5"/>
    </row>
    <row r="4" spans="1:6" ht="12.75">
      <c r="A4" t="s">
        <v>52</v>
      </c>
      <c r="B4" t="s">
        <v>179</v>
      </c>
      <c r="F4" s="5"/>
    </row>
    <row r="5" spans="1:8" ht="12.75">
      <c r="A5" t="s">
        <v>53</v>
      </c>
      <c r="B5" t="s">
        <v>379</v>
      </c>
      <c r="C5" s="273">
        <f>'Channel Plug Investments'!H15</f>
        <v>525.3114344162655</v>
      </c>
      <c r="D5" s="6">
        <v>0</v>
      </c>
      <c r="E5" s="6">
        <v>0</v>
      </c>
      <c r="F5" s="5" t="s">
        <v>54</v>
      </c>
      <c r="G5" t="s">
        <v>55</v>
      </c>
      <c r="H5" t="s">
        <v>201</v>
      </c>
    </row>
    <row r="6" spans="1:6" ht="12.75">
      <c r="A6" t="s">
        <v>52</v>
      </c>
      <c r="B6" t="s">
        <v>180</v>
      </c>
      <c r="C6" s="273"/>
      <c r="F6" s="5"/>
    </row>
    <row r="7" spans="1:8" ht="12.75">
      <c r="A7" t="s">
        <v>53</v>
      </c>
      <c r="B7" t="s">
        <v>379</v>
      </c>
      <c r="C7" s="273">
        <f>'Channel Plug Investments'!H29</f>
        <v>299.6727544634102</v>
      </c>
      <c r="D7" s="6">
        <v>0</v>
      </c>
      <c r="E7" s="6">
        <v>0</v>
      </c>
      <c r="F7" s="5" t="s">
        <v>54</v>
      </c>
      <c r="G7" t="s">
        <v>55</v>
      </c>
      <c r="H7" t="s">
        <v>201</v>
      </c>
    </row>
    <row r="8" ht="12.75">
      <c r="F8" s="5"/>
    </row>
    <row r="9" ht="12.75">
      <c r="F9" s="5"/>
    </row>
    <row r="10" ht="12.75">
      <c r="F10" s="5"/>
    </row>
    <row r="11" ht="12.75">
      <c r="F11" s="5"/>
    </row>
    <row r="12" ht="12.75">
      <c r="F12" s="5"/>
    </row>
    <row r="13" ht="12.75">
      <c r="F13" s="5"/>
    </row>
    <row r="14" ht="12.75">
      <c r="F14" s="5"/>
    </row>
    <row r="15" ht="12.75">
      <c r="F15" s="5"/>
    </row>
    <row r="16" ht="12.75">
      <c r="F16" s="5"/>
    </row>
    <row r="17" ht="12.75">
      <c r="F17" s="5"/>
    </row>
    <row r="18" ht="12.75">
      <c r="F18" s="5"/>
    </row>
    <row r="19" ht="12.75">
      <c r="F19" s="5"/>
    </row>
    <row r="20" ht="12.75">
      <c r="F20" s="5"/>
    </row>
    <row r="21" ht="12.75">
      <c r="F21" s="5"/>
    </row>
    <row r="22" ht="12.75">
      <c r="F22" s="5"/>
    </row>
    <row r="23" ht="12.75">
      <c r="F23" s="5"/>
    </row>
    <row r="24" ht="12.75">
      <c r="F24" s="5"/>
    </row>
    <row r="25" ht="12.75">
      <c r="F25" s="5"/>
    </row>
    <row r="26" ht="12.75">
      <c r="F26" s="5"/>
    </row>
    <row r="27" ht="12.75">
      <c r="F27" s="5"/>
    </row>
    <row r="28" ht="12.75">
      <c r="F28" s="5"/>
    </row>
    <row r="29" ht="12.75">
      <c r="F29" s="5"/>
    </row>
  </sheetData>
  <printOptions gridLines="1" headings="1"/>
  <pageMargins left="0.75" right="0.25" top="1" bottom="1.4" header="0.5" footer="0.5"/>
  <pageSetup horizontalDpi="600" verticalDpi="600" orientation="landscape" pageOrder="overThenDown" r:id="rId3"/>
  <headerFooter alignWithMargins="0">
    <oddHeader>&amp;L&amp;F&amp;C&amp;A&amp;RPage &amp;P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B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379</v>
      </c>
    </row>
    <row r="3" ht="12.75">
      <c r="A3">
        <v>7</v>
      </c>
    </row>
    <row r="4" ht="12.75">
      <c r="A4">
        <v>2</v>
      </c>
    </row>
    <row r="5" spans="1:2" ht="12.75">
      <c r="A5" t="s">
        <v>1</v>
      </c>
      <c r="B5">
        <f>IF(A5="Annual",1,12)</f>
        <v>12</v>
      </c>
    </row>
    <row r="6" ht="12.75">
      <c r="A6" t="s">
        <v>2</v>
      </c>
    </row>
    <row r="7" ht="12.75">
      <c r="A7" t="s">
        <v>3</v>
      </c>
    </row>
    <row r="9" ht="12.75">
      <c r="A9">
        <v>11</v>
      </c>
    </row>
    <row r="10" ht="12.75">
      <c r="A10">
        <v>7693</v>
      </c>
    </row>
  </sheetData>
  <printOptions gridLines="1" headings="1"/>
  <pageMargins left="0.75" right="0.25" top="1" bottom="1.4" header="0.5" footer="0.5"/>
  <pageSetup horizontalDpi="600" verticalDpi="600" orientation="landscape" pageOrder="overThenDown" r:id="rId3"/>
  <headerFooter alignWithMargins="0">
    <oddHeader>&amp;L&amp;F&amp;C&amp;A&amp;RPage &amp;P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C17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2" max="2" width="10.7109375" style="0" bestFit="1" customWidth="1"/>
    <col min="3" max="3" width="10.421875" style="0" bestFit="1" customWidth="1"/>
    <col min="4" max="4" width="8.140625" style="0" bestFit="1" customWidth="1"/>
    <col min="5" max="5" width="10.140625" style="0" bestFit="1" customWidth="1"/>
    <col min="6" max="6" width="8.8515625" style="0" bestFit="1" customWidth="1"/>
    <col min="7" max="7" width="8.28125" style="0" bestFit="1" customWidth="1"/>
    <col min="8" max="8" width="8.140625" style="0" bestFit="1" customWidth="1"/>
    <col min="9" max="9" width="11.00390625" style="0" bestFit="1" customWidth="1"/>
    <col min="10" max="10" width="10.7109375" style="0" bestFit="1" customWidth="1"/>
    <col min="12" max="12" width="6.8515625" style="0" bestFit="1" customWidth="1"/>
    <col min="13" max="13" width="10.28125" style="0" bestFit="1" customWidth="1"/>
    <col min="14" max="14" width="9.8515625" style="0" bestFit="1" customWidth="1"/>
    <col min="15" max="15" width="9.421875" style="0" bestFit="1" customWidth="1"/>
    <col min="16" max="16" width="10.00390625" style="0" bestFit="1" customWidth="1"/>
    <col min="17" max="17" width="9.421875" style="0" bestFit="1" customWidth="1"/>
    <col min="18" max="19" width="8.8515625" style="0" bestFit="1" customWidth="1"/>
    <col min="20" max="20" width="8.00390625" style="0" bestFit="1" customWidth="1"/>
    <col min="21" max="22" width="8.140625" style="0" bestFit="1" customWidth="1"/>
    <col min="23" max="23" width="9.28125" style="0" bestFit="1" customWidth="1"/>
    <col min="24" max="24" width="8.28125" style="0" bestFit="1" customWidth="1"/>
    <col min="25" max="25" width="8.7109375" style="0" bestFit="1" customWidth="1"/>
    <col min="26" max="26" width="9.28125" style="0" bestFit="1" customWidth="1"/>
    <col min="27" max="27" width="8.8515625" style="0" bestFit="1" customWidth="1"/>
    <col min="28" max="28" width="8.28125" style="0" bestFit="1" customWidth="1"/>
    <col min="29" max="29" width="7.00390625" style="0" bestFit="1" customWidth="1"/>
  </cols>
  <sheetData>
    <row r="1" ht="12.75">
      <c r="A1" t="s">
        <v>4</v>
      </c>
    </row>
    <row r="2" ht="12.75">
      <c r="A2" s="2" t="s">
        <v>509</v>
      </c>
    </row>
    <row r="3" spans="1:29" ht="12.75">
      <c r="A3" s="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  <c r="H3" t="s">
        <v>12</v>
      </c>
      <c r="I3" t="s">
        <v>13</v>
      </c>
      <c r="J3" t="s">
        <v>14</v>
      </c>
      <c r="K3" t="s">
        <v>15</v>
      </c>
      <c r="L3" t="s">
        <v>16</v>
      </c>
      <c r="M3" t="s">
        <v>17</v>
      </c>
      <c r="N3" t="s">
        <v>18</v>
      </c>
      <c r="O3" t="s">
        <v>19</v>
      </c>
      <c r="P3" t="s">
        <v>20</v>
      </c>
      <c r="Q3" t="s">
        <v>21</v>
      </c>
      <c r="R3" t="s">
        <v>22</v>
      </c>
      <c r="S3" t="s">
        <v>23</v>
      </c>
      <c r="T3" t="s">
        <v>24</v>
      </c>
      <c r="U3" t="s">
        <v>25</v>
      </c>
      <c r="V3" t="s">
        <v>26</v>
      </c>
      <c r="W3" t="s">
        <v>27</v>
      </c>
      <c r="X3" t="s">
        <v>28</v>
      </c>
      <c r="Y3" t="s">
        <v>29</v>
      </c>
      <c r="Z3" t="s">
        <v>30</v>
      </c>
      <c r="AA3" t="s">
        <v>31</v>
      </c>
      <c r="AB3" t="s">
        <v>32</v>
      </c>
      <c r="AC3" t="s">
        <v>33</v>
      </c>
    </row>
    <row r="4" spans="1:29" ht="12.75">
      <c r="A4" s="3" t="s">
        <v>34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13</v>
      </c>
      <c r="J4" t="s">
        <v>14</v>
      </c>
      <c r="K4" t="s">
        <v>15</v>
      </c>
      <c r="L4" t="s">
        <v>16</v>
      </c>
      <c r="M4" t="s">
        <v>17</v>
      </c>
      <c r="N4" t="s">
        <v>18</v>
      </c>
      <c r="O4" t="s">
        <v>19</v>
      </c>
      <c r="P4" t="s">
        <v>20</v>
      </c>
      <c r="Q4" t="s">
        <v>21</v>
      </c>
      <c r="R4" t="s">
        <v>22</v>
      </c>
      <c r="S4" t="s">
        <v>23</v>
      </c>
      <c r="T4" t="s">
        <v>24</v>
      </c>
      <c r="U4" t="s">
        <v>25</v>
      </c>
      <c r="V4" t="s">
        <v>26</v>
      </c>
      <c r="W4" t="s">
        <v>27</v>
      </c>
      <c r="X4" t="s">
        <v>28</v>
      </c>
      <c r="Y4" t="s">
        <v>29</v>
      </c>
      <c r="Z4" t="s">
        <v>30</v>
      </c>
      <c r="AA4" t="s">
        <v>31</v>
      </c>
      <c r="AB4" t="s">
        <v>32</v>
      </c>
      <c r="AC4" t="s">
        <v>33</v>
      </c>
    </row>
    <row r="5" spans="1:29" ht="12.75">
      <c r="A5" s="3" t="s">
        <v>35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18</v>
      </c>
      <c r="O5" t="s">
        <v>19</v>
      </c>
      <c r="P5" t="s">
        <v>20</v>
      </c>
      <c r="Q5" t="s">
        <v>21</v>
      </c>
      <c r="R5" t="s">
        <v>22</v>
      </c>
      <c r="S5" t="s">
        <v>23</v>
      </c>
      <c r="T5" t="s">
        <v>24</v>
      </c>
      <c r="U5" t="s">
        <v>25</v>
      </c>
      <c r="V5" t="s">
        <v>26</v>
      </c>
      <c r="W5" t="s">
        <v>27</v>
      </c>
      <c r="X5" t="s">
        <v>28</v>
      </c>
      <c r="Y5" t="s">
        <v>29</v>
      </c>
      <c r="Z5" t="s">
        <v>30</v>
      </c>
      <c r="AA5" t="s">
        <v>31</v>
      </c>
      <c r="AB5" t="s">
        <v>32</v>
      </c>
      <c r="AC5" t="s">
        <v>33</v>
      </c>
    </row>
    <row r="6" spans="1:29" ht="12.75">
      <c r="A6" s="3" t="s">
        <v>36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H6" t="s">
        <v>12</v>
      </c>
      <c r="I6" t="s">
        <v>13</v>
      </c>
      <c r="J6" t="s">
        <v>14</v>
      </c>
      <c r="K6" t="s">
        <v>15</v>
      </c>
      <c r="L6" t="s">
        <v>16</v>
      </c>
      <c r="M6" t="s">
        <v>17</v>
      </c>
      <c r="N6" t="s">
        <v>18</v>
      </c>
      <c r="O6" t="s">
        <v>19</v>
      </c>
      <c r="P6" t="s">
        <v>20</v>
      </c>
      <c r="Q6" t="s">
        <v>21</v>
      </c>
      <c r="R6" t="s">
        <v>22</v>
      </c>
      <c r="S6" t="s">
        <v>23</v>
      </c>
      <c r="T6" t="s">
        <v>24</v>
      </c>
      <c r="U6" t="s">
        <v>25</v>
      </c>
      <c r="V6" t="s">
        <v>26</v>
      </c>
      <c r="W6" t="s">
        <v>27</v>
      </c>
      <c r="X6" t="s">
        <v>28</v>
      </c>
      <c r="Y6" t="s">
        <v>29</v>
      </c>
      <c r="Z6" t="s">
        <v>30</v>
      </c>
      <c r="AA6" t="s">
        <v>31</v>
      </c>
      <c r="AB6" t="s">
        <v>32</v>
      </c>
      <c r="AC6" t="s">
        <v>33</v>
      </c>
    </row>
    <row r="7" spans="1:29" ht="12.75">
      <c r="A7" s="3" t="s">
        <v>37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  <c r="J7" t="s">
        <v>14</v>
      </c>
      <c r="K7" t="s">
        <v>15</v>
      </c>
      <c r="L7" t="s">
        <v>16</v>
      </c>
      <c r="M7" t="s">
        <v>17</v>
      </c>
      <c r="N7" t="s">
        <v>18</v>
      </c>
      <c r="O7" t="s">
        <v>19</v>
      </c>
      <c r="P7" t="s">
        <v>20</v>
      </c>
      <c r="Q7" t="s">
        <v>21</v>
      </c>
      <c r="R7" t="s">
        <v>22</v>
      </c>
      <c r="S7" t="s">
        <v>23</v>
      </c>
      <c r="T7" t="s">
        <v>24</v>
      </c>
      <c r="U7" t="s">
        <v>25</v>
      </c>
      <c r="V7" t="s">
        <v>26</v>
      </c>
      <c r="W7" t="s">
        <v>27</v>
      </c>
      <c r="X7" t="s">
        <v>28</v>
      </c>
      <c r="Y7" t="s">
        <v>29</v>
      </c>
      <c r="Z7" t="s">
        <v>30</v>
      </c>
      <c r="AA7" t="s">
        <v>31</v>
      </c>
      <c r="AB7" t="s">
        <v>32</v>
      </c>
      <c r="AC7" t="s">
        <v>33</v>
      </c>
    </row>
    <row r="8" spans="1:29" ht="12.75">
      <c r="A8" s="3" t="s">
        <v>38</v>
      </c>
      <c r="B8" t="s">
        <v>6</v>
      </c>
      <c r="C8" t="s">
        <v>7</v>
      </c>
      <c r="D8" t="s">
        <v>8</v>
      </c>
      <c r="E8" t="s">
        <v>9</v>
      </c>
      <c r="F8" t="s">
        <v>10</v>
      </c>
      <c r="G8" t="s">
        <v>11</v>
      </c>
      <c r="H8" t="s">
        <v>12</v>
      </c>
      <c r="I8" t="s">
        <v>13</v>
      </c>
      <c r="J8" t="s">
        <v>14</v>
      </c>
      <c r="K8" t="s">
        <v>15</v>
      </c>
      <c r="L8" t="s">
        <v>16</v>
      </c>
      <c r="M8" t="s">
        <v>17</v>
      </c>
      <c r="N8" t="s">
        <v>18</v>
      </c>
      <c r="O8" t="s">
        <v>19</v>
      </c>
      <c r="P8" t="s">
        <v>20</v>
      </c>
      <c r="Q8" t="s">
        <v>21</v>
      </c>
      <c r="R8" t="s">
        <v>22</v>
      </c>
      <c r="S8" t="s">
        <v>23</v>
      </c>
      <c r="T8" t="s">
        <v>24</v>
      </c>
      <c r="U8" t="s">
        <v>25</v>
      </c>
      <c r="V8" t="s">
        <v>26</v>
      </c>
      <c r="W8" t="s">
        <v>27</v>
      </c>
      <c r="X8" t="s">
        <v>28</v>
      </c>
      <c r="Y8" t="s">
        <v>29</v>
      </c>
      <c r="Z8" t="s">
        <v>30</v>
      </c>
      <c r="AA8" t="s">
        <v>31</v>
      </c>
      <c r="AB8" t="s">
        <v>32</v>
      </c>
      <c r="AC8" t="s">
        <v>33</v>
      </c>
    </row>
    <row r="9" spans="1:29" ht="12.75">
      <c r="A9" s="3" t="s">
        <v>39</v>
      </c>
      <c r="B9" t="s">
        <v>6</v>
      </c>
      <c r="C9" t="s">
        <v>7</v>
      </c>
      <c r="D9" t="s">
        <v>8</v>
      </c>
      <c r="E9" t="s">
        <v>9</v>
      </c>
      <c r="F9" t="s">
        <v>10</v>
      </c>
      <c r="G9" t="s">
        <v>11</v>
      </c>
      <c r="H9" t="s">
        <v>12</v>
      </c>
      <c r="I9" t="s">
        <v>13</v>
      </c>
      <c r="J9" t="s">
        <v>14</v>
      </c>
      <c r="K9" t="s">
        <v>15</v>
      </c>
      <c r="L9" t="s">
        <v>16</v>
      </c>
      <c r="M9" t="s">
        <v>17</v>
      </c>
      <c r="N9" t="s">
        <v>18</v>
      </c>
      <c r="O9" t="s">
        <v>19</v>
      </c>
      <c r="P9" t="s">
        <v>20</v>
      </c>
      <c r="Q9" t="s">
        <v>21</v>
      </c>
      <c r="R9" t="s">
        <v>22</v>
      </c>
      <c r="S9" t="s">
        <v>23</v>
      </c>
      <c r="T9" t="s">
        <v>24</v>
      </c>
      <c r="U9" t="s">
        <v>25</v>
      </c>
      <c r="V9" t="s">
        <v>26</v>
      </c>
      <c r="W9" t="s">
        <v>27</v>
      </c>
      <c r="X9" t="s">
        <v>28</v>
      </c>
      <c r="Y9" t="s">
        <v>29</v>
      </c>
      <c r="Z9" t="s">
        <v>30</v>
      </c>
      <c r="AA9" t="s">
        <v>31</v>
      </c>
      <c r="AB9" t="s">
        <v>32</v>
      </c>
      <c r="AC9" t="s">
        <v>33</v>
      </c>
    </row>
    <row r="10" spans="1:29" ht="12.75">
      <c r="A10" s="3" t="s">
        <v>40</v>
      </c>
      <c r="B10" t="s">
        <v>6</v>
      </c>
      <c r="C10" t="s">
        <v>7</v>
      </c>
      <c r="D10" t="s">
        <v>8</v>
      </c>
      <c r="E10" t="s">
        <v>9</v>
      </c>
      <c r="F10" t="s">
        <v>10</v>
      </c>
      <c r="G10" t="s">
        <v>11</v>
      </c>
      <c r="H10" t="s">
        <v>12</v>
      </c>
      <c r="I10" t="s">
        <v>13</v>
      </c>
      <c r="J10" t="s">
        <v>14</v>
      </c>
      <c r="K10" t="s">
        <v>15</v>
      </c>
      <c r="L10" t="s">
        <v>16</v>
      </c>
      <c r="M10" t="s">
        <v>17</v>
      </c>
      <c r="N10" t="s">
        <v>18</v>
      </c>
      <c r="O10" t="s">
        <v>19</v>
      </c>
      <c r="P10" t="s">
        <v>20</v>
      </c>
      <c r="Q10" t="s">
        <v>21</v>
      </c>
      <c r="R10" t="s">
        <v>22</v>
      </c>
      <c r="S10" t="s">
        <v>23</v>
      </c>
      <c r="T10" t="s">
        <v>24</v>
      </c>
      <c r="U10" t="s">
        <v>25</v>
      </c>
      <c r="V10" t="s">
        <v>26</v>
      </c>
      <c r="W10" t="s">
        <v>27</v>
      </c>
      <c r="X10" t="s">
        <v>28</v>
      </c>
      <c r="Y10" t="s">
        <v>29</v>
      </c>
      <c r="Z10" t="s">
        <v>30</v>
      </c>
      <c r="AA10" t="s">
        <v>31</v>
      </c>
      <c r="AB10" t="s">
        <v>32</v>
      </c>
      <c r="AC10" t="s">
        <v>33</v>
      </c>
    </row>
    <row r="11" spans="1:29" ht="12.75">
      <c r="A11" s="3" t="s">
        <v>41</v>
      </c>
      <c r="B11" t="s">
        <v>6</v>
      </c>
      <c r="C11" t="s">
        <v>7</v>
      </c>
      <c r="D11" t="s">
        <v>8</v>
      </c>
      <c r="E11" t="s">
        <v>9</v>
      </c>
      <c r="F11" t="s">
        <v>10</v>
      </c>
      <c r="G11" t="s">
        <v>11</v>
      </c>
      <c r="H11" t="s">
        <v>12</v>
      </c>
      <c r="I11" t="s">
        <v>13</v>
      </c>
      <c r="J11" t="s">
        <v>14</v>
      </c>
      <c r="K11" t="s">
        <v>15</v>
      </c>
      <c r="L11" t="s">
        <v>16</v>
      </c>
      <c r="M11" t="s">
        <v>17</v>
      </c>
      <c r="N11" t="s">
        <v>18</v>
      </c>
      <c r="O11" t="s">
        <v>19</v>
      </c>
      <c r="P11" t="s">
        <v>20</v>
      </c>
      <c r="Q11" t="s">
        <v>21</v>
      </c>
      <c r="R11" t="s">
        <v>22</v>
      </c>
      <c r="S11" t="s">
        <v>23</v>
      </c>
      <c r="T11" t="s">
        <v>24</v>
      </c>
      <c r="U11" t="s">
        <v>25</v>
      </c>
      <c r="V11" t="s">
        <v>26</v>
      </c>
      <c r="W11" t="s">
        <v>27</v>
      </c>
      <c r="X11" t="s">
        <v>28</v>
      </c>
      <c r="Y11" t="s">
        <v>29</v>
      </c>
      <c r="Z11" t="s">
        <v>30</v>
      </c>
      <c r="AA11" t="s">
        <v>31</v>
      </c>
      <c r="AB11" t="s">
        <v>32</v>
      </c>
      <c r="AC11" t="s">
        <v>33</v>
      </c>
    </row>
    <row r="12" spans="1:29" ht="12.75">
      <c r="A12" s="3" t="s">
        <v>42</v>
      </c>
      <c r="B12" t="s">
        <v>6</v>
      </c>
      <c r="C12" t="s">
        <v>7</v>
      </c>
      <c r="D12" t="s">
        <v>8</v>
      </c>
      <c r="E12" t="s">
        <v>9</v>
      </c>
      <c r="F12" t="s">
        <v>10</v>
      </c>
      <c r="G12" t="s">
        <v>11</v>
      </c>
      <c r="H12" t="s">
        <v>12</v>
      </c>
      <c r="I12" t="s">
        <v>13</v>
      </c>
      <c r="J12" t="s">
        <v>14</v>
      </c>
      <c r="K12" t="s">
        <v>15</v>
      </c>
      <c r="L12" t="s">
        <v>16</v>
      </c>
      <c r="M12" t="s">
        <v>17</v>
      </c>
      <c r="N12" t="s">
        <v>18</v>
      </c>
      <c r="O12" t="s">
        <v>19</v>
      </c>
      <c r="P12" t="s">
        <v>20</v>
      </c>
      <c r="Q12" t="s">
        <v>21</v>
      </c>
      <c r="R12" t="s">
        <v>22</v>
      </c>
      <c r="S12" t="s">
        <v>23</v>
      </c>
      <c r="T12" t="s">
        <v>24</v>
      </c>
      <c r="U12" t="s">
        <v>25</v>
      </c>
      <c r="V12" t="s">
        <v>26</v>
      </c>
      <c r="W12" t="s">
        <v>27</v>
      </c>
      <c r="X12" t="s">
        <v>28</v>
      </c>
      <c r="Y12" t="s">
        <v>29</v>
      </c>
      <c r="Z12" t="s">
        <v>30</v>
      </c>
      <c r="AA12" t="s">
        <v>31</v>
      </c>
      <c r="AB12" t="s">
        <v>32</v>
      </c>
      <c r="AC12" t="s">
        <v>33</v>
      </c>
    </row>
    <row r="13" spans="1:29" ht="12.75">
      <c r="A13" s="3" t="s">
        <v>43</v>
      </c>
      <c r="B13" t="s">
        <v>6</v>
      </c>
      <c r="C13" t="s">
        <v>7</v>
      </c>
      <c r="D13" t="s">
        <v>8</v>
      </c>
      <c r="E13" t="s">
        <v>9</v>
      </c>
      <c r="F13" t="s">
        <v>10</v>
      </c>
      <c r="G13" t="s">
        <v>11</v>
      </c>
      <c r="H13" t="s">
        <v>12</v>
      </c>
      <c r="I13" t="s">
        <v>13</v>
      </c>
      <c r="J13" t="s">
        <v>14</v>
      </c>
      <c r="K13" t="s">
        <v>15</v>
      </c>
      <c r="L13" t="s">
        <v>16</v>
      </c>
      <c r="M13" t="s">
        <v>17</v>
      </c>
      <c r="N13" t="s">
        <v>18</v>
      </c>
      <c r="O13" t="s">
        <v>19</v>
      </c>
      <c r="P13" t="s">
        <v>20</v>
      </c>
      <c r="Q13" t="s">
        <v>21</v>
      </c>
      <c r="R13" t="s">
        <v>22</v>
      </c>
      <c r="S13" t="s">
        <v>23</v>
      </c>
      <c r="T13" t="s">
        <v>24</v>
      </c>
      <c r="U13" t="s">
        <v>25</v>
      </c>
      <c r="V13" t="s">
        <v>26</v>
      </c>
      <c r="W13" t="s">
        <v>27</v>
      </c>
      <c r="X13" t="s">
        <v>28</v>
      </c>
      <c r="Y13" t="s">
        <v>29</v>
      </c>
      <c r="Z13" t="s">
        <v>30</v>
      </c>
      <c r="AA13" t="s">
        <v>31</v>
      </c>
      <c r="AB13" t="s">
        <v>32</v>
      </c>
      <c r="AC13" t="s">
        <v>33</v>
      </c>
    </row>
    <row r="14" spans="1:29" ht="12.75">
      <c r="A14" s="3" t="s">
        <v>44</v>
      </c>
      <c r="B14" t="s">
        <v>6</v>
      </c>
      <c r="C14" t="s">
        <v>7</v>
      </c>
      <c r="D14" t="s">
        <v>8</v>
      </c>
      <c r="E14" t="s">
        <v>9</v>
      </c>
      <c r="F14" t="s">
        <v>10</v>
      </c>
      <c r="G14" t="s">
        <v>11</v>
      </c>
      <c r="H14" t="s">
        <v>12</v>
      </c>
      <c r="I14" t="s">
        <v>13</v>
      </c>
      <c r="J14" t="s">
        <v>14</v>
      </c>
      <c r="K14" t="s">
        <v>15</v>
      </c>
      <c r="L14" t="s">
        <v>16</v>
      </c>
      <c r="M14" t="s">
        <v>17</v>
      </c>
      <c r="N14" t="s">
        <v>18</v>
      </c>
      <c r="O14" t="s">
        <v>19</v>
      </c>
      <c r="P14" t="s">
        <v>20</v>
      </c>
      <c r="Q14" t="s">
        <v>21</v>
      </c>
      <c r="R14" t="s">
        <v>22</v>
      </c>
      <c r="S14" t="s">
        <v>23</v>
      </c>
      <c r="T14" t="s">
        <v>24</v>
      </c>
      <c r="U14" t="s">
        <v>25</v>
      </c>
      <c r="V14" t="s">
        <v>26</v>
      </c>
      <c r="W14" t="s">
        <v>27</v>
      </c>
      <c r="X14" t="s">
        <v>28</v>
      </c>
      <c r="Y14" t="s">
        <v>29</v>
      </c>
      <c r="Z14" t="s">
        <v>30</v>
      </c>
      <c r="AA14" t="s">
        <v>31</v>
      </c>
      <c r="AB14" t="s">
        <v>32</v>
      </c>
      <c r="AC14" t="s">
        <v>33</v>
      </c>
    </row>
    <row r="15" spans="1:29" ht="12.75">
      <c r="A15" s="3" t="s">
        <v>45</v>
      </c>
      <c r="B15" t="s">
        <v>6</v>
      </c>
      <c r="C15" t="s">
        <v>7</v>
      </c>
      <c r="D15" t="s">
        <v>8</v>
      </c>
      <c r="E15" t="s">
        <v>9</v>
      </c>
      <c r="F15" t="s">
        <v>10</v>
      </c>
      <c r="G15" t="s">
        <v>11</v>
      </c>
      <c r="H15" t="s">
        <v>12</v>
      </c>
      <c r="I15" t="s">
        <v>13</v>
      </c>
      <c r="J15" t="s">
        <v>14</v>
      </c>
      <c r="K15" t="s">
        <v>15</v>
      </c>
      <c r="L15" t="s">
        <v>16</v>
      </c>
      <c r="M15" t="s">
        <v>17</v>
      </c>
      <c r="N15" t="s">
        <v>18</v>
      </c>
      <c r="O15" t="s">
        <v>19</v>
      </c>
      <c r="P15" t="s">
        <v>20</v>
      </c>
      <c r="Q15" t="s">
        <v>21</v>
      </c>
      <c r="R15" t="s">
        <v>22</v>
      </c>
      <c r="S15" t="s">
        <v>23</v>
      </c>
      <c r="T15" t="s">
        <v>24</v>
      </c>
      <c r="U15" t="s">
        <v>25</v>
      </c>
      <c r="V15" t="s">
        <v>26</v>
      </c>
      <c r="W15" t="s">
        <v>27</v>
      </c>
      <c r="X15" t="s">
        <v>28</v>
      </c>
      <c r="Y15" t="s">
        <v>29</v>
      </c>
      <c r="Z15" t="s">
        <v>30</v>
      </c>
      <c r="AA15" t="s">
        <v>31</v>
      </c>
      <c r="AB15" t="s">
        <v>32</v>
      </c>
      <c r="AC15" t="s">
        <v>33</v>
      </c>
    </row>
    <row r="16" spans="1:29" ht="12.75">
      <c r="A16" s="3" t="s">
        <v>46</v>
      </c>
      <c r="B16" t="s">
        <v>6</v>
      </c>
      <c r="C16" t="s">
        <v>7</v>
      </c>
      <c r="D16" t="s">
        <v>8</v>
      </c>
      <c r="E16" t="s">
        <v>9</v>
      </c>
      <c r="F16" t="s">
        <v>10</v>
      </c>
      <c r="G16" t="s">
        <v>11</v>
      </c>
      <c r="H16" t="s">
        <v>12</v>
      </c>
      <c r="I16" t="s">
        <v>13</v>
      </c>
      <c r="J16" t="s">
        <v>14</v>
      </c>
      <c r="K16" t="s">
        <v>15</v>
      </c>
      <c r="L16" t="s">
        <v>16</v>
      </c>
      <c r="M16" t="s">
        <v>17</v>
      </c>
      <c r="N16" t="s">
        <v>18</v>
      </c>
      <c r="O16" t="s">
        <v>19</v>
      </c>
      <c r="P16" t="s">
        <v>20</v>
      </c>
      <c r="Q16" t="s">
        <v>21</v>
      </c>
      <c r="R16" t="s">
        <v>22</v>
      </c>
      <c r="S16" t="s">
        <v>23</v>
      </c>
      <c r="T16" t="s">
        <v>24</v>
      </c>
      <c r="U16" t="s">
        <v>25</v>
      </c>
      <c r="V16" t="s">
        <v>26</v>
      </c>
      <c r="W16" t="s">
        <v>27</v>
      </c>
      <c r="X16" t="s">
        <v>28</v>
      </c>
      <c r="Y16" t="s">
        <v>29</v>
      </c>
      <c r="Z16" t="s">
        <v>30</v>
      </c>
      <c r="AA16" t="s">
        <v>31</v>
      </c>
      <c r="AB16" t="s">
        <v>32</v>
      </c>
      <c r="AC16" t="s">
        <v>33</v>
      </c>
    </row>
    <row r="17" spans="1:29" ht="12.75">
      <c r="A17" s="3" t="s">
        <v>47</v>
      </c>
      <c r="B17" t="s">
        <v>6</v>
      </c>
      <c r="C17" t="s">
        <v>7</v>
      </c>
      <c r="D17" t="s">
        <v>8</v>
      </c>
      <c r="E17" t="s">
        <v>9</v>
      </c>
      <c r="F17" t="s">
        <v>10</v>
      </c>
      <c r="G17" t="s">
        <v>11</v>
      </c>
      <c r="H17" t="s">
        <v>12</v>
      </c>
      <c r="I17" t="s">
        <v>13</v>
      </c>
      <c r="J17" t="s">
        <v>14</v>
      </c>
      <c r="K17" t="s">
        <v>15</v>
      </c>
      <c r="L17" t="s">
        <v>16</v>
      </c>
      <c r="M17" t="s">
        <v>17</v>
      </c>
      <c r="N17" t="s">
        <v>18</v>
      </c>
      <c r="O17" t="s">
        <v>19</v>
      </c>
      <c r="P17" t="s">
        <v>20</v>
      </c>
      <c r="Q17" t="s">
        <v>21</v>
      </c>
      <c r="R17" t="s">
        <v>22</v>
      </c>
      <c r="S17" t="s">
        <v>23</v>
      </c>
      <c r="T17" t="s">
        <v>24</v>
      </c>
      <c r="U17" t="s">
        <v>25</v>
      </c>
      <c r="V17" t="s">
        <v>26</v>
      </c>
      <c r="W17" t="s">
        <v>27</v>
      </c>
      <c r="X17" t="s">
        <v>28</v>
      </c>
      <c r="Y17" t="s">
        <v>29</v>
      </c>
      <c r="Z17" t="s">
        <v>30</v>
      </c>
      <c r="AA17" t="s">
        <v>31</v>
      </c>
      <c r="AB17" t="s">
        <v>32</v>
      </c>
      <c r="AC17" t="s">
        <v>33</v>
      </c>
    </row>
  </sheetData>
  <printOptions gridLines="1" headings="1"/>
  <pageMargins left="0.75" right="0.25" top="1" bottom="1.4" header="0.5" footer="0.5"/>
  <pageSetup horizontalDpi="600" verticalDpi="600" orientation="landscape" pageOrder="overThenDown" scale="94" r:id="rId3"/>
  <headerFooter alignWithMargins="0">
    <oddHeader>&amp;L&amp;F&amp;C&amp;A&amp;RPage &amp;P</oddHeader>
  </headerFooter>
  <colBreaks count="1" manualBreakCount="1">
    <brk id="14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C55"/>
  <sheetViews>
    <sheetView workbookViewId="0" topLeftCell="B32">
      <selection activeCell="Q60" sqref="Q60"/>
    </sheetView>
  </sheetViews>
  <sheetFormatPr defaultColWidth="9.140625" defaultRowHeight="12.75"/>
  <cols>
    <col min="2" max="5" width="10.421875" style="0" bestFit="1" customWidth="1"/>
    <col min="6" max="6" width="10.140625" style="0" bestFit="1" customWidth="1"/>
    <col min="7" max="8" width="10.421875" style="0" bestFit="1" customWidth="1"/>
    <col min="9" max="9" width="9.8515625" style="0" bestFit="1" customWidth="1"/>
    <col min="10" max="10" width="9.421875" style="0" bestFit="1" customWidth="1"/>
    <col min="11" max="11" width="10.421875" style="0" bestFit="1" customWidth="1"/>
    <col min="12" max="12" width="8.57421875" style="0" hidden="1" customWidth="1"/>
    <col min="13" max="13" width="9.7109375" style="0" bestFit="1" customWidth="1"/>
    <col min="14" max="14" width="8.57421875" style="0" hidden="1" customWidth="1"/>
    <col min="15" max="15" width="8.7109375" style="0" bestFit="1" customWidth="1"/>
    <col min="16" max="16" width="8.57421875" style="0" hidden="1" customWidth="1"/>
    <col min="17" max="17" width="9.8515625" style="0" bestFit="1" customWidth="1"/>
    <col min="18" max="18" width="10.421875" style="0" bestFit="1" customWidth="1"/>
    <col min="19" max="19" width="10.57421875" style="0" bestFit="1" customWidth="1"/>
    <col min="20" max="20" width="10.421875" style="0" bestFit="1" customWidth="1"/>
    <col min="21" max="21" width="9.7109375" style="0" bestFit="1" customWidth="1"/>
    <col min="22" max="22" width="10.421875" style="0" bestFit="1" customWidth="1"/>
    <col min="23" max="23" width="8.7109375" style="0" bestFit="1" customWidth="1"/>
    <col min="24" max="25" width="10.421875" style="0" bestFit="1" customWidth="1"/>
    <col min="26" max="26" width="9.8515625" style="0" bestFit="1" customWidth="1"/>
    <col min="27" max="27" width="10.421875" style="0" bestFit="1" customWidth="1"/>
    <col min="28" max="28" width="9.421875" style="0" bestFit="1" customWidth="1"/>
    <col min="29" max="29" width="10.421875" style="0" bestFit="1" customWidth="1"/>
  </cols>
  <sheetData>
    <row r="1" spans="1:2" ht="12.75">
      <c r="A1" t="s">
        <v>56</v>
      </c>
      <c r="B1" t="s">
        <v>57</v>
      </c>
    </row>
    <row r="2" ht="12.75">
      <c r="A2" s="274" t="s">
        <v>510</v>
      </c>
    </row>
    <row r="3" ht="12.75">
      <c r="A3" s="274" t="s">
        <v>511</v>
      </c>
    </row>
    <row r="4" ht="12.75">
      <c r="A4" s="274" t="s">
        <v>512</v>
      </c>
    </row>
    <row r="5" ht="12.75">
      <c r="A5" s="274" t="s">
        <v>513</v>
      </c>
    </row>
    <row r="6" ht="12.75">
      <c r="A6" s="274" t="s">
        <v>502</v>
      </c>
    </row>
    <row r="7" ht="12.75">
      <c r="A7" s="274" t="s">
        <v>503</v>
      </c>
    </row>
    <row r="8" ht="12.75">
      <c r="A8" s="274" t="s">
        <v>181</v>
      </c>
    </row>
    <row r="9" ht="12.75">
      <c r="A9" s="274" t="s">
        <v>514</v>
      </c>
    </row>
    <row r="10" ht="12.75">
      <c r="A10" s="274" t="s">
        <v>515</v>
      </c>
    </row>
    <row r="11" ht="12.75">
      <c r="A11" s="274" t="s">
        <v>516</v>
      </c>
    </row>
    <row r="12" ht="12.75">
      <c r="A12" s="274" t="s">
        <v>517</v>
      </c>
    </row>
    <row r="13" ht="12.75">
      <c r="A13" s="274" t="s">
        <v>504</v>
      </c>
    </row>
    <row r="14" ht="12.75">
      <c r="A14" s="274" t="s">
        <v>182</v>
      </c>
    </row>
    <row r="15" ht="12.75">
      <c r="A15" s="274" t="s">
        <v>183</v>
      </c>
    </row>
    <row r="16" ht="12.75">
      <c r="A16" s="274" t="s">
        <v>184</v>
      </c>
    </row>
    <row r="17" ht="12.75">
      <c r="A17" s="274" t="s">
        <v>185</v>
      </c>
    </row>
    <row r="18" ht="12.75">
      <c r="A18" s="274" t="s">
        <v>505</v>
      </c>
    </row>
    <row r="19" ht="12.75">
      <c r="A19" s="274" t="s">
        <v>518</v>
      </c>
    </row>
    <row r="20" ht="12.75">
      <c r="A20" s="274" t="s">
        <v>519</v>
      </c>
    </row>
    <row r="21" ht="12.75">
      <c r="A21" s="274" t="s">
        <v>520</v>
      </c>
    </row>
    <row r="22" spans="1:5" ht="12.75">
      <c r="A22" s="320" t="s">
        <v>556</v>
      </c>
      <c r="B22" s="321"/>
      <c r="C22" s="321"/>
      <c r="D22" s="321"/>
      <c r="E22" s="321"/>
    </row>
    <row r="23" ht="12.75">
      <c r="A23" s="274" t="s">
        <v>186</v>
      </c>
    </row>
    <row r="24" ht="12.75">
      <c r="A24" s="274" t="s">
        <v>187</v>
      </c>
    </row>
    <row r="25" ht="12.75">
      <c r="A25" s="274" t="s">
        <v>188</v>
      </c>
    </row>
    <row r="26" ht="12.75">
      <c r="A26" s="274"/>
    </row>
    <row r="27" ht="12.75">
      <c r="A27" s="274" t="s">
        <v>58</v>
      </c>
    </row>
    <row r="28" ht="12.75">
      <c r="A28" s="274" t="s">
        <v>58</v>
      </c>
    </row>
    <row r="29" ht="12.75">
      <c r="A29" s="274" t="s">
        <v>58</v>
      </c>
    </row>
    <row r="30" ht="12.75">
      <c r="A30" s="274"/>
    </row>
    <row r="31" ht="12.75">
      <c r="A31" s="274"/>
    </row>
    <row r="32" ht="12.75">
      <c r="A32" s="274"/>
    </row>
    <row r="33" ht="12.75">
      <c r="A33" s="274"/>
    </row>
    <row r="34" ht="12.75">
      <c r="A34" s="274"/>
    </row>
    <row r="35" ht="12.75">
      <c r="A35" s="274"/>
    </row>
    <row r="36" ht="12.75">
      <c r="A36" s="274"/>
    </row>
    <row r="38" spans="1:2" ht="12.75">
      <c r="A38" t="s">
        <v>59</v>
      </c>
      <c r="B38" t="s">
        <v>506</v>
      </c>
    </row>
    <row r="39" spans="1:29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2.75">
      <c r="A40" s="276" t="s">
        <v>60</v>
      </c>
      <c r="B40" s="276" t="s">
        <v>6</v>
      </c>
      <c r="C40" s="276" t="s">
        <v>61</v>
      </c>
      <c r="D40" s="276" t="s">
        <v>62</v>
      </c>
      <c r="E40" s="276" t="s">
        <v>9</v>
      </c>
      <c r="F40" s="276" t="s">
        <v>63</v>
      </c>
      <c r="G40" s="276" t="s">
        <v>64</v>
      </c>
      <c r="H40" s="276" t="s">
        <v>65</v>
      </c>
      <c r="I40" s="276" t="s">
        <v>66</v>
      </c>
      <c r="J40" s="276" t="s">
        <v>14</v>
      </c>
      <c r="K40" s="276" t="s">
        <v>67</v>
      </c>
      <c r="L40" s="276" t="s">
        <v>68</v>
      </c>
      <c r="M40" s="276" t="s">
        <v>69</v>
      </c>
      <c r="N40" s="276" t="s">
        <v>70</v>
      </c>
      <c r="O40" s="276" t="s">
        <v>71</v>
      </c>
      <c r="P40" s="276" t="s">
        <v>72</v>
      </c>
      <c r="Q40" s="276" t="s">
        <v>73</v>
      </c>
      <c r="R40" s="276" t="s">
        <v>74</v>
      </c>
      <c r="S40" s="276" t="s">
        <v>75</v>
      </c>
      <c r="T40" s="276" t="s">
        <v>76</v>
      </c>
      <c r="U40" s="276" t="s">
        <v>77</v>
      </c>
      <c r="V40" s="276" t="s">
        <v>78</v>
      </c>
      <c r="W40" s="276" t="s">
        <v>79</v>
      </c>
      <c r="X40" s="276" t="s">
        <v>80</v>
      </c>
      <c r="Y40" s="276" t="s">
        <v>81</v>
      </c>
      <c r="Z40" s="276" t="s">
        <v>82</v>
      </c>
      <c r="AA40" s="276" t="s">
        <v>83</v>
      </c>
      <c r="AB40" s="276" t="s">
        <v>84</v>
      </c>
      <c r="AC40" s="276" t="s">
        <v>85</v>
      </c>
    </row>
    <row r="41" spans="1:29" ht="12.75">
      <c r="A41" s="5" t="s">
        <v>86</v>
      </c>
      <c r="B41" s="8">
        <v>0</v>
      </c>
      <c r="C41" s="8">
        <v>0.0918352405</v>
      </c>
      <c r="D41" s="8">
        <v>0.0314229676</v>
      </c>
      <c r="E41" s="8">
        <v>0.0175477115</v>
      </c>
      <c r="F41" s="8">
        <v>0.0606351295</v>
      </c>
      <c r="G41" s="8">
        <v>0</v>
      </c>
      <c r="H41" s="8">
        <v>0</v>
      </c>
      <c r="I41" s="8">
        <v>0.0200099167</v>
      </c>
      <c r="J41" s="8">
        <v>0.0172594504</v>
      </c>
      <c r="K41" s="8">
        <v>0</v>
      </c>
      <c r="L41" s="8">
        <v>0</v>
      </c>
      <c r="M41" s="8">
        <v>0.1580294862</v>
      </c>
      <c r="N41" s="8">
        <v>0</v>
      </c>
      <c r="O41" s="8">
        <v>0.1771593013</v>
      </c>
      <c r="P41" s="8">
        <v>0</v>
      </c>
      <c r="Q41" s="8">
        <v>0.0354501515</v>
      </c>
      <c r="R41" s="8">
        <v>0.0064364652</v>
      </c>
      <c r="S41" s="8">
        <v>0.0048826016</v>
      </c>
      <c r="T41" s="8">
        <v>0</v>
      </c>
      <c r="U41" s="8">
        <v>0.0019519001</v>
      </c>
      <c r="V41" s="8">
        <v>0.0003326277</v>
      </c>
      <c r="W41" s="8">
        <v>0.011109885</v>
      </c>
      <c r="X41" s="8">
        <v>0.0822028887</v>
      </c>
      <c r="Y41" s="8">
        <v>0.0063377718</v>
      </c>
      <c r="Z41" s="8">
        <v>0.0018292357</v>
      </c>
      <c r="AA41" s="8">
        <v>4.43648E-05</v>
      </c>
      <c r="AB41" s="8">
        <v>0.017730204</v>
      </c>
      <c r="AC41" s="8">
        <v>0.01057</v>
      </c>
    </row>
    <row r="42" spans="1:29" ht="12.75">
      <c r="A42" s="5" t="s">
        <v>87</v>
      </c>
      <c r="B42" s="8">
        <v>0.0291469375</v>
      </c>
      <c r="C42" s="8">
        <v>0.0695356636</v>
      </c>
      <c r="D42" s="8">
        <v>0.0237927934</v>
      </c>
      <c r="E42" s="8">
        <v>0.0175477115</v>
      </c>
      <c r="F42" s="8">
        <v>0.0606351295</v>
      </c>
      <c r="G42" s="8">
        <v>0</v>
      </c>
      <c r="H42" s="8">
        <v>0</v>
      </c>
      <c r="I42" s="8">
        <v>0.0200099167</v>
      </c>
      <c r="J42" s="8">
        <v>0.0172594504</v>
      </c>
      <c r="K42" s="8">
        <v>0</v>
      </c>
      <c r="L42" s="8">
        <v>0</v>
      </c>
      <c r="M42" s="8">
        <v>0.1580294862</v>
      </c>
      <c r="N42" s="8">
        <v>0</v>
      </c>
      <c r="O42" s="8">
        <v>0.1771593013</v>
      </c>
      <c r="P42" s="8">
        <v>0</v>
      </c>
      <c r="Q42" s="8">
        <v>0.0354501515</v>
      </c>
      <c r="R42" s="8">
        <v>0.0064364652</v>
      </c>
      <c r="S42" s="8">
        <v>0.0048826016</v>
      </c>
      <c r="T42" s="8">
        <v>0</v>
      </c>
      <c r="U42" s="8">
        <v>0.0019519001</v>
      </c>
      <c r="V42" s="8">
        <v>0.0003326277</v>
      </c>
      <c r="W42" s="8">
        <v>0.011109885</v>
      </c>
      <c r="X42" s="8">
        <v>0.0822028887</v>
      </c>
      <c r="Y42" s="8">
        <v>0.0063377718</v>
      </c>
      <c r="Z42" s="8">
        <v>0.0018292357</v>
      </c>
      <c r="AA42" s="8">
        <v>4.43648E-05</v>
      </c>
      <c r="AB42" s="8">
        <v>0.017730204</v>
      </c>
      <c r="AC42" s="8">
        <v>0.01057</v>
      </c>
    </row>
    <row r="43" spans="1:29" ht="12.75">
      <c r="A43" s="5" t="s">
        <v>88</v>
      </c>
      <c r="B43" s="8">
        <v>0.1476733866</v>
      </c>
      <c r="C43" s="8">
        <v>0.0432933661</v>
      </c>
      <c r="D43" s="8">
        <v>0.0148135512</v>
      </c>
      <c r="E43" s="8">
        <v>0.0209887178</v>
      </c>
      <c r="F43" s="8">
        <v>0.0606351295</v>
      </c>
      <c r="G43" s="8">
        <v>0.1018384233</v>
      </c>
      <c r="H43" s="8">
        <v>0.0038462715</v>
      </c>
      <c r="I43" s="8">
        <v>0.0200099167</v>
      </c>
      <c r="J43" s="8">
        <v>0.0172594504</v>
      </c>
      <c r="K43" s="8">
        <v>0</v>
      </c>
      <c r="L43" s="8">
        <v>0</v>
      </c>
      <c r="M43" s="8">
        <v>0.1580294862</v>
      </c>
      <c r="N43" s="8">
        <v>0</v>
      </c>
      <c r="O43" s="8">
        <v>0.1771593013</v>
      </c>
      <c r="P43" s="8">
        <v>0</v>
      </c>
      <c r="Q43" s="8">
        <v>0.0354501515</v>
      </c>
      <c r="R43" s="8">
        <v>0.0064364652</v>
      </c>
      <c r="S43" s="8">
        <v>0.0048826016</v>
      </c>
      <c r="T43" s="8">
        <v>0</v>
      </c>
      <c r="U43" s="8">
        <v>0.0019519001</v>
      </c>
      <c r="V43" s="8">
        <v>0.0003326277</v>
      </c>
      <c r="W43" s="8">
        <v>0.011109885</v>
      </c>
      <c r="X43" s="8">
        <v>0.0822028887</v>
      </c>
      <c r="Y43" s="8">
        <v>0.0063377718</v>
      </c>
      <c r="Z43" s="8">
        <v>0.0018292357</v>
      </c>
      <c r="AA43" s="8">
        <v>4.43648E-05</v>
      </c>
      <c r="AB43" s="8">
        <v>0.017730204</v>
      </c>
      <c r="AC43" s="8">
        <v>0.01057</v>
      </c>
    </row>
    <row r="44" spans="1:29" ht="12.75">
      <c r="A44" s="5" t="s">
        <v>89</v>
      </c>
      <c r="B44" s="8">
        <v>0.1079156495</v>
      </c>
      <c r="C44" s="8">
        <v>0.0436292497</v>
      </c>
      <c r="D44" s="8">
        <v>0.0149284794</v>
      </c>
      <c r="E44" s="8">
        <v>0.0084425006</v>
      </c>
      <c r="F44" s="8">
        <v>0.0606351295</v>
      </c>
      <c r="G44" s="8">
        <v>0.1018384233</v>
      </c>
      <c r="H44" s="8">
        <v>0.0038462715</v>
      </c>
      <c r="I44" s="8">
        <v>0.0200099167</v>
      </c>
      <c r="J44" s="8">
        <v>0.0172594504</v>
      </c>
      <c r="K44" s="8">
        <v>0</v>
      </c>
      <c r="L44" s="8">
        <v>0</v>
      </c>
      <c r="M44" s="8">
        <v>0.1580294862</v>
      </c>
      <c r="N44" s="8">
        <v>0</v>
      </c>
      <c r="O44" s="8">
        <v>0.1771593013</v>
      </c>
      <c r="P44" s="8">
        <v>0</v>
      </c>
      <c r="Q44" s="8">
        <v>0.0354501515</v>
      </c>
      <c r="R44" s="8">
        <v>0.0064364652</v>
      </c>
      <c r="S44" s="8">
        <v>0.0048826016</v>
      </c>
      <c r="T44" s="8">
        <v>0</v>
      </c>
      <c r="U44" s="8">
        <v>0.0019519001</v>
      </c>
      <c r="V44" s="8">
        <v>0.0003326277</v>
      </c>
      <c r="W44" s="8">
        <v>0.011109885</v>
      </c>
      <c r="X44" s="8">
        <v>0.0822028887</v>
      </c>
      <c r="Y44" s="8">
        <v>0.0063377718</v>
      </c>
      <c r="Z44" s="8">
        <v>0.0018292357</v>
      </c>
      <c r="AA44" s="8">
        <v>4.43648E-05</v>
      </c>
      <c r="AB44" s="8">
        <v>0.017730204</v>
      </c>
      <c r="AC44" s="8">
        <v>0.01057</v>
      </c>
    </row>
    <row r="45" spans="1:29" ht="12.75">
      <c r="A45" s="5" t="s">
        <v>54</v>
      </c>
      <c r="B45" s="8">
        <v>0.1079156495</v>
      </c>
      <c r="C45" s="8">
        <v>0.0436292497</v>
      </c>
      <c r="D45" s="8">
        <v>0.0149284794</v>
      </c>
      <c r="E45" s="8">
        <v>0.0143299852</v>
      </c>
      <c r="F45" s="8">
        <v>0.0606351295</v>
      </c>
      <c r="G45" s="8">
        <v>0.1018384233</v>
      </c>
      <c r="H45" s="8">
        <v>0.0038462715</v>
      </c>
      <c r="I45" s="8">
        <v>0.0200099167</v>
      </c>
      <c r="J45" s="8">
        <v>0.0172594504</v>
      </c>
      <c r="K45" s="8">
        <v>0</v>
      </c>
      <c r="L45" s="8">
        <v>0</v>
      </c>
      <c r="M45" s="8">
        <v>0.1580294862</v>
      </c>
      <c r="N45" s="8">
        <v>0</v>
      </c>
      <c r="O45" s="8">
        <v>0.1771593013</v>
      </c>
      <c r="P45" s="8">
        <v>0</v>
      </c>
      <c r="Q45" s="8">
        <v>0.0354501515</v>
      </c>
      <c r="R45" s="8">
        <v>0.0064364652</v>
      </c>
      <c r="S45" s="8">
        <v>0.0048826016</v>
      </c>
      <c r="T45" s="8">
        <v>0</v>
      </c>
      <c r="U45" s="8">
        <v>0.0019519001</v>
      </c>
      <c r="V45" s="8">
        <v>0.0003326277</v>
      </c>
      <c r="W45" s="8">
        <v>0.011109885</v>
      </c>
      <c r="X45" s="8">
        <v>0.0822028887</v>
      </c>
      <c r="Y45" s="8">
        <v>0.0063377718</v>
      </c>
      <c r="Z45" s="8">
        <v>0.0018292357</v>
      </c>
      <c r="AA45" s="8">
        <v>4.43648E-05</v>
      </c>
      <c r="AB45" s="8">
        <v>0.017730204</v>
      </c>
      <c r="AC45" s="8">
        <v>0.01057</v>
      </c>
    </row>
    <row r="46" spans="1:29" ht="12.75">
      <c r="A46" s="5" t="s">
        <v>90</v>
      </c>
      <c r="B46" s="8">
        <v>0.125</v>
      </c>
      <c r="C46" s="8">
        <v>0.0496554911</v>
      </c>
      <c r="D46" s="8">
        <v>0.016990459</v>
      </c>
      <c r="E46" s="8">
        <v>0.0196074829</v>
      </c>
      <c r="F46" s="8">
        <v>0.0606351295</v>
      </c>
      <c r="G46" s="8">
        <v>0</v>
      </c>
      <c r="H46" s="8">
        <v>0</v>
      </c>
      <c r="I46" s="8">
        <v>0.0200099167</v>
      </c>
      <c r="J46" s="8">
        <v>0.0172594504</v>
      </c>
      <c r="K46" s="8">
        <v>0</v>
      </c>
      <c r="L46" s="8">
        <v>0</v>
      </c>
      <c r="M46" s="8">
        <v>0.1580294862</v>
      </c>
      <c r="N46" s="8">
        <v>0</v>
      </c>
      <c r="O46" s="8">
        <v>0.1771593013</v>
      </c>
      <c r="P46" s="8">
        <v>0</v>
      </c>
      <c r="Q46" s="8">
        <v>0.0354501515</v>
      </c>
      <c r="R46" s="8">
        <v>0.0064364652</v>
      </c>
      <c r="S46" s="8">
        <v>0.0048826016</v>
      </c>
      <c r="T46" s="8">
        <v>0</v>
      </c>
      <c r="U46" s="8">
        <v>0.0019519001</v>
      </c>
      <c r="V46" s="8">
        <v>0.0003326277</v>
      </c>
      <c r="W46" s="8">
        <v>0.011109885</v>
      </c>
      <c r="X46" s="8">
        <v>0.0822028887</v>
      </c>
      <c r="Y46" s="8">
        <v>0.0063377718</v>
      </c>
      <c r="Z46" s="8">
        <v>0.0018292357</v>
      </c>
      <c r="AA46" s="8">
        <v>4.43648E-05</v>
      </c>
      <c r="AB46" s="8">
        <v>0.017730204</v>
      </c>
      <c r="AC46" s="8">
        <v>0.01057</v>
      </c>
    </row>
    <row r="47" spans="1:29" ht="12.75">
      <c r="A47" s="5" t="s">
        <v>91</v>
      </c>
      <c r="B47" s="8">
        <v>0.058249717</v>
      </c>
      <c r="C47" s="8">
        <v>0.0602105985</v>
      </c>
      <c r="D47" s="8">
        <v>0.020602066</v>
      </c>
      <c r="E47" s="8">
        <v>0.0116926758</v>
      </c>
      <c r="F47" s="8">
        <v>0.0606351295</v>
      </c>
      <c r="G47" s="8">
        <v>0</v>
      </c>
      <c r="H47" s="8">
        <v>0</v>
      </c>
      <c r="I47" s="8">
        <v>0.0200099167</v>
      </c>
      <c r="J47" s="8">
        <v>0.0172594504</v>
      </c>
      <c r="K47" s="8">
        <v>0</v>
      </c>
      <c r="L47" s="8">
        <v>0</v>
      </c>
      <c r="M47" s="8">
        <v>0.1580294862</v>
      </c>
      <c r="N47" s="8">
        <v>0</v>
      </c>
      <c r="O47" s="8">
        <v>0.1771593013</v>
      </c>
      <c r="P47" s="8">
        <v>0</v>
      </c>
      <c r="Q47" s="8">
        <v>0.0354501515</v>
      </c>
      <c r="R47" s="8">
        <v>0.0064364652</v>
      </c>
      <c r="S47" s="8">
        <v>0.0048826016</v>
      </c>
      <c r="T47" s="8">
        <v>0</v>
      </c>
      <c r="U47" s="8">
        <v>0.0019519001</v>
      </c>
      <c r="V47" s="8">
        <v>0.0003326277</v>
      </c>
      <c r="W47" s="8">
        <v>0.011109885</v>
      </c>
      <c r="X47" s="8">
        <v>0.0822028887</v>
      </c>
      <c r="Y47" s="8">
        <v>0.0063377718</v>
      </c>
      <c r="Z47" s="8">
        <v>0.0018292357</v>
      </c>
      <c r="AA47" s="8">
        <v>4.43648E-05</v>
      </c>
      <c r="AB47" s="8">
        <v>0.017730204</v>
      </c>
      <c r="AC47" s="8">
        <v>0.01057</v>
      </c>
    </row>
    <row r="48" spans="1:29" ht="12.75">
      <c r="A48" s="5" t="s">
        <v>92</v>
      </c>
      <c r="B48" s="8">
        <v>0.0783014398</v>
      </c>
      <c r="C48" s="8">
        <v>0.0582958842</v>
      </c>
      <c r="D48" s="8">
        <v>0.0199469144</v>
      </c>
      <c r="E48" s="8">
        <v>0.0442328163</v>
      </c>
      <c r="F48" s="8">
        <v>0.0606351295</v>
      </c>
      <c r="G48" s="8">
        <v>0</v>
      </c>
      <c r="H48" s="8">
        <v>0</v>
      </c>
      <c r="I48" s="8">
        <v>0.0200099167</v>
      </c>
      <c r="J48" s="8">
        <v>0.0172594504</v>
      </c>
      <c r="K48" s="8">
        <v>0</v>
      </c>
      <c r="L48" s="8">
        <v>0</v>
      </c>
      <c r="M48" s="8">
        <v>0.1580294862</v>
      </c>
      <c r="N48" s="8">
        <v>0</v>
      </c>
      <c r="O48" s="8">
        <v>0.1771593013</v>
      </c>
      <c r="P48" s="8">
        <v>0</v>
      </c>
      <c r="Q48" s="8">
        <v>0.0354501515</v>
      </c>
      <c r="R48" s="8">
        <v>0.0064364652</v>
      </c>
      <c r="S48" s="8">
        <v>0.0048826016</v>
      </c>
      <c r="T48" s="8">
        <v>0</v>
      </c>
      <c r="U48" s="8">
        <v>0.0019519001</v>
      </c>
      <c r="V48" s="8">
        <v>0.0003326277</v>
      </c>
      <c r="W48" s="8">
        <v>0.011109885</v>
      </c>
      <c r="X48" s="8">
        <v>0.0822028887</v>
      </c>
      <c r="Y48" s="8">
        <v>0.0063377718</v>
      </c>
      <c r="Z48" s="8">
        <v>0.0018292357</v>
      </c>
      <c r="AA48" s="8">
        <v>4.43648E-05</v>
      </c>
      <c r="AB48" s="8">
        <v>0.017730204</v>
      </c>
      <c r="AC48" s="8">
        <v>0.01057</v>
      </c>
    </row>
    <row r="49" spans="1:29" ht="12.75">
      <c r="A49" s="5" t="s">
        <v>93</v>
      </c>
      <c r="B49" s="8">
        <v>0.0783014398</v>
      </c>
      <c r="C49" s="8">
        <v>0.0582958842</v>
      </c>
      <c r="D49" s="8">
        <v>0.0199469144</v>
      </c>
      <c r="E49" s="8">
        <v>0.0442328163</v>
      </c>
      <c r="F49" s="8">
        <v>0.0606351295</v>
      </c>
      <c r="G49" s="8">
        <v>0</v>
      </c>
      <c r="H49" s="8">
        <v>0</v>
      </c>
      <c r="I49" s="8">
        <v>0.0200099167</v>
      </c>
      <c r="J49" s="8">
        <v>0.0172594504</v>
      </c>
      <c r="K49" s="8">
        <v>0</v>
      </c>
      <c r="L49" s="8">
        <v>0</v>
      </c>
      <c r="M49" s="8">
        <v>0.1580294862</v>
      </c>
      <c r="N49" s="8">
        <v>0</v>
      </c>
      <c r="O49" s="8">
        <v>0.1771593013</v>
      </c>
      <c r="P49" s="8">
        <v>0</v>
      </c>
      <c r="Q49" s="8">
        <v>0.0354501515</v>
      </c>
      <c r="R49" s="8">
        <v>0.0064364652</v>
      </c>
      <c r="S49" s="8">
        <v>0.0048826016</v>
      </c>
      <c r="T49" s="8">
        <v>0</v>
      </c>
      <c r="U49" s="8">
        <v>0.0019519001</v>
      </c>
      <c r="V49" s="8">
        <v>0.0003326277</v>
      </c>
      <c r="W49" s="8">
        <v>0.011109885</v>
      </c>
      <c r="X49" s="8">
        <v>0.0822028887</v>
      </c>
      <c r="Y49" s="8">
        <v>0.0063377718</v>
      </c>
      <c r="Z49" s="8">
        <v>0.0018292357</v>
      </c>
      <c r="AA49" s="8">
        <v>4.43648E-05</v>
      </c>
      <c r="AB49" s="8">
        <v>0.017730204</v>
      </c>
      <c r="AC49" s="8">
        <v>0.01057</v>
      </c>
    </row>
    <row r="50" spans="1:29" ht="12.75">
      <c r="A50" s="5" t="s">
        <v>94</v>
      </c>
      <c r="B50" s="8">
        <v>0.0724418624</v>
      </c>
      <c r="C50" s="8">
        <v>0.0562322634</v>
      </c>
      <c r="D50" s="8">
        <v>0.0192408119</v>
      </c>
      <c r="E50" s="8">
        <v>0.0201900145</v>
      </c>
      <c r="F50" s="8">
        <v>0.0606351295</v>
      </c>
      <c r="G50" s="8">
        <v>0</v>
      </c>
      <c r="H50" s="8">
        <v>0</v>
      </c>
      <c r="I50" s="8">
        <v>0.0200099167</v>
      </c>
      <c r="J50" s="8">
        <v>0.0172594504</v>
      </c>
      <c r="K50" s="8">
        <v>0</v>
      </c>
      <c r="L50" s="8">
        <v>0</v>
      </c>
      <c r="M50" s="8">
        <v>0.1580294862</v>
      </c>
      <c r="N50" s="8">
        <v>0</v>
      </c>
      <c r="O50" s="8">
        <v>0.1771593013</v>
      </c>
      <c r="P50" s="8">
        <v>0</v>
      </c>
      <c r="Q50" s="8">
        <v>0.0354501515</v>
      </c>
      <c r="R50" s="8">
        <v>0.0064364652</v>
      </c>
      <c r="S50" s="8">
        <v>0.0048826016</v>
      </c>
      <c r="T50" s="8">
        <v>0</v>
      </c>
      <c r="U50" s="8">
        <v>0.0019519001</v>
      </c>
      <c r="V50" s="8">
        <v>0.0003326277</v>
      </c>
      <c r="W50" s="8">
        <v>0.011109885</v>
      </c>
      <c r="X50" s="8">
        <v>0.0822028887</v>
      </c>
      <c r="Y50" s="8">
        <v>0.0063377718</v>
      </c>
      <c r="Z50" s="8">
        <v>0.0018292357</v>
      </c>
      <c r="AA50" s="8">
        <v>4.43648E-05</v>
      </c>
      <c r="AB50" s="8">
        <v>0.017730204</v>
      </c>
      <c r="AC50" s="8">
        <v>0.01057</v>
      </c>
    </row>
    <row r="51" spans="1:29" ht="12.75">
      <c r="A51" s="5" t="s">
        <v>95</v>
      </c>
      <c r="B51" s="8">
        <v>0.057284353</v>
      </c>
      <c r="C51" s="8">
        <v>0.0563511945</v>
      </c>
      <c r="D51" s="8">
        <v>0.0192815062</v>
      </c>
      <c r="E51" s="8">
        <v>0.0399148185</v>
      </c>
      <c r="F51" s="8">
        <v>0.0606351295</v>
      </c>
      <c r="G51" s="8">
        <v>0</v>
      </c>
      <c r="H51" s="8">
        <v>0</v>
      </c>
      <c r="I51" s="8">
        <v>0.0200099167</v>
      </c>
      <c r="J51" s="8">
        <v>0.0172594504</v>
      </c>
      <c r="K51" s="8">
        <v>0</v>
      </c>
      <c r="L51" s="8">
        <v>0</v>
      </c>
      <c r="M51" s="8">
        <v>0.1580294862</v>
      </c>
      <c r="N51" s="8">
        <v>0</v>
      </c>
      <c r="O51" s="8">
        <v>0.1771593013</v>
      </c>
      <c r="P51" s="8">
        <v>0</v>
      </c>
      <c r="Q51" s="8">
        <v>0.0354501515</v>
      </c>
      <c r="R51" s="8">
        <v>0.0064364652</v>
      </c>
      <c r="S51" s="8">
        <v>0.0048826016</v>
      </c>
      <c r="T51" s="8">
        <v>0</v>
      </c>
      <c r="U51" s="8">
        <v>0.0019519001</v>
      </c>
      <c r="V51" s="8">
        <v>0.0003326277</v>
      </c>
      <c r="W51" s="8">
        <v>0.011109885</v>
      </c>
      <c r="X51" s="8">
        <v>0.0822028887</v>
      </c>
      <c r="Y51" s="8">
        <v>0.0063377718</v>
      </c>
      <c r="Z51" s="8">
        <v>0.0018292357</v>
      </c>
      <c r="AA51" s="8">
        <v>4.43648E-05</v>
      </c>
      <c r="AB51" s="8">
        <v>0.017730204</v>
      </c>
      <c r="AC51" s="8">
        <v>0.01057</v>
      </c>
    </row>
    <row r="52" spans="1:29" ht="12.75">
      <c r="A52" s="5" t="s">
        <v>96</v>
      </c>
      <c r="B52" s="8">
        <v>0.0615875875</v>
      </c>
      <c r="C52" s="8">
        <v>0.0580534097</v>
      </c>
      <c r="D52" s="8">
        <v>0.0198639477</v>
      </c>
      <c r="E52" s="8">
        <v>0.1328194807</v>
      </c>
      <c r="F52" s="8">
        <v>0.0606351295</v>
      </c>
      <c r="G52" s="8">
        <v>0</v>
      </c>
      <c r="H52" s="8">
        <v>0</v>
      </c>
      <c r="I52" s="8">
        <v>0.0200099167</v>
      </c>
      <c r="J52" s="8">
        <v>0.0172594504</v>
      </c>
      <c r="K52" s="8">
        <v>0</v>
      </c>
      <c r="L52" s="8">
        <v>0</v>
      </c>
      <c r="M52" s="8">
        <v>0.1580294862</v>
      </c>
      <c r="N52" s="8">
        <v>0</v>
      </c>
      <c r="O52" s="8">
        <v>0.1771593013</v>
      </c>
      <c r="P52" s="8">
        <v>0</v>
      </c>
      <c r="Q52" s="8">
        <v>0.0354501515</v>
      </c>
      <c r="R52" s="8">
        <v>0.0064364652</v>
      </c>
      <c r="S52" s="8">
        <v>0.0048826016</v>
      </c>
      <c r="T52" s="8">
        <v>0</v>
      </c>
      <c r="U52" s="8">
        <v>0.0019519001</v>
      </c>
      <c r="V52" s="8">
        <v>0.0003326277</v>
      </c>
      <c r="W52" s="8">
        <v>0.011109885</v>
      </c>
      <c r="X52" s="8">
        <v>0.0822028887</v>
      </c>
      <c r="Y52" s="8">
        <v>0.0063377718</v>
      </c>
      <c r="Z52" s="8">
        <v>0.0018292357</v>
      </c>
      <c r="AA52" s="8">
        <v>4.43648E-05</v>
      </c>
      <c r="AB52" s="8">
        <v>0.017730204</v>
      </c>
      <c r="AC52" s="8">
        <v>0.01057</v>
      </c>
    </row>
    <row r="53" spans="1:29" ht="12.75">
      <c r="A53" s="5" t="s">
        <v>97</v>
      </c>
      <c r="B53" s="8">
        <v>0.057284353</v>
      </c>
      <c r="C53" s="8">
        <v>0.0563511945</v>
      </c>
      <c r="D53" s="8">
        <v>0.0192815062</v>
      </c>
      <c r="E53" s="8">
        <v>0.0399148185</v>
      </c>
      <c r="F53" s="8">
        <v>0.0606351295</v>
      </c>
      <c r="G53" s="8">
        <v>0</v>
      </c>
      <c r="H53" s="8">
        <v>0</v>
      </c>
      <c r="I53" s="8">
        <v>0.0200099167</v>
      </c>
      <c r="J53" s="8">
        <v>0.0172594504</v>
      </c>
      <c r="K53" s="8">
        <v>0</v>
      </c>
      <c r="L53" s="8">
        <v>0</v>
      </c>
      <c r="M53" s="8">
        <v>0.1580294862</v>
      </c>
      <c r="N53" s="8">
        <v>0</v>
      </c>
      <c r="O53" s="8">
        <v>0.1771593013</v>
      </c>
      <c r="P53" s="8">
        <v>0</v>
      </c>
      <c r="Q53" s="8">
        <v>0.0354501515</v>
      </c>
      <c r="R53" s="8">
        <v>0.0064364652</v>
      </c>
      <c r="S53" s="8">
        <v>0.0048826016</v>
      </c>
      <c r="T53" s="8">
        <v>0</v>
      </c>
      <c r="U53" s="8">
        <v>0.0019519001</v>
      </c>
      <c r="V53" s="8">
        <v>0.0003326277</v>
      </c>
      <c r="W53" s="8">
        <v>0.011109885</v>
      </c>
      <c r="X53" s="8">
        <v>0.0822028887</v>
      </c>
      <c r="Y53" s="8">
        <v>0.0063377718</v>
      </c>
      <c r="Z53" s="8">
        <v>0.0018292357</v>
      </c>
      <c r="AA53" s="8">
        <v>4.43648E-05</v>
      </c>
      <c r="AB53" s="8">
        <v>0.017730204</v>
      </c>
      <c r="AC53" s="8">
        <v>0.01057</v>
      </c>
    </row>
    <row r="54" spans="1:29" ht="12.75">
      <c r="A54" s="5" t="s">
        <v>98</v>
      </c>
      <c r="B54" s="8">
        <v>0.0245837222</v>
      </c>
      <c r="C54" s="8">
        <v>0.061394574</v>
      </c>
      <c r="D54" s="8">
        <v>0.021007183</v>
      </c>
      <c r="E54" s="8">
        <v>0.002551148</v>
      </c>
      <c r="F54" s="8">
        <v>0.0606351295</v>
      </c>
      <c r="G54" s="8">
        <v>0</v>
      </c>
      <c r="H54" s="8">
        <v>0</v>
      </c>
      <c r="I54" s="8">
        <v>0.0200099167</v>
      </c>
      <c r="J54" s="8">
        <v>0.0172594504</v>
      </c>
      <c r="K54" s="8">
        <v>0</v>
      </c>
      <c r="L54" s="8">
        <v>0</v>
      </c>
      <c r="M54" s="8">
        <v>0.1580294862</v>
      </c>
      <c r="N54" s="8">
        <v>0</v>
      </c>
      <c r="O54" s="8">
        <v>0.1771593013</v>
      </c>
      <c r="P54" s="8">
        <v>0</v>
      </c>
      <c r="Q54" s="8">
        <v>0.0354501515</v>
      </c>
      <c r="R54" s="8">
        <v>0.0064364652</v>
      </c>
      <c r="S54" s="8">
        <v>0.0048826016</v>
      </c>
      <c r="T54" s="8">
        <v>0</v>
      </c>
      <c r="U54" s="8">
        <v>0.0019519001</v>
      </c>
      <c r="V54" s="8">
        <v>0.0003326277</v>
      </c>
      <c r="W54" s="8">
        <v>0.011109885</v>
      </c>
      <c r="X54" s="8">
        <v>0.0822028887</v>
      </c>
      <c r="Y54" s="8">
        <v>0.0063377718</v>
      </c>
      <c r="Z54" s="8">
        <v>0.0018292357</v>
      </c>
      <c r="AA54" s="8">
        <v>4.43648E-05</v>
      </c>
      <c r="AB54" s="8">
        <v>0.017730204</v>
      </c>
      <c r="AC54" s="8">
        <v>0.01057</v>
      </c>
    </row>
    <row r="55" spans="1:29" ht="12.75">
      <c r="A55" s="5" t="s">
        <v>99</v>
      </c>
      <c r="B55" s="8">
        <v>0.125</v>
      </c>
      <c r="C55" s="8">
        <v>0.0756988784</v>
      </c>
      <c r="D55" s="8">
        <v>0.0259016407</v>
      </c>
      <c r="E55" s="8">
        <v>0.0379824478</v>
      </c>
      <c r="F55" s="8">
        <v>0.0606351295</v>
      </c>
      <c r="G55" s="8">
        <v>0</v>
      </c>
      <c r="H55" s="8">
        <v>0</v>
      </c>
      <c r="I55" s="8">
        <v>0.0200099167</v>
      </c>
      <c r="J55" s="8">
        <v>0.0172594504</v>
      </c>
      <c r="K55" s="8">
        <v>0</v>
      </c>
      <c r="L55" s="8">
        <v>0</v>
      </c>
      <c r="M55" s="8">
        <v>0.1580294862</v>
      </c>
      <c r="N55" s="8">
        <v>0</v>
      </c>
      <c r="O55" s="8">
        <v>0.1771593013</v>
      </c>
      <c r="P55" s="8">
        <v>0</v>
      </c>
      <c r="Q55" s="8">
        <v>0.0354501515</v>
      </c>
      <c r="R55" s="8">
        <v>0.0064364652</v>
      </c>
      <c r="S55" s="8">
        <v>0.0048826016</v>
      </c>
      <c r="T55" s="8">
        <v>0</v>
      </c>
      <c r="U55" s="8">
        <v>0.0019519001</v>
      </c>
      <c r="V55" s="8">
        <v>0.0003326277</v>
      </c>
      <c r="W55" s="8">
        <v>0.011109885</v>
      </c>
      <c r="X55" s="8">
        <v>0.0822028887</v>
      </c>
      <c r="Y55" s="8">
        <v>0.0063377718</v>
      </c>
      <c r="Z55" s="8">
        <v>0.0018292357</v>
      </c>
      <c r="AA55" s="8">
        <v>4.43648E-05</v>
      </c>
      <c r="AB55" s="8">
        <v>0.017730204</v>
      </c>
      <c r="AC55" s="8">
        <v>0.01057</v>
      </c>
    </row>
  </sheetData>
  <printOptions gridLines="1" headings="1"/>
  <pageMargins left="0.75" right="0.25" top="1" bottom="1.4" header="0.5" footer="0.5"/>
  <pageSetup horizontalDpi="600" verticalDpi="600" orientation="landscape" pageOrder="overThenDown" scale="95" r:id="rId3"/>
  <headerFooter alignWithMargins="0">
    <oddHeader>&amp;L&amp;F&amp;C&amp;A&amp;RPage &amp;P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2:L29"/>
  <sheetViews>
    <sheetView workbookViewId="0" topLeftCell="A1">
      <selection activeCell="D27" sqref="D27"/>
    </sheetView>
  </sheetViews>
  <sheetFormatPr defaultColWidth="9.140625" defaultRowHeight="12.75"/>
  <cols>
    <col min="1" max="1" width="6.28125" style="0" customWidth="1"/>
    <col min="2" max="2" width="16.28125" style="0" customWidth="1"/>
    <col min="3" max="3" width="13.7109375" style="0" customWidth="1"/>
    <col min="4" max="4" width="12.140625" style="0" customWidth="1"/>
    <col min="5" max="5" width="10.28125" style="0" customWidth="1"/>
    <col min="7" max="7" width="12.8515625" style="0" customWidth="1"/>
    <col min="8" max="8" width="11.8515625" style="0" customWidth="1"/>
    <col min="9" max="9" width="8.140625" style="0" customWidth="1"/>
    <col min="10" max="10" width="12.421875" style="0" customWidth="1"/>
  </cols>
  <sheetData>
    <row r="2" spans="3:4" ht="12.75">
      <c r="C2" s="28"/>
      <c r="D2" s="28"/>
    </row>
    <row r="3" spans="3:4" ht="12.75">
      <c r="C3" s="28"/>
      <c r="D3" s="28"/>
    </row>
    <row r="4" spans="3:4" ht="12.75">
      <c r="C4" s="28"/>
      <c r="D4" s="28"/>
    </row>
    <row r="5" ht="12.75">
      <c r="A5" t="s">
        <v>487</v>
      </c>
    </row>
    <row r="6" spans="1:7" ht="12.75">
      <c r="A6" s="28"/>
      <c r="B6" s="28"/>
      <c r="C6" s="28"/>
      <c r="D6" s="28"/>
      <c r="E6" s="28"/>
      <c r="F6" s="28"/>
      <c r="G6" s="28"/>
    </row>
    <row r="8" spans="1:11" ht="12.75">
      <c r="A8" s="36"/>
      <c r="B8" s="36"/>
      <c r="C8" s="36"/>
      <c r="D8" s="36"/>
      <c r="E8" s="36"/>
      <c r="F8" s="36"/>
      <c r="G8" s="36"/>
      <c r="H8" s="36"/>
      <c r="I8" s="36"/>
      <c r="K8" s="28"/>
    </row>
    <row r="9" spans="1:11" ht="12.75">
      <c r="A9" s="75"/>
      <c r="B9" s="37"/>
      <c r="C9" s="38"/>
      <c r="D9" s="37"/>
      <c r="E9" s="39"/>
      <c r="F9" s="37"/>
      <c r="G9" s="37" t="s">
        <v>202</v>
      </c>
      <c r="H9" s="39" t="s">
        <v>119</v>
      </c>
      <c r="I9" s="37"/>
      <c r="K9" s="28"/>
    </row>
    <row r="10" spans="1:11" ht="12.75">
      <c r="A10" s="76" t="s">
        <v>203</v>
      </c>
      <c r="B10" s="40"/>
      <c r="C10" s="41" t="s">
        <v>192</v>
      </c>
      <c r="D10" s="42" t="s">
        <v>193</v>
      </c>
      <c r="E10" s="42"/>
      <c r="F10" s="42"/>
      <c r="G10" s="42" t="s">
        <v>194</v>
      </c>
      <c r="H10" s="42" t="s">
        <v>192</v>
      </c>
      <c r="I10" s="40"/>
      <c r="K10" s="28"/>
    </row>
    <row r="11" spans="1:11" ht="12.75">
      <c r="A11" s="58" t="s">
        <v>204</v>
      </c>
      <c r="B11" s="43"/>
      <c r="C11" s="44"/>
      <c r="D11" s="45"/>
      <c r="E11" s="46"/>
      <c r="F11" s="45"/>
      <c r="G11" s="47"/>
      <c r="H11" s="45"/>
      <c r="I11" s="45"/>
      <c r="K11" s="28"/>
    </row>
    <row r="12" spans="1:11" ht="12.75">
      <c r="A12" s="77" t="s">
        <v>197</v>
      </c>
      <c r="B12" s="45"/>
      <c r="C12" s="44">
        <f>'Investment CALC  Low Side CH PE'!F120</f>
        <v>334.28114536980047</v>
      </c>
      <c r="D12" s="48">
        <f>'Investment CALC  Low Side CH PE'!G120</f>
        <v>0.60739154524626</v>
      </c>
      <c r="E12" s="46"/>
      <c r="F12" s="47">
        <f>C12*D12</f>
        <v>203.0395414328528</v>
      </c>
      <c r="G12" s="49"/>
      <c r="H12" s="47"/>
      <c r="I12" s="45"/>
      <c r="K12" s="28"/>
    </row>
    <row r="13" spans="1:11" ht="12.75">
      <c r="A13" s="77" t="s">
        <v>198</v>
      </c>
      <c r="B13" s="45"/>
      <c r="C13" s="44">
        <f>'Investment CALC  Low Side CH PE'!F121</f>
        <v>334.28114536980047</v>
      </c>
      <c r="D13" s="48">
        <f>'Investment CALC  Low Side CH PE'!G121</f>
        <v>0.03543029994459336</v>
      </c>
      <c r="E13" s="46"/>
      <c r="F13" s="47">
        <f>C13*D13</f>
        <v>11.843681246274247</v>
      </c>
      <c r="G13" s="49"/>
      <c r="H13" s="47"/>
      <c r="I13" s="45"/>
      <c r="K13" s="28"/>
    </row>
    <row r="14" spans="1:11" ht="12.75">
      <c r="A14" s="50" t="s">
        <v>200</v>
      </c>
      <c r="B14" s="40"/>
      <c r="C14" s="51">
        <f>'Investment CALC  Low Side CH PE'!F122</f>
        <v>373.23839762031065</v>
      </c>
      <c r="D14" s="52">
        <f>'Investment CALC  Low Side CH PE'!G122</f>
        <v>0.3571781548091466</v>
      </c>
      <c r="E14" s="42"/>
      <c r="F14" s="51">
        <f>C14*D14</f>
        <v>133.31260216594512</v>
      </c>
      <c r="G14" s="54"/>
      <c r="H14" s="53"/>
      <c r="I14" s="40"/>
      <c r="K14" s="31"/>
    </row>
    <row r="15" spans="1:9" ht="13.5" thickBot="1">
      <c r="A15" s="36"/>
      <c r="B15" s="40"/>
      <c r="C15" s="55" t="s">
        <v>195</v>
      </c>
      <c r="D15" s="56"/>
      <c r="E15" s="30"/>
      <c r="F15" s="53">
        <f>SUM(F12:F14)</f>
        <v>348.19582484507214</v>
      </c>
      <c r="G15" s="54">
        <f>'Investment CALC  Low Side CH PE'!J123</f>
        <v>1.5086666666666666</v>
      </c>
      <c r="H15" s="80">
        <f>F15*G15</f>
        <v>525.3114344162655</v>
      </c>
      <c r="I15" s="57" t="s">
        <v>89</v>
      </c>
    </row>
    <row r="16" spans="1:12" ht="13.5" thickTop="1">
      <c r="A16" s="28"/>
      <c r="B16" s="28"/>
      <c r="C16" s="28"/>
      <c r="D16" s="32"/>
      <c r="E16" s="33"/>
      <c r="F16" s="34"/>
      <c r="G16" s="35"/>
      <c r="H16" s="35"/>
      <c r="I16" s="35"/>
      <c r="K16" s="32"/>
      <c r="L16" s="32"/>
    </row>
    <row r="17" spans="1:12" ht="12.75">
      <c r="A17" t="s">
        <v>486</v>
      </c>
      <c r="B17" s="28"/>
      <c r="C17" s="28"/>
      <c r="D17" s="32"/>
      <c r="E17" s="33"/>
      <c r="F17" s="34"/>
      <c r="G17" s="35"/>
      <c r="H17" s="35"/>
      <c r="I17" s="35"/>
      <c r="K17" s="32"/>
      <c r="L17" s="32"/>
    </row>
    <row r="18" spans="1:12" ht="12.75">
      <c r="A18" s="28"/>
      <c r="B18" s="28"/>
      <c r="C18" s="28"/>
      <c r="D18" s="32"/>
      <c r="E18" s="33"/>
      <c r="F18" s="34"/>
      <c r="G18" s="35"/>
      <c r="H18" s="35"/>
      <c r="I18" s="35"/>
      <c r="K18" s="32"/>
      <c r="L18" s="32"/>
    </row>
    <row r="19" spans="1:11" ht="12.75">
      <c r="A19" s="36"/>
      <c r="B19" s="28"/>
      <c r="C19" s="28"/>
      <c r="D19" s="28"/>
      <c r="E19" s="28"/>
      <c r="F19" s="29"/>
      <c r="G19" s="36"/>
      <c r="H19" s="30"/>
      <c r="I19" s="28"/>
      <c r="K19" s="28"/>
    </row>
    <row r="20" spans="1:9" ht="12.75">
      <c r="A20" s="75"/>
      <c r="B20" s="37"/>
      <c r="C20" s="38"/>
      <c r="D20" s="38"/>
      <c r="E20" s="39"/>
      <c r="F20" s="38"/>
      <c r="G20" s="28" t="s">
        <v>202</v>
      </c>
      <c r="H20" s="38" t="s">
        <v>119</v>
      </c>
      <c r="I20" s="38"/>
    </row>
    <row r="21" spans="1:9" ht="12.75">
      <c r="A21" s="58"/>
      <c r="B21" s="40"/>
      <c r="C21" s="59" t="s">
        <v>192</v>
      </c>
      <c r="D21" s="41" t="s">
        <v>193</v>
      </c>
      <c r="E21" s="42"/>
      <c r="F21" s="41"/>
      <c r="G21" s="36" t="s">
        <v>205</v>
      </c>
      <c r="H21" s="60" t="s">
        <v>192</v>
      </c>
      <c r="I21" s="61"/>
    </row>
    <row r="22" spans="1:9" ht="12.75">
      <c r="A22" s="62" t="s">
        <v>203</v>
      </c>
      <c r="B22" s="37"/>
      <c r="C22" s="44"/>
      <c r="D22" s="63"/>
      <c r="E22" s="64"/>
      <c r="F22" s="37"/>
      <c r="G22" s="44"/>
      <c r="H22" s="63"/>
      <c r="I22" s="63"/>
    </row>
    <row r="23" spans="1:9" ht="12.75">
      <c r="A23" s="78" t="s">
        <v>196</v>
      </c>
      <c r="B23" s="40"/>
      <c r="C23" s="51"/>
      <c r="D23" s="65"/>
      <c r="E23" s="66"/>
      <c r="F23" s="47"/>
      <c r="G23" s="67"/>
      <c r="H23" s="44"/>
      <c r="I23" s="63"/>
    </row>
    <row r="24" spans="1:9" ht="12.75">
      <c r="A24" s="58" t="s">
        <v>204</v>
      </c>
      <c r="B24" s="40"/>
      <c r="C24" s="51"/>
      <c r="D24" s="68"/>
      <c r="E24" s="41"/>
      <c r="F24" s="53"/>
      <c r="G24" s="67"/>
      <c r="H24" s="44"/>
      <c r="I24" s="63"/>
    </row>
    <row r="25" spans="1:9" ht="12.75">
      <c r="A25" s="77" t="s">
        <v>197</v>
      </c>
      <c r="B25" s="37"/>
      <c r="C25" s="44">
        <f>'Investment CALC for CH PE, MUX'!E84</f>
        <v>166.1357785028056</v>
      </c>
      <c r="D25" s="65">
        <f>'Investment CALC for CH PE, MUX'!F84</f>
        <v>0.6065468357459026</v>
      </c>
      <c r="E25" s="66"/>
      <c r="F25" s="47">
        <f>C25*D25</f>
        <v>100.7691307550589</v>
      </c>
      <c r="G25" s="67"/>
      <c r="H25" s="44"/>
      <c r="I25" s="63"/>
    </row>
    <row r="26" spans="1:9" ht="12.75">
      <c r="A26" s="77" t="s">
        <v>198</v>
      </c>
      <c r="B26" s="45"/>
      <c r="C26" s="44">
        <f>'Investment CALC for CH PE, MUX'!E85</f>
        <v>166.1357785028056</v>
      </c>
      <c r="D26" s="65">
        <f>'Investment CALC for CH PE, MUX'!F85</f>
        <v>0.035381026438569205</v>
      </c>
      <c r="E26" s="66"/>
      <c r="F26" s="47">
        <f>C26*D26</f>
        <v>5.878054371600043</v>
      </c>
      <c r="G26" s="63"/>
      <c r="H26" s="44"/>
      <c r="I26" s="63"/>
    </row>
    <row r="27" spans="1:9" ht="12.75">
      <c r="A27" s="79" t="s">
        <v>199</v>
      </c>
      <c r="B27" s="45"/>
      <c r="C27" s="44">
        <f>'Investment CALC for CH PE, MUX'!E86</f>
        <v>177.1357785028056</v>
      </c>
      <c r="D27" s="65">
        <f>'Investment CALC for CH PE, MUX'!F86</f>
        <v>0.0013907165928938867</v>
      </c>
      <c r="E27" s="66"/>
      <c r="F27" s="47">
        <f>C27*D27</f>
        <v>0.246345666359028</v>
      </c>
      <c r="G27" s="44"/>
      <c r="H27" s="44"/>
      <c r="I27" s="63"/>
    </row>
    <row r="28" spans="1:9" ht="12.75">
      <c r="A28" s="50" t="s">
        <v>200</v>
      </c>
      <c r="B28" s="40"/>
      <c r="C28" s="51">
        <f>'Investment CALC for CH PE, MUX'!E87</f>
        <v>257.2061115361491</v>
      </c>
      <c r="D28" s="68">
        <f>'Investment CALC for CH PE, MUX'!F87</f>
        <v>0.3566814212226343</v>
      </c>
      <c r="E28" s="41"/>
      <c r="F28" s="47">
        <f>C28*D28</f>
        <v>91.74064140986106</v>
      </c>
      <c r="G28" s="51"/>
      <c r="H28" s="51"/>
      <c r="I28" s="61"/>
    </row>
    <row r="29" spans="1:12" ht="13.5" thickBot="1">
      <c r="A29" s="69"/>
      <c r="B29" s="43" t="s">
        <v>206</v>
      </c>
      <c r="C29" s="70"/>
      <c r="D29" s="70"/>
      <c r="E29" s="71"/>
      <c r="F29" s="72">
        <f>SUM(F25:F28)</f>
        <v>198.63417220287903</v>
      </c>
      <c r="G29" s="73">
        <f>'Investment CALC for CH PE, MUX'!I88</f>
        <v>1.5086666666666666</v>
      </c>
      <c r="H29" s="80">
        <f>F29*G29</f>
        <v>299.6727544634102</v>
      </c>
      <c r="I29" s="74" t="s">
        <v>89</v>
      </c>
      <c r="L29" s="28"/>
    </row>
    <row r="30" ht="13.5" thickTop="1"/>
  </sheetData>
  <printOptions/>
  <pageMargins left="0.5" right="0.25" top="1" bottom="1" header="0.5" footer="0.5"/>
  <pageSetup horizontalDpi="600" verticalDpi="600" orientation="portrait" r:id="rId1"/>
  <headerFooter alignWithMargins="0">
    <oddHeader>&amp;L&amp;F&amp;C&amp;A&amp;RPage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Workman</dc:creator>
  <cp:keywords/>
  <dc:description/>
  <cp:lastModifiedBy>Brian E Farrow</cp:lastModifiedBy>
  <cp:lastPrinted>2003-06-24T19:49:10Z</cp:lastPrinted>
  <dcterms:created xsi:type="dcterms:W3CDTF">2000-05-16T16:44:13Z</dcterms:created>
  <dcterms:modified xsi:type="dcterms:W3CDTF">2003-06-24T19:49:59Z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023003</vt:lpwstr>
  </property>
  <property fmtid="{D5CDD505-2E9C-101B-9397-08002B2CF9AE}" pid="6" name="IsConfidenti">
    <vt:lpwstr>0</vt:lpwstr>
  </property>
  <property fmtid="{D5CDD505-2E9C-101B-9397-08002B2CF9AE}" pid="7" name="Dat">
    <vt:lpwstr>2003-06-26T00:00:00Z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2002-01-31T00:00:00Z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