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13_ncr:1_{AD11405D-439E-42C0-9B66-76374B5300BA}" xr6:coauthVersionLast="41" xr6:coauthVersionMax="41" xr10:uidLastSave="{00000000-0000-0000-0000-000000000000}"/>
  <bookViews>
    <workbookView xWindow="-110" yWindow="-110" windowWidth="19420" windowHeight="10420" tabRatio="792" xr2:uid="{00000000-000D-0000-FFFF-FFFF00000000}"/>
  </bookViews>
  <sheets>
    <sheet name="Lead G" sheetId="1" r:id="rId1"/>
    <sheet name="CBR_Gas" sheetId="63" r:id="rId2"/>
    <sheet name="41010301" sheetId="62" r:id="rId3"/>
    <sheet name="41110301" sheetId="61" r:id="rId4"/>
  </sheets>
  <externalReferences>
    <externalReference r:id="rId5"/>
  </externalReferences>
  <definedNames>
    <definedName name="_xlnm._FilterDatabase" localSheetId="1" hidden="1">CBR_Gas!$A$8:$F$32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D32" i="63" l="1"/>
  <c r="C32" i="63"/>
  <c r="C34" i="63" s="1"/>
  <c r="E31" i="63"/>
  <c r="F31" i="63" s="1"/>
  <c r="C45" i="63" s="1"/>
  <c r="E30" i="63"/>
  <c r="F30" i="63" s="1"/>
  <c r="C46" i="63" s="1"/>
  <c r="E29" i="63"/>
  <c r="C43" i="63" s="1"/>
  <c r="E28" i="63"/>
  <c r="F28" i="63" s="1"/>
  <c r="E27" i="63"/>
  <c r="F27" i="63" s="1"/>
  <c r="F26" i="63"/>
  <c r="E26" i="63"/>
  <c r="E25" i="63"/>
  <c r="F25" i="63" s="1"/>
  <c r="E24" i="63"/>
  <c r="F24" i="63" s="1"/>
  <c r="E23" i="63"/>
  <c r="F23" i="63" s="1"/>
  <c r="E22" i="63"/>
  <c r="F22" i="63" s="1"/>
  <c r="E21" i="63"/>
  <c r="F21" i="63" s="1"/>
  <c r="E20" i="63"/>
  <c r="F20" i="63" s="1"/>
  <c r="E19" i="63"/>
  <c r="D19" i="63"/>
  <c r="E18" i="63"/>
  <c r="F18" i="63" s="1"/>
  <c r="E17" i="63"/>
  <c r="F17" i="63" s="1"/>
  <c r="E16" i="63"/>
  <c r="F16" i="63" s="1"/>
  <c r="E15" i="63"/>
  <c r="F15" i="63" s="1"/>
  <c r="E14" i="63"/>
  <c r="F14" i="63" s="1"/>
  <c r="E13" i="63"/>
  <c r="F13" i="63" s="1"/>
  <c r="E12" i="63"/>
  <c r="F12" i="63" s="1"/>
  <c r="E11" i="63"/>
  <c r="F11" i="63" s="1"/>
  <c r="E10" i="63"/>
  <c r="F10" i="63" s="1"/>
  <c r="E9" i="63"/>
  <c r="C6" i="63"/>
  <c r="C41" i="63" s="1"/>
  <c r="C42" i="63" s="1"/>
  <c r="D43" i="63" l="1"/>
  <c r="D46" i="63"/>
  <c r="F19" i="63"/>
  <c r="E32" i="63"/>
  <c r="F32" i="63" s="1"/>
  <c r="C44" i="63" s="1"/>
  <c r="D45" i="63"/>
  <c r="D42" i="63"/>
  <c r="D34" i="63"/>
  <c r="D37" i="63" s="1"/>
  <c r="C17" i="1" s="1"/>
  <c r="F9" i="63"/>
  <c r="F29" i="63"/>
  <c r="C35" i="63"/>
  <c r="D44" i="63" l="1"/>
  <c r="C47" i="63"/>
  <c r="E34" i="63"/>
  <c r="C37" i="63"/>
  <c r="C16" i="1" s="1"/>
  <c r="C13" i="1"/>
  <c r="F34" i="63"/>
  <c r="D47" i="63"/>
  <c r="E37" i="63"/>
  <c r="C25" i="1"/>
  <c r="C24" i="1"/>
  <c r="C48" i="63" l="1"/>
  <c r="C30" i="1" l="1"/>
  <c r="C28" i="1"/>
  <c r="C31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32" i="1" l="1"/>
  <c r="C20" i="1" l="1"/>
  <c r="D20" i="1" s="1"/>
  <c r="C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Puget Sound Energy</author>
  </authors>
  <commentList>
    <comment ref="B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from Final ETR report</t>
        </r>
      </text>
    </comment>
  </commentList>
</comments>
</file>

<file path=xl/sharedStrings.xml><?xml version="1.0" encoding="utf-8"?>
<sst xmlns="http://schemas.openxmlformats.org/spreadsheetml/2006/main" count="115" uniqueCount="103">
  <si>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</si>
  <si>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</si>
  <si>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</si>
  <si>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</si>
  <si>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</si>
  <si>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</si>
  <si>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</si>
  <si>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</si>
  <si>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</si>
  <si>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</si>
  <si>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</si>
  <si>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</si>
  <si>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</si>
  <si>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</si>
  <si>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</si>
  <si>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</si>
  <si>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</si>
  <si>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</si>
  <si>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</si>
  <si>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</si>
  <si>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</si>
  <si>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</si>
  <si>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</si>
  <si>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</si>
  <si>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</si>
  <si>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</si>
  <si>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</si>
  <si>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</si>
  <si>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</si>
  <si>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DefTax Effected</t>
  </si>
  <si>
    <t>Meals &amp; Entertainment</t>
  </si>
  <si>
    <t>Pension-common</t>
  </si>
  <si>
    <t>Deferred Compensation-common</t>
  </si>
  <si>
    <t>International Paper Capacity Assignment</t>
  </si>
  <si>
    <t>Summit Purch Opt Buyout</t>
  </si>
  <si>
    <t>Vacation Pay-common</t>
  </si>
  <si>
    <t>Bothell Data Ctr Prepaid Lease Exp-common</t>
  </si>
  <si>
    <t>Reserve for Injuries and Damages Norm</t>
  </si>
  <si>
    <t>Summit Landlord Incentive-common</t>
  </si>
  <si>
    <t>Total Tax adjustments</t>
  </si>
  <si>
    <t>Taxable NOI</t>
  </si>
  <si>
    <t>Tax Curr/Deferred</t>
  </si>
  <si>
    <t>pretax</t>
  </si>
  <si>
    <t>Tax Return Key</t>
  </si>
  <si>
    <t>P-05</t>
  </si>
  <si>
    <t>F-29</t>
  </si>
  <si>
    <t>N-03</t>
  </si>
  <si>
    <t>N-05</t>
  </si>
  <si>
    <t>N-10</t>
  </si>
  <si>
    <t>N-13</t>
  </si>
  <si>
    <t>N-14</t>
  </si>
  <si>
    <t>N-16</t>
  </si>
  <si>
    <t>N-17</t>
  </si>
  <si>
    <t>N-26</t>
  </si>
  <si>
    <t>N-31</t>
  </si>
  <si>
    <t>N-32</t>
  </si>
  <si>
    <t>N-37</t>
  </si>
  <si>
    <t>N-43</t>
  </si>
  <si>
    <t>N-44</t>
  </si>
  <si>
    <t>N-56</t>
  </si>
  <si>
    <t xml:space="preserve">   DEFERRED FIT - OTHER</t>
  </si>
  <si>
    <t>Self Insurance - IBNR</t>
  </si>
  <si>
    <t>GENERAL RATE CASE</t>
  </si>
  <si>
    <t>Puget Sound Energy, Inc.</t>
  </si>
  <si>
    <t xml:space="preserve">  ZO12                      Orders: Actual 12 Month Ended</t>
  </si>
  <si>
    <t>Orders</t>
  </si>
  <si>
    <t>12 Months</t>
  </si>
  <si>
    <t>41110301  Prov for Def FIT - Gas - Credit  Operat</t>
  </si>
  <si>
    <t>41010301  Deferred FIT - Gas - Operating Deferred</t>
  </si>
  <si>
    <t>Description</t>
  </si>
  <si>
    <t>481(a) Adj - Depr Turnaround on Retirements</t>
  </si>
  <si>
    <t>N-80</t>
  </si>
  <si>
    <t>Property Tax</t>
  </si>
  <si>
    <t>PT</t>
  </si>
  <si>
    <t>PT - Plant Related</t>
  </si>
  <si>
    <t>Rate Reconciliation</t>
  </si>
  <si>
    <t>Total Current and Deferred Taxes</t>
  </si>
  <si>
    <t>JP Storage - Sec 263A</t>
  </si>
  <si>
    <t>POWERTAX</t>
  </si>
  <si>
    <t>electric</t>
  </si>
  <si>
    <t>gas</t>
  </si>
  <si>
    <t>total</t>
  </si>
  <si>
    <t>F/T</t>
  </si>
  <si>
    <t>cwip reversal</t>
  </si>
  <si>
    <t>APB 11 DIT</t>
  </si>
  <si>
    <t>FAS 109</t>
  </si>
  <si>
    <t>FOR THE TWELVE MONTHS ENDED DECEMBER 31, 2018</t>
  </si>
  <si>
    <t>January 2018 - December 2018</t>
  </si>
  <si>
    <t>Variance from 21%</t>
  </si>
  <si>
    <t>Staples Loyalty Incentive-common</t>
  </si>
  <si>
    <t xml:space="preserve">Workers Compensation- IBNR </t>
  </si>
  <si>
    <t>Credit Card Deferral</t>
  </si>
  <si>
    <t>Rate Refunds</t>
  </si>
  <si>
    <t>Fringe benefits</t>
  </si>
  <si>
    <t>§162(m) limitation</t>
  </si>
  <si>
    <t>x21%</t>
  </si>
  <si>
    <t>at 21%</t>
  </si>
  <si>
    <t>normalized</t>
  </si>
  <si>
    <t>topside</t>
  </si>
  <si>
    <t>total timing</t>
  </si>
  <si>
    <t>&lt;==check</t>
  </si>
  <si>
    <t>Debit</t>
  </si>
  <si>
    <t>Over/underabsorption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</si>
</sst>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0.000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166" fontId="0" fillId="0" borderId="0">
      <alignment horizontal="left" wrapText="1"/>
    </xf>
  </cellStyleXfs>
  <cellXfs count="87">
    <xf numFmtId="0" fontId="0" fillId="0" borderId="0" xfId="0" applyNumberFormat="1" applyAlignment="1"/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/>
    <xf numFmtId="0" fontId="4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protection locked="0"/>
    </xf>
    <xf numFmtId="3" fontId="4" fillId="0" borderId="4" xfId="0" applyNumberFormat="1" applyFont="1" applyFill="1" applyBorder="1" applyAlignment="1">
      <alignment horizontal="center"/>
    </xf>
    <xf numFmtId="3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vertical="top"/>
    </xf>
    <xf numFmtId="0" fontId="7" fillId="0" borderId="0" xfId="0" applyNumberFormat="1" applyFont="1" applyFill="1" applyAlignment="1"/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 applyProtection="1">
      <alignment vertical="top"/>
      <protection locked="0"/>
    </xf>
    <xf numFmtId="41" fontId="3" fillId="0" borderId="4" xfId="0" applyNumberFormat="1" applyFont="1" applyFill="1" applyBorder="1" applyAlignment="1"/>
    <xf numFmtId="0" fontId="7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41" fontId="3" fillId="0" borderId="4" xfId="0" applyNumberFormat="1" applyFont="1" applyFill="1" applyBorder="1" applyAlignment="1" applyProtection="1">
      <protection locked="0"/>
    </xf>
    <xf numFmtId="41" fontId="4" fillId="0" borderId="3" xfId="0" applyNumberFormat="1" applyFont="1" applyFill="1" applyBorder="1" applyAlignment="1"/>
    <xf numFmtId="41" fontId="14" fillId="0" borderId="0" xfId="0" applyNumberFormat="1" applyFont="1" applyAlignment="1"/>
    <xf numFmtId="0" fontId="15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Alignment="1"/>
    <xf numFmtId="165" fontId="0" fillId="0" borderId="0" xfId="0" applyNumberFormat="1" applyFont="1" applyAlignment="1"/>
    <xf numFmtId="43" fontId="0" fillId="0" borderId="0" xfId="0" applyNumberFormat="1" applyFont="1" applyAlignment="1"/>
    <xf numFmtId="0" fontId="1" fillId="0" borderId="0" xfId="0" applyNumberFormat="1" applyFont="1" applyFill="1" applyAlignment="1"/>
    <xf numFmtId="0" fontId="8" fillId="0" borderId="0" xfId="0" applyNumberFormat="1" applyFont="1" applyFill="1" applyAlignment="1"/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horizontal="right"/>
    </xf>
    <xf numFmtId="43" fontId="0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43" fontId="0" fillId="0" borderId="4" xfId="0" applyNumberFormat="1" applyFont="1" applyFill="1" applyBorder="1" applyAlignment="1"/>
    <xf numFmtId="0" fontId="8" fillId="0" borderId="0" xfId="0" applyNumberFormat="1" applyFont="1" applyFill="1" applyAlignment="1">
      <alignment horizontal="right"/>
    </xf>
    <xf numFmtId="43" fontId="8" fillId="0" borderId="0" xfId="0" applyNumberFormat="1" applyFont="1" applyFill="1" applyAlignment="1"/>
    <xf numFmtId="0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165" fontId="0" fillId="0" borderId="1" xfId="0" applyNumberFormat="1" applyFont="1" applyFill="1" applyBorder="1" applyAlignment="1"/>
    <xf numFmtId="0" fontId="9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left"/>
    </xf>
    <xf numFmtId="8" fontId="11" fillId="0" borderId="1" xfId="0" applyNumberFormat="1" applyFont="1" applyFill="1" applyBorder="1" applyAlignment="1"/>
    <xf numFmtId="165" fontId="11" fillId="0" borderId="1" xfId="0" applyNumberFormat="1" applyFont="1" applyFill="1" applyBorder="1" applyAlignment="1"/>
    <xf numFmtId="0" fontId="11" fillId="0" borderId="0" xfId="0" applyNumberFormat="1" applyFont="1" applyFill="1" applyAlignment="1"/>
    <xf numFmtId="0" fontId="1" fillId="0" borderId="0" xfId="0" applyNumberFormat="1" applyFont="1" applyFill="1" applyBorder="1" applyAlignment="1"/>
    <xf numFmtId="41" fontId="0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0" fontId="1" fillId="0" borderId="3" xfId="0" applyNumberFormat="1" applyFont="1" applyFill="1" applyBorder="1" applyAlignment="1"/>
    <xf numFmtId="41" fontId="9" fillId="0" borderId="3" xfId="0" applyNumberFormat="1" applyFont="1" applyFill="1" applyBorder="1" applyAlignment="1"/>
    <xf numFmtId="41" fontId="0" fillId="0" borderId="3" xfId="0" applyNumberFormat="1" applyFont="1" applyFill="1" applyBorder="1" applyAlignment="1"/>
    <xf numFmtId="0" fontId="8" fillId="0" borderId="0" xfId="0" applyNumberFormat="1" applyFont="1" applyFill="1" applyBorder="1" applyAlignment="1"/>
    <xf numFmtId="41" fontId="0" fillId="0" borderId="0" xfId="0" applyNumberFormat="1" applyFont="1" applyFill="1" applyBorder="1" applyAlignment="1"/>
    <xf numFmtId="9" fontId="0" fillId="0" borderId="0" xfId="0" applyNumberFormat="1" applyFont="1" applyFill="1" applyAlignment="1"/>
    <xf numFmtId="8" fontId="1" fillId="0" borderId="0" xfId="0" applyNumberFormat="1" applyFont="1" applyFill="1" applyAlignment="1"/>
    <xf numFmtId="10" fontId="0" fillId="0" borderId="0" xfId="0" applyNumberFormat="1" applyFont="1" applyFill="1" applyAlignment="1"/>
    <xf numFmtId="8" fontId="1" fillId="0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center"/>
    </xf>
    <xf numFmtId="10" fontId="0" fillId="0" borderId="3" xfId="0" applyNumberFormat="1" applyFont="1" applyFill="1" applyBorder="1" applyAlignment="1"/>
    <xf numFmtId="43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10" fillId="0" borderId="6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41" fontId="0" fillId="0" borderId="10" xfId="0" applyNumberFormat="1" applyFont="1" applyFill="1" applyBorder="1" applyAlignment="1">
      <alignment horizontal="center"/>
    </xf>
    <xf numFmtId="9" fontId="0" fillId="0" borderId="11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right"/>
    </xf>
    <xf numFmtId="41" fontId="0" fillId="0" borderId="8" xfId="0" applyNumberFormat="1" applyFont="1" applyFill="1" applyBorder="1" applyAlignment="1"/>
    <xf numFmtId="41" fontId="0" fillId="0" borderId="4" xfId="0" applyNumberFormat="1" applyFont="1" applyFill="1" applyBorder="1" applyAlignment="1"/>
    <xf numFmtId="41" fontId="0" fillId="0" borderId="5" xfId="0" applyNumberFormat="1" applyFont="1" applyFill="1" applyBorder="1" applyAlignment="1"/>
    <xf numFmtId="9" fontId="0" fillId="0" borderId="4" xfId="0" applyNumberFormat="1" applyFont="1" applyFill="1" applyBorder="1" applyAlignment="1"/>
    <xf numFmtId="9" fontId="0" fillId="0" borderId="5" xfId="0" applyNumberFormat="1" applyFont="1" applyFill="1" applyBorder="1" applyAlignment="1"/>
    <xf numFmtId="0" fontId="1" fillId="0" borderId="9" xfId="0" applyNumberFormat="1" applyFont="1" applyFill="1" applyBorder="1" applyAlignment="1">
      <alignment horizontal="right"/>
    </xf>
    <xf numFmtId="41" fontId="0" fillId="0" borderId="2" xfId="0" applyNumberFormat="1" applyFont="1" applyFill="1" applyBorder="1" applyAlignment="1"/>
    <xf numFmtId="41" fontId="0" fillId="0" borderId="12" xfId="0" applyNumberFormat="1" applyFont="1" applyFill="1" applyBorder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Rebuttal%20Filing\%23RevReq-COS-Attrition-REBUTTAL%20(C)\NEW-PSE-WP-SJK-3.01E-3.01G-IncomeStatement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</sheetData>
      <sheetData sheetId="1" refreshError="1"/>
      <sheetData sheetId="2">
        <row r="12">
          <cell r="G12">
            <v>1147259983</v>
          </cell>
        </row>
        <row r="276">
          <cell r="H276">
            <v>31944158.879999999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34"/>
  <sheetViews>
    <sheetView tabSelected="1" zoomScaleNormal="100" workbookViewId="0">
      <selection activeCell="H20" sqref="H20"/>
    </sheetView>
  </sheetViews>
  <sheetFormatPr defaultRowHeight="12.5" x14ac:dyDescent="0.25"/>
  <cols>
    <col min="1" max="1" width="9.36328125" bestFit="1" customWidth="1"/>
    <col min="2" max="2" width="68" customWidth="1"/>
    <col min="3" max="3" width="14.54296875" bestFit="1" customWidth="1"/>
    <col min="4" max="4" width="5.90625" customWidth="1"/>
    <col min="6" max="6" width="10.453125" bestFit="1" customWidth="1"/>
  </cols>
  <sheetData>
    <row r="1" spans="1:3" ht="13" x14ac:dyDescent="0.3">
      <c r="A1" s="1"/>
      <c r="B1" s="18"/>
      <c r="C1" s="2"/>
    </row>
    <row r="2" spans="1:3" ht="13" x14ac:dyDescent="0.3">
      <c r="A2" s="3"/>
      <c r="B2" s="18" t="s">
        <v>20</v>
      </c>
      <c r="C2" s="2"/>
    </row>
    <row r="3" spans="1:3" ht="13" x14ac:dyDescent="0.3">
      <c r="A3" s="1"/>
      <c r="B3" s="18"/>
    </row>
    <row r="4" spans="1:3" ht="13" x14ac:dyDescent="0.3">
      <c r="A4" s="4"/>
      <c r="B4" s="4"/>
      <c r="C4" s="4"/>
    </row>
    <row r="5" spans="1:3" ht="13" x14ac:dyDescent="0.3">
      <c r="A5" s="5" t="s">
        <v>19</v>
      </c>
      <c r="B5" s="6"/>
      <c r="C5" s="7"/>
    </row>
    <row r="6" spans="1:3" ht="13" x14ac:dyDescent="0.3">
      <c r="A6" s="6" t="s">
        <v>0</v>
      </c>
      <c r="B6" s="6"/>
      <c r="C6" s="7"/>
    </row>
    <row r="7" spans="1:3" ht="13" x14ac:dyDescent="0.3">
      <c r="A7" s="85" t="s">
        <v>86</v>
      </c>
      <c r="B7" s="85"/>
      <c r="C7" s="85"/>
    </row>
    <row r="8" spans="1:3" ht="13" x14ac:dyDescent="0.3">
      <c r="A8" s="86" t="s">
        <v>62</v>
      </c>
      <c r="B8" s="86"/>
      <c r="C8" s="86"/>
    </row>
    <row r="9" spans="1:3" ht="13" x14ac:dyDescent="0.3">
      <c r="A9" s="4"/>
      <c r="B9" s="25"/>
      <c r="C9" s="8"/>
    </row>
    <row r="10" spans="1:3" ht="13" x14ac:dyDescent="0.3">
      <c r="A10" s="9" t="s">
        <v>1</v>
      </c>
      <c r="B10" s="4"/>
      <c r="C10" s="8"/>
    </row>
    <row r="11" spans="1:3" ht="13" x14ac:dyDescent="0.3">
      <c r="A11" s="10" t="s">
        <v>2</v>
      </c>
      <c r="B11" s="11" t="s">
        <v>3</v>
      </c>
      <c r="C11" s="12" t="s">
        <v>4</v>
      </c>
    </row>
    <row r="12" spans="1:3" ht="13" x14ac:dyDescent="0.3">
      <c r="A12" s="1"/>
      <c r="B12" s="1"/>
      <c r="C12" s="13"/>
    </row>
    <row r="13" spans="1:3" ht="13" x14ac:dyDescent="0.3">
      <c r="A13" s="14">
        <v>1</v>
      </c>
      <c r="B13" s="15" t="s">
        <v>5</v>
      </c>
      <c r="C13" s="26">
        <f>+CBR_Gas!C35</f>
        <v>98315667.526744738</v>
      </c>
    </row>
    <row r="14" spans="1:3" ht="13" x14ac:dyDescent="0.3">
      <c r="A14" s="14">
        <f>A13+1</f>
        <v>2</v>
      </c>
      <c r="B14" s="16"/>
      <c r="C14" s="19"/>
    </row>
    <row r="15" spans="1:3" ht="13" x14ac:dyDescent="0.3">
      <c r="A15" s="14">
        <f t="shared" ref="A15:A33" si="0">A14+1</f>
        <v>3</v>
      </c>
      <c r="B15" s="16" t="s">
        <v>6</v>
      </c>
      <c r="C15" s="20"/>
    </row>
    <row r="16" spans="1:3" ht="13" x14ac:dyDescent="0.3">
      <c r="A16" s="14">
        <f t="shared" si="0"/>
        <v>4</v>
      </c>
      <c r="B16" s="16" t="s">
        <v>7</v>
      </c>
      <c r="C16" s="20">
        <f>+CBR_Gas!C37</f>
        <v>20646290.180616394</v>
      </c>
    </row>
    <row r="17" spans="1:5" ht="13" x14ac:dyDescent="0.3">
      <c r="A17" s="14">
        <f t="shared" si="0"/>
        <v>5</v>
      </c>
      <c r="B17" s="16" t="s">
        <v>8</v>
      </c>
      <c r="C17" s="19">
        <f>+CBR_Gas!D37</f>
        <v>523319.51868811855</v>
      </c>
    </row>
    <row r="18" spans="1:5" ht="13" x14ac:dyDescent="0.3">
      <c r="A18" s="14">
        <f t="shared" si="0"/>
        <v>6</v>
      </c>
      <c r="B18" s="1" t="s">
        <v>60</v>
      </c>
      <c r="C18" s="26">
        <v>0</v>
      </c>
    </row>
    <row r="19" spans="1:5" ht="13" x14ac:dyDescent="0.3">
      <c r="A19" s="14">
        <f t="shared" si="0"/>
        <v>7</v>
      </c>
      <c r="B19" s="1" t="s">
        <v>10</v>
      </c>
      <c r="C19" s="27">
        <v>0</v>
      </c>
    </row>
    <row r="20" spans="1:5" ht="13" x14ac:dyDescent="0.3">
      <c r="A20" s="14">
        <f t="shared" si="0"/>
        <v>8</v>
      </c>
      <c r="B20" s="1" t="s">
        <v>11</v>
      </c>
      <c r="C20" s="26">
        <f>SUM(C16:C19)</f>
        <v>21169609.699304514</v>
      </c>
      <c r="D20" s="29">
        <f>+CBR_Gas!E37-C20</f>
        <v>0</v>
      </c>
      <c r="E20" s="30" t="s">
        <v>100</v>
      </c>
    </row>
    <row r="21" spans="1:5" ht="13" x14ac:dyDescent="0.3">
      <c r="A21" s="14">
        <f t="shared" si="0"/>
        <v>9</v>
      </c>
      <c r="B21" s="1"/>
      <c r="C21" s="21"/>
    </row>
    <row r="22" spans="1:5" ht="13" x14ac:dyDescent="0.3">
      <c r="A22" s="14">
        <f t="shared" si="0"/>
        <v>10</v>
      </c>
      <c r="B22" s="1" t="s">
        <v>12</v>
      </c>
      <c r="C22" s="19"/>
    </row>
    <row r="23" spans="1:5" ht="13" x14ac:dyDescent="0.3">
      <c r="A23" s="14">
        <f t="shared" si="0"/>
        <v>11</v>
      </c>
      <c r="B23" s="16" t="s">
        <v>13</v>
      </c>
      <c r="C23" s="19">
        <f>+'[1]Unallocated Detail (CBR)'!$H$276</f>
        <v>31944158.879999999</v>
      </c>
    </row>
    <row r="24" spans="1:5" ht="13" x14ac:dyDescent="0.3">
      <c r="A24" s="14">
        <f t="shared" si="0"/>
        <v>12</v>
      </c>
      <c r="B24" s="16" t="s">
        <v>8</v>
      </c>
      <c r="C24" s="19">
        <f>+'41010301'!B13</f>
        <v>46080716.039999999</v>
      </c>
    </row>
    <row r="25" spans="1:5" ht="13" x14ac:dyDescent="0.3">
      <c r="A25" s="14">
        <f t="shared" si="0"/>
        <v>13</v>
      </c>
      <c r="B25" s="1" t="s">
        <v>9</v>
      </c>
      <c r="C25" s="19">
        <f>+'41110301'!B13</f>
        <v>-55638846.630000003</v>
      </c>
    </row>
    <row r="26" spans="1:5" ht="13" x14ac:dyDescent="0.3">
      <c r="A26" s="14">
        <f t="shared" si="0"/>
        <v>14</v>
      </c>
      <c r="B26" s="1" t="s">
        <v>10</v>
      </c>
      <c r="C26" s="24">
        <v>0</v>
      </c>
    </row>
    <row r="27" spans="1:5" ht="13" x14ac:dyDescent="0.3">
      <c r="A27" s="14">
        <f t="shared" si="0"/>
        <v>15</v>
      </c>
      <c r="B27" s="1"/>
      <c r="C27" s="22"/>
    </row>
    <row r="28" spans="1:5" ht="13" x14ac:dyDescent="0.3">
      <c r="A28" s="14">
        <f t="shared" si="0"/>
        <v>16</v>
      </c>
      <c r="B28" s="17" t="s">
        <v>14</v>
      </c>
      <c r="C28" s="23">
        <f>SUM(C23:C26)</f>
        <v>22386028.289999999</v>
      </c>
    </row>
    <row r="29" spans="1:5" ht="13" x14ac:dyDescent="0.3">
      <c r="A29" s="14">
        <f t="shared" si="0"/>
        <v>17</v>
      </c>
      <c r="B29" s="1"/>
      <c r="C29" s="19"/>
    </row>
    <row r="30" spans="1:5" ht="13" x14ac:dyDescent="0.3">
      <c r="A30" s="14">
        <f t="shared" si="0"/>
        <v>18</v>
      </c>
      <c r="B30" s="16" t="s">
        <v>15</v>
      </c>
      <c r="C30" s="19">
        <f>C16-C23</f>
        <v>-11297868.699383605</v>
      </c>
    </row>
    <row r="31" spans="1:5" ht="13" x14ac:dyDescent="0.3">
      <c r="A31" s="14">
        <f t="shared" si="0"/>
        <v>19</v>
      </c>
      <c r="B31" s="16" t="s">
        <v>16</v>
      </c>
      <c r="C31" s="20">
        <f>(C17+C18)-(C24+C25)</f>
        <v>10081450.108688122</v>
      </c>
    </row>
    <row r="32" spans="1:5" ht="13" x14ac:dyDescent="0.3">
      <c r="A32" s="14">
        <f t="shared" si="0"/>
        <v>20</v>
      </c>
      <c r="B32" s="1" t="s">
        <v>17</v>
      </c>
      <c r="C32" s="21">
        <f>C19-C26</f>
        <v>0</v>
      </c>
    </row>
    <row r="33" spans="1:3" ht="13.5" thickBot="1" x14ac:dyDescent="0.35">
      <c r="A33" s="14">
        <f t="shared" si="0"/>
        <v>21</v>
      </c>
      <c r="B33" s="16" t="s">
        <v>18</v>
      </c>
      <c r="C33" s="28">
        <f>-SUM(C30:C32)</f>
        <v>1216418.5906954836</v>
      </c>
    </row>
    <row r="34" spans="1:3" ht="13" thickTop="1" x14ac:dyDescent="0.25"/>
  </sheetData>
  <mergeCells count="2">
    <mergeCell ref="A7:C7"/>
    <mergeCell ref="A8:C8"/>
  </mergeCells>
  <phoneticPr fontId="6" type="noConversion"/>
  <pageMargins left="0.75" right="0.75" top="0.75" bottom="0.7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0"/>
  <sheetViews>
    <sheetView topLeftCell="B1" workbookViewId="0">
      <selection activeCell="C4" sqref="C4"/>
    </sheetView>
  </sheetViews>
  <sheetFormatPr defaultColWidth="8.90625" defaultRowHeight="14.5" x14ac:dyDescent="0.35"/>
  <cols>
    <col min="1" max="1" width="0" style="35" hidden="1" customWidth="1"/>
    <col min="2" max="2" width="38.08984375" style="35" bestFit="1" customWidth="1"/>
    <col min="3" max="3" width="15.54296875" style="35" bestFit="1" customWidth="1"/>
    <col min="4" max="4" width="14.54296875" style="35" bestFit="1" customWidth="1"/>
    <col min="5" max="5" width="15.6328125" style="35" bestFit="1" customWidth="1"/>
    <col min="6" max="6" width="13.90625" style="35" bestFit="1" customWidth="1"/>
    <col min="7" max="16384" width="8.90625" style="35"/>
  </cols>
  <sheetData>
    <row r="1" spans="1:6" x14ac:dyDescent="0.35">
      <c r="B1" s="36" t="s">
        <v>63</v>
      </c>
    </row>
    <row r="2" spans="1:6" x14ac:dyDescent="0.35">
      <c r="B2" s="36" t="s">
        <v>87</v>
      </c>
    </row>
    <row r="3" spans="1:6" x14ac:dyDescent="0.35">
      <c r="B3" s="37"/>
    </row>
    <row r="4" spans="1:6" x14ac:dyDescent="0.35">
      <c r="B4" s="38" t="s">
        <v>25</v>
      </c>
      <c r="C4" s="39">
        <v>103864303.9900012</v>
      </c>
    </row>
    <row r="5" spans="1:6" x14ac:dyDescent="0.35">
      <c r="B5" s="40" t="s">
        <v>26</v>
      </c>
      <c r="C5" s="41">
        <v>22386028.290000003</v>
      </c>
    </row>
    <row r="6" spans="1:6" x14ac:dyDescent="0.35">
      <c r="B6" s="42" t="s">
        <v>27</v>
      </c>
      <c r="C6" s="43">
        <f>SUM(C4:C5)</f>
        <v>126250332.28000121</v>
      </c>
    </row>
    <row r="8" spans="1:6" ht="43.5" x14ac:dyDescent="0.35">
      <c r="A8" s="44" t="s">
        <v>43</v>
      </c>
      <c r="B8" s="44" t="s">
        <v>69</v>
      </c>
      <c r="C8" s="44" t="s">
        <v>28</v>
      </c>
      <c r="D8" s="44" t="s">
        <v>29</v>
      </c>
      <c r="E8" s="45">
        <v>0.21</v>
      </c>
      <c r="F8" s="44" t="s">
        <v>88</v>
      </c>
    </row>
    <row r="9" spans="1:6" x14ac:dyDescent="0.35">
      <c r="A9" s="46" t="s">
        <v>45</v>
      </c>
      <c r="B9" s="46" t="s">
        <v>22</v>
      </c>
      <c r="C9" s="47">
        <v>-440478.81</v>
      </c>
      <c r="D9" s="47">
        <v>92500.55</v>
      </c>
      <c r="E9" s="47">
        <f t="shared" ref="E9:E31" si="0">C9*$E$8</f>
        <v>-92500.550099999993</v>
      </c>
      <c r="F9" s="47">
        <f>D9+E9</f>
        <v>-9.9999990197829902E-5</v>
      </c>
    </row>
    <row r="10" spans="1:6" x14ac:dyDescent="0.35">
      <c r="A10" s="46" t="s">
        <v>46</v>
      </c>
      <c r="B10" s="46" t="s">
        <v>21</v>
      </c>
      <c r="C10" s="47">
        <v>115149.78</v>
      </c>
      <c r="D10" s="47">
        <v>-24181.45</v>
      </c>
      <c r="E10" s="47">
        <f t="shared" si="0"/>
        <v>24181.453799999999</v>
      </c>
      <c r="F10" s="47">
        <f t="shared" ref="F10:F28" si="1">D10+E10</f>
        <v>3.7999999985913746E-3</v>
      </c>
    </row>
    <row r="11" spans="1:6" x14ac:dyDescent="0.35">
      <c r="A11" s="46" t="s">
        <v>47</v>
      </c>
      <c r="B11" s="46" t="s">
        <v>23</v>
      </c>
      <c r="C11" s="47">
        <v>5600668.0999999996</v>
      </c>
      <c r="D11" s="47">
        <v>-1176140.3</v>
      </c>
      <c r="E11" s="47">
        <f t="shared" si="0"/>
        <v>1176140.301</v>
      </c>
      <c r="F11" s="47">
        <f t="shared" si="1"/>
        <v>9.9999993108212948E-4</v>
      </c>
    </row>
    <row r="12" spans="1:6" x14ac:dyDescent="0.35">
      <c r="A12" s="48" t="s">
        <v>48</v>
      </c>
      <c r="B12" s="48" t="s">
        <v>31</v>
      </c>
      <c r="C12" s="47">
        <v>-3114450.24</v>
      </c>
      <c r="D12" s="47">
        <v>654034.55000000005</v>
      </c>
      <c r="E12" s="47">
        <f t="shared" si="0"/>
        <v>-654034.55040000007</v>
      </c>
      <c r="F12" s="47">
        <f t="shared" si="1"/>
        <v>-4.0000001899898052E-4</v>
      </c>
    </row>
    <row r="13" spans="1:6" x14ac:dyDescent="0.35">
      <c r="A13" s="46" t="s">
        <v>49</v>
      </c>
      <c r="B13" s="46" t="s">
        <v>24</v>
      </c>
      <c r="C13" s="47">
        <v>-481199</v>
      </c>
      <c r="D13" s="47">
        <v>101051.79</v>
      </c>
      <c r="E13" s="47">
        <f t="shared" si="0"/>
        <v>-101051.79</v>
      </c>
      <c r="F13" s="47">
        <f t="shared" si="1"/>
        <v>0</v>
      </c>
    </row>
    <row r="14" spans="1:6" x14ac:dyDescent="0.35">
      <c r="A14" s="46" t="s">
        <v>50</v>
      </c>
      <c r="B14" s="46" t="s">
        <v>77</v>
      </c>
      <c r="C14" s="47">
        <v>-105064</v>
      </c>
      <c r="D14" s="47">
        <v>22063.439999999999</v>
      </c>
      <c r="E14" s="47">
        <f t="shared" si="0"/>
        <v>-22063.439999999999</v>
      </c>
      <c r="F14" s="47">
        <f t="shared" si="1"/>
        <v>0</v>
      </c>
    </row>
    <row r="15" spans="1:6" x14ac:dyDescent="0.35">
      <c r="A15" s="46" t="s">
        <v>51</v>
      </c>
      <c r="B15" s="46" t="s">
        <v>32</v>
      </c>
      <c r="C15" s="47">
        <v>302783.11</v>
      </c>
      <c r="D15" s="47">
        <v>-63584.45</v>
      </c>
      <c r="E15" s="47">
        <f t="shared" si="0"/>
        <v>63584.453099999992</v>
      </c>
      <c r="F15" s="47">
        <f t="shared" si="1"/>
        <v>3.0999999944469891E-3</v>
      </c>
    </row>
    <row r="16" spans="1:6" x14ac:dyDescent="0.35">
      <c r="A16" s="46" t="s">
        <v>52</v>
      </c>
      <c r="B16" s="46" t="s">
        <v>33</v>
      </c>
      <c r="C16" s="47">
        <v>-26988.55</v>
      </c>
      <c r="D16" s="47">
        <v>5667.6</v>
      </c>
      <c r="E16" s="47">
        <f t="shared" si="0"/>
        <v>-5667.5954999999994</v>
      </c>
      <c r="F16" s="47">
        <f t="shared" si="1"/>
        <v>4.5000000009167707E-3</v>
      </c>
    </row>
    <row r="17" spans="1:6" x14ac:dyDescent="0.35">
      <c r="A17" s="46" t="s">
        <v>53</v>
      </c>
      <c r="B17" s="46" t="s">
        <v>34</v>
      </c>
      <c r="C17" s="47">
        <v>-548892</v>
      </c>
      <c r="D17" s="47">
        <v>115267.32</v>
      </c>
      <c r="E17" s="47">
        <f t="shared" si="0"/>
        <v>-115267.31999999999</v>
      </c>
      <c r="F17" s="47">
        <f t="shared" si="1"/>
        <v>0</v>
      </c>
    </row>
    <row r="18" spans="1:6" x14ac:dyDescent="0.35">
      <c r="A18" s="46" t="s">
        <v>54</v>
      </c>
      <c r="B18" s="46" t="s">
        <v>35</v>
      </c>
      <c r="C18" s="47">
        <v>74365.03</v>
      </c>
      <c r="D18" s="47">
        <v>-15616.66</v>
      </c>
      <c r="E18" s="47">
        <f t="shared" si="0"/>
        <v>15616.656299999999</v>
      </c>
      <c r="F18" s="47">
        <f t="shared" si="1"/>
        <v>-3.7000000011175871E-3</v>
      </c>
    </row>
    <row r="19" spans="1:6" x14ac:dyDescent="0.35">
      <c r="A19" s="46" t="s">
        <v>55</v>
      </c>
      <c r="B19" s="46" t="s">
        <v>70</v>
      </c>
      <c r="C19" s="47">
        <v>-285160</v>
      </c>
      <c r="D19" s="47">
        <f>-C19*0.343</f>
        <v>97809.88</v>
      </c>
      <c r="E19" s="47">
        <f t="shared" si="0"/>
        <v>-59883.6</v>
      </c>
      <c r="F19" s="47">
        <f t="shared" si="1"/>
        <v>37926.280000000006</v>
      </c>
    </row>
    <row r="20" spans="1:6" x14ac:dyDescent="0.35">
      <c r="A20" s="46" t="s">
        <v>56</v>
      </c>
      <c r="B20" s="46" t="s">
        <v>36</v>
      </c>
      <c r="C20" s="47">
        <v>-47408.65</v>
      </c>
      <c r="D20" s="47">
        <v>9955.82</v>
      </c>
      <c r="E20" s="47">
        <f t="shared" si="0"/>
        <v>-9955.8165000000008</v>
      </c>
      <c r="F20" s="47">
        <f t="shared" si="1"/>
        <v>3.4999999988940544E-3</v>
      </c>
    </row>
    <row r="21" spans="1:6" x14ac:dyDescent="0.35">
      <c r="A21" s="46" t="s">
        <v>57</v>
      </c>
      <c r="B21" s="46" t="s">
        <v>37</v>
      </c>
      <c r="C21" s="47">
        <v>-2675000</v>
      </c>
      <c r="D21" s="47">
        <v>561750</v>
      </c>
      <c r="E21" s="47">
        <f t="shared" si="0"/>
        <v>-561750</v>
      </c>
      <c r="F21" s="47">
        <f t="shared" si="1"/>
        <v>0</v>
      </c>
    </row>
    <row r="22" spans="1:6" x14ac:dyDescent="0.35">
      <c r="A22" s="46" t="s">
        <v>58</v>
      </c>
      <c r="B22" s="46" t="s">
        <v>61</v>
      </c>
      <c r="C22" s="47">
        <v>223842.91</v>
      </c>
      <c r="D22" s="47">
        <v>-47007.01</v>
      </c>
      <c r="E22" s="47">
        <f t="shared" si="0"/>
        <v>47007.011099999996</v>
      </c>
      <c r="F22" s="47">
        <f t="shared" si="1"/>
        <v>1.0999999940395355E-3</v>
      </c>
    </row>
    <row r="23" spans="1:6" x14ac:dyDescent="0.35">
      <c r="A23" s="46" t="s">
        <v>59</v>
      </c>
      <c r="B23" s="46" t="s">
        <v>38</v>
      </c>
      <c r="C23" s="47">
        <v>-48824.29</v>
      </c>
      <c r="D23" s="47">
        <v>10253.1</v>
      </c>
      <c r="E23" s="47">
        <f t="shared" si="0"/>
        <v>-10253.100899999999</v>
      </c>
      <c r="F23" s="47">
        <f t="shared" si="1"/>
        <v>-8.9999999909196049E-4</v>
      </c>
    </row>
    <row r="24" spans="1:6" x14ac:dyDescent="0.35">
      <c r="A24" s="46" t="s">
        <v>71</v>
      </c>
      <c r="B24" s="46" t="s">
        <v>72</v>
      </c>
      <c r="C24" s="47">
        <v>1519485</v>
      </c>
      <c r="D24" s="47">
        <v>-319091.85000000009</v>
      </c>
      <c r="E24" s="47">
        <f t="shared" si="0"/>
        <v>319091.84999999998</v>
      </c>
      <c r="F24" s="47">
        <f t="shared" si="1"/>
        <v>0</v>
      </c>
    </row>
    <row r="25" spans="1:6" x14ac:dyDescent="0.35">
      <c r="A25" s="46"/>
      <c r="B25" s="46" t="s">
        <v>89</v>
      </c>
      <c r="C25" s="47">
        <v>612.66</v>
      </c>
      <c r="D25" s="47">
        <v>-128.66</v>
      </c>
      <c r="E25" s="47">
        <f t="shared" si="0"/>
        <v>128.65859999999998</v>
      </c>
      <c r="F25" s="47">
        <f t="shared" si="1"/>
        <v>-1.4000000000180535E-3</v>
      </c>
    </row>
    <row r="26" spans="1:6" x14ac:dyDescent="0.35">
      <c r="A26" s="46"/>
      <c r="B26" s="46" t="s">
        <v>90</v>
      </c>
      <c r="C26" s="47">
        <v>5871.23</v>
      </c>
      <c r="D26" s="47">
        <v>-1232.96</v>
      </c>
      <c r="E26" s="47">
        <f t="shared" si="0"/>
        <v>1232.9582999999998</v>
      </c>
      <c r="F26" s="47">
        <f t="shared" si="1"/>
        <v>-1.7000000002553861E-3</v>
      </c>
    </row>
    <row r="27" spans="1:6" x14ac:dyDescent="0.35">
      <c r="A27" s="46"/>
      <c r="B27" s="46" t="s">
        <v>91</v>
      </c>
      <c r="C27" s="47">
        <v>-958295.24</v>
      </c>
      <c r="D27" s="47">
        <v>201242</v>
      </c>
      <c r="E27" s="47">
        <f t="shared" si="0"/>
        <v>-201242.00039999999</v>
      </c>
      <c r="F27" s="47">
        <f t="shared" si="1"/>
        <v>-3.9999998989515007E-4</v>
      </c>
    </row>
    <row r="28" spans="1:6" x14ac:dyDescent="0.35">
      <c r="A28" s="46"/>
      <c r="B28" s="46" t="s">
        <v>92</v>
      </c>
      <c r="C28" s="47">
        <v>10523931</v>
      </c>
      <c r="D28" s="47">
        <v>-2210025.5099999998</v>
      </c>
      <c r="E28" s="47">
        <f t="shared" si="0"/>
        <v>2210025.5099999998</v>
      </c>
      <c r="F28" s="47">
        <f t="shared" si="1"/>
        <v>0</v>
      </c>
    </row>
    <row r="29" spans="1:6" s="52" customFormat="1" x14ac:dyDescent="0.35">
      <c r="A29" s="49" t="s">
        <v>44</v>
      </c>
      <c r="B29" s="50" t="s">
        <v>30</v>
      </c>
      <c r="C29" s="51">
        <v>409322</v>
      </c>
      <c r="D29" s="51">
        <v>0</v>
      </c>
      <c r="E29" s="51">
        <f t="shared" si="0"/>
        <v>85957.62</v>
      </c>
      <c r="F29" s="51">
        <f>E29</f>
        <v>85957.62</v>
      </c>
    </row>
    <row r="30" spans="1:6" s="52" customFormat="1" x14ac:dyDescent="0.35">
      <c r="A30" s="49"/>
      <c r="B30" s="50" t="s">
        <v>93</v>
      </c>
      <c r="C30" s="51">
        <v>1119440.7237760001</v>
      </c>
      <c r="D30" s="51"/>
      <c r="E30" s="51">
        <f t="shared" si="0"/>
        <v>235082.55199296001</v>
      </c>
      <c r="F30" s="51">
        <f t="shared" ref="F30:F31" si="2">E30</f>
        <v>235082.55199296001</v>
      </c>
    </row>
    <row r="31" spans="1:6" s="52" customFormat="1" x14ac:dyDescent="0.35">
      <c r="A31" s="49"/>
      <c r="B31" s="50" t="s">
        <v>94</v>
      </c>
      <c r="C31" s="51">
        <v>1066660</v>
      </c>
      <c r="D31" s="51"/>
      <c r="E31" s="51">
        <f t="shared" si="0"/>
        <v>223998.6</v>
      </c>
      <c r="F31" s="51">
        <f t="shared" si="2"/>
        <v>223998.6</v>
      </c>
    </row>
    <row r="32" spans="1:6" s="52" customFormat="1" x14ac:dyDescent="0.35">
      <c r="A32" s="49" t="s">
        <v>73</v>
      </c>
      <c r="B32" s="50" t="s">
        <v>74</v>
      </c>
      <c r="C32" s="51">
        <f>D56</f>
        <v>-40165035.517032467</v>
      </c>
      <c r="D32" s="51">
        <f>D59</f>
        <v>2508732.3186881184</v>
      </c>
      <c r="E32" s="51">
        <f>-C32*$E$8</f>
        <v>8434657.4585768171</v>
      </c>
      <c r="F32" s="51">
        <f>D32-E32</f>
        <v>-5925925.1398886982</v>
      </c>
    </row>
    <row r="34" spans="2:6" x14ac:dyDescent="0.35">
      <c r="B34" s="53" t="s">
        <v>39</v>
      </c>
      <c r="C34" s="54">
        <f>SUM(C9:C32)</f>
        <v>-27934664.75325647</v>
      </c>
      <c r="D34" s="54">
        <f>SUM(D9:D32)</f>
        <v>523319.51868811855</v>
      </c>
      <c r="E34" s="54">
        <f>SUM(E9:E32)</f>
        <v>11003035.318969777</v>
      </c>
      <c r="F34" s="54">
        <f>SUM(F9:F32)</f>
        <v>-5342960.0794957383</v>
      </c>
    </row>
    <row r="35" spans="2:6" x14ac:dyDescent="0.35">
      <c r="B35" s="55" t="s">
        <v>40</v>
      </c>
      <c r="C35" s="54">
        <f>C6+C34</f>
        <v>98315667.526744738</v>
      </c>
      <c r="D35" s="54"/>
      <c r="E35" s="54"/>
    </row>
    <row r="36" spans="2:6" x14ac:dyDescent="0.35">
      <c r="C36" s="56" t="s">
        <v>95</v>
      </c>
    </row>
    <row r="37" spans="2:6" ht="15" thickBot="1" x14ac:dyDescent="0.4">
      <c r="B37" s="57" t="s">
        <v>41</v>
      </c>
      <c r="C37" s="58">
        <f>C35*21%</f>
        <v>20646290.180616394</v>
      </c>
      <c r="D37" s="59">
        <f>D34</f>
        <v>523319.51868811855</v>
      </c>
      <c r="E37" s="59">
        <f>SUM(C37:D37)</f>
        <v>21169609.699304514</v>
      </c>
    </row>
    <row r="38" spans="2:6" ht="15" thickTop="1" x14ac:dyDescent="0.35">
      <c r="C38" s="54"/>
      <c r="D38" s="54"/>
      <c r="E38" s="54"/>
    </row>
    <row r="40" spans="2:6" x14ac:dyDescent="0.35">
      <c r="B40" s="60" t="s">
        <v>75</v>
      </c>
    </row>
    <row r="41" spans="2:6" x14ac:dyDescent="0.35">
      <c r="B41" s="55" t="s">
        <v>42</v>
      </c>
      <c r="C41" s="61">
        <f>C6</f>
        <v>126250332.28000121</v>
      </c>
    </row>
    <row r="42" spans="2:6" x14ac:dyDescent="0.35">
      <c r="B42" s="37" t="s">
        <v>96</v>
      </c>
      <c r="C42" s="61">
        <f>C41*21%</f>
        <v>26512569.778800253</v>
      </c>
      <c r="D42" s="62">
        <f>C42/$C$41</f>
        <v>0.21</v>
      </c>
    </row>
    <row r="43" spans="2:6" x14ac:dyDescent="0.35">
      <c r="B43" s="63" t="s">
        <v>30</v>
      </c>
      <c r="C43" s="61">
        <f>E29</f>
        <v>85957.62</v>
      </c>
      <c r="D43" s="64">
        <f>C43/$C$41</f>
        <v>6.8085064369859236E-4</v>
      </c>
    </row>
    <row r="44" spans="2:6" x14ac:dyDescent="0.35">
      <c r="B44" s="63" t="s">
        <v>74</v>
      </c>
      <c r="C44" s="61">
        <f>F32+F19</f>
        <v>-5887998.859888698</v>
      </c>
      <c r="D44" s="64">
        <f t="shared" ref="D44:D46" si="3">C44/$C$41</f>
        <v>-4.663749198560637E-2</v>
      </c>
    </row>
    <row r="45" spans="2:6" x14ac:dyDescent="0.35">
      <c r="B45" s="65" t="s">
        <v>94</v>
      </c>
      <c r="C45" s="61">
        <f>F31</f>
        <v>223998.6</v>
      </c>
      <c r="D45" s="64">
        <f t="shared" si="3"/>
        <v>1.774241666970113E-3</v>
      </c>
    </row>
    <row r="46" spans="2:6" x14ac:dyDescent="0.35">
      <c r="B46" s="65" t="s">
        <v>93</v>
      </c>
      <c r="C46" s="61">
        <f>F30</f>
        <v>235082.55199296001</v>
      </c>
      <c r="D46" s="64">
        <f t="shared" si="3"/>
        <v>1.8620351150568691E-3</v>
      </c>
    </row>
    <row r="47" spans="2:6" ht="15" thickBot="1" x14ac:dyDescent="0.4">
      <c r="B47" s="66" t="s">
        <v>76</v>
      </c>
      <c r="C47" s="59">
        <f>SUM(C42:C46)</f>
        <v>21169609.690904517</v>
      </c>
      <c r="D47" s="67">
        <f>C47/$C$41</f>
        <v>0.16767963544011921</v>
      </c>
      <c r="E47" s="68"/>
    </row>
    <row r="48" spans="2:6" ht="15" thickTop="1" x14ac:dyDescent="0.35">
      <c r="B48" s="53"/>
      <c r="C48" s="61">
        <f>C47-E37</f>
        <v>-8.3999969065189362E-3</v>
      </c>
      <c r="D48" s="69"/>
    </row>
    <row r="49" spans="2:5" x14ac:dyDescent="0.35">
      <c r="B49" s="70"/>
      <c r="C49" s="61"/>
      <c r="D49" s="69"/>
    </row>
    <row r="50" spans="2:5" ht="15" thickBot="1" x14ac:dyDescent="0.4">
      <c r="B50" s="71"/>
    </row>
    <row r="51" spans="2:5" ht="18.5" x14ac:dyDescent="0.45">
      <c r="B51" s="72" t="s">
        <v>78</v>
      </c>
      <c r="C51" s="73" t="s">
        <v>79</v>
      </c>
      <c r="D51" s="74" t="s">
        <v>80</v>
      </c>
      <c r="E51" s="75" t="s">
        <v>81</v>
      </c>
    </row>
    <row r="52" spans="2:5" x14ac:dyDescent="0.35">
      <c r="B52" s="76" t="s">
        <v>97</v>
      </c>
      <c r="C52" s="61">
        <v>174182144.34337142</v>
      </c>
      <c r="D52" s="61">
        <v>-12108288.676704764</v>
      </c>
      <c r="E52" s="77">
        <v>162073855.66666666</v>
      </c>
    </row>
    <row r="53" spans="2:5" x14ac:dyDescent="0.35">
      <c r="B53" s="76" t="s">
        <v>82</v>
      </c>
      <c r="C53" s="61">
        <v>-102352298.93211141</v>
      </c>
      <c r="D53" s="61">
        <v>-32010339.224555232</v>
      </c>
      <c r="E53" s="77">
        <v>-134362638.15666664</v>
      </c>
    </row>
    <row r="54" spans="2:5" x14ac:dyDescent="0.35">
      <c r="B54" s="76" t="s">
        <v>83</v>
      </c>
      <c r="C54" s="61">
        <v>7377559.528248094</v>
      </c>
      <c r="D54" s="61">
        <v>3791648.0822280929</v>
      </c>
      <c r="E54" s="77">
        <v>11169207.610476186</v>
      </c>
    </row>
    <row r="55" spans="2:5" x14ac:dyDescent="0.35">
      <c r="B55" s="76" t="s">
        <v>98</v>
      </c>
      <c r="C55" s="78">
        <v>-76074.463869817992</v>
      </c>
      <c r="D55" s="78">
        <v>161944.30199943797</v>
      </c>
      <c r="E55" s="79">
        <v>85869.83812961998</v>
      </c>
    </row>
    <row r="56" spans="2:5" x14ac:dyDescent="0.35">
      <c r="B56" s="76" t="s">
        <v>99</v>
      </c>
      <c r="C56" s="61">
        <v>79131330.475638285</v>
      </c>
      <c r="D56" s="61">
        <v>-40165035.517032467</v>
      </c>
      <c r="E56" s="77">
        <v>38966294.958605826</v>
      </c>
    </row>
    <row r="57" spans="2:5" x14ac:dyDescent="0.35">
      <c r="B57" s="76"/>
      <c r="C57" s="80">
        <v>0.21</v>
      </c>
      <c r="D57" s="80">
        <v>0.21</v>
      </c>
      <c r="E57" s="81">
        <v>0.21</v>
      </c>
    </row>
    <row r="58" spans="2:5" x14ac:dyDescent="0.35">
      <c r="B58" s="76" t="s">
        <v>85</v>
      </c>
      <c r="C58" s="61">
        <v>16617579.39988404</v>
      </c>
      <c r="D58" s="61">
        <v>-8434657.4585768171</v>
      </c>
      <c r="E58" s="77">
        <v>8182921.9413072234</v>
      </c>
    </row>
    <row r="59" spans="2:5" x14ac:dyDescent="0.35">
      <c r="B59" s="76" t="s">
        <v>84</v>
      </c>
      <c r="C59" s="78">
        <v>-36562274.674695343</v>
      </c>
      <c r="D59" s="78">
        <v>2508732.3186881184</v>
      </c>
      <c r="E59" s="79">
        <v>-34053542.356007226</v>
      </c>
    </row>
    <row r="60" spans="2:5" ht="15" thickBot="1" x14ac:dyDescent="0.4">
      <c r="B60" s="82" t="s">
        <v>82</v>
      </c>
      <c r="C60" s="83">
        <v>-19944695.274811305</v>
      </c>
      <c r="D60" s="83">
        <v>-5925925.1398886982</v>
      </c>
      <c r="E60" s="84">
        <v>-25870620.414700001</v>
      </c>
    </row>
  </sheetData>
  <autoFilter ref="A8:F32" xr:uid="{00000000-0009-0000-0000-000001000000}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"/>
  <sheetViews>
    <sheetView zoomScale="85" zoomScaleNormal="85" workbookViewId="0">
      <selection activeCell="A2" sqref="A2"/>
    </sheetView>
  </sheetViews>
  <sheetFormatPr defaultColWidth="9.08984375" defaultRowHeight="14.5" x14ac:dyDescent="0.35"/>
  <cols>
    <col min="1" max="1" width="45.54296875" style="31" bestFit="1" customWidth="1"/>
    <col min="2" max="2" width="14.36328125" style="31" bestFit="1" customWidth="1"/>
    <col min="3" max="6" width="13.36328125" style="31" bestFit="1" customWidth="1"/>
    <col min="7" max="7" width="11.54296875" style="31" bestFit="1" customWidth="1"/>
    <col min="8" max="8" width="13.36328125" style="31" bestFit="1" customWidth="1"/>
    <col min="9" max="9" width="15" style="31" bestFit="1" customWidth="1"/>
    <col min="10" max="10" width="13.36328125" style="31" bestFit="1" customWidth="1"/>
    <col min="11" max="11" width="14.36328125" style="31" bestFit="1" customWidth="1"/>
    <col min="12" max="14" width="13.36328125" style="31" bestFit="1" customWidth="1"/>
    <col min="15" max="16384" width="9.08984375" style="31"/>
  </cols>
  <sheetData>
    <row r="1" spans="1:15" x14ac:dyDescent="0.35">
      <c r="A1" s="31" t="s">
        <v>64</v>
      </c>
    </row>
    <row r="12" spans="1:15" x14ac:dyDescent="0.35">
      <c r="A12" s="31" t="s">
        <v>65</v>
      </c>
      <c r="B12" s="31" t="s">
        <v>66</v>
      </c>
      <c r="C12" s="32">
        <v>43435</v>
      </c>
      <c r="D12" s="32">
        <v>43405</v>
      </c>
      <c r="E12" s="32">
        <v>43374</v>
      </c>
      <c r="F12" s="32">
        <v>43344</v>
      </c>
      <c r="G12" s="32">
        <v>43313</v>
      </c>
      <c r="H12" s="32">
        <v>43282</v>
      </c>
      <c r="I12" s="32">
        <v>43252</v>
      </c>
      <c r="J12" s="32">
        <v>43221</v>
      </c>
      <c r="K12" s="32">
        <v>43191</v>
      </c>
      <c r="L12" s="32">
        <v>43160</v>
      </c>
      <c r="M12" s="32">
        <v>43132</v>
      </c>
      <c r="N12" s="32">
        <v>43101</v>
      </c>
    </row>
    <row r="13" spans="1:15" x14ac:dyDescent="0.35">
      <c r="A13" s="31" t="s">
        <v>68</v>
      </c>
      <c r="B13" s="34">
        <v>46080716.039999999</v>
      </c>
      <c r="C13" s="34">
        <v>2134051.9700000002</v>
      </c>
      <c r="D13" s="34">
        <v>4024171.18</v>
      </c>
      <c r="E13" s="34">
        <v>7666122.0899999999</v>
      </c>
      <c r="F13" s="34">
        <v>2202942.9300000002</v>
      </c>
      <c r="G13" s="34">
        <v>666435.57999999996</v>
      </c>
      <c r="H13" s="34">
        <v>1072659.29</v>
      </c>
      <c r="I13" s="34">
        <v>-48634476.079999998</v>
      </c>
      <c r="J13" s="34">
        <v>4493824.12</v>
      </c>
      <c r="K13" s="34">
        <v>53425140.960000001</v>
      </c>
      <c r="L13" s="34">
        <v>7427283.0300000003</v>
      </c>
      <c r="M13" s="34">
        <v>3900850.3</v>
      </c>
      <c r="N13" s="34">
        <v>7701710.6699999999</v>
      </c>
      <c r="O13" s="34"/>
    </row>
    <row r="14" spans="1:15" x14ac:dyDescent="0.35">
      <c r="A14" s="31" t="s">
        <v>101</v>
      </c>
      <c r="B14" s="34">
        <v>46080716.039999999</v>
      </c>
      <c r="C14" s="34">
        <v>2134051.9700000002</v>
      </c>
      <c r="D14" s="34">
        <v>4024171.18</v>
      </c>
      <c r="E14" s="34">
        <v>7666122.0899999999</v>
      </c>
      <c r="F14" s="34">
        <v>2202942.9300000002</v>
      </c>
      <c r="G14" s="34">
        <v>666435.57999999996</v>
      </c>
      <c r="H14" s="34">
        <v>1072659.29</v>
      </c>
      <c r="I14" s="34">
        <v>-48634476.079999998</v>
      </c>
      <c r="J14" s="34">
        <v>4493824.12</v>
      </c>
      <c r="K14" s="34">
        <v>53425140.960000001</v>
      </c>
      <c r="L14" s="34">
        <v>7427283.0300000003</v>
      </c>
      <c r="M14" s="34">
        <v>3900850.3</v>
      </c>
      <c r="N14" s="34">
        <v>7701710.6699999999</v>
      </c>
      <c r="O14" s="34"/>
    </row>
    <row r="15" spans="1:15" x14ac:dyDescent="0.35">
      <c r="A15" s="31" t="s">
        <v>102</v>
      </c>
      <c r="B15" s="34">
        <v>46080716.039999999</v>
      </c>
      <c r="C15" s="34">
        <v>2134051.9700000002</v>
      </c>
      <c r="D15" s="34">
        <v>4024171.18</v>
      </c>
      <c r="E15" s="34">
        <v>7666122.0899999999</v>
      </c>
      <c r="F15" s="34">
        <v>2202942.9300000002</v>
      </c>
      <c r="G15" s="34">
        <v>666435.57999999996</v>
      </c>
      <c r="H15" s="34">
        <v>1072659.29</v>
      </c>
      <c r="I15" s="34">
        <v>-48634476.079999998</v>
      </c>
      <c r="J15" s="34">
        <v>4493824.12</v>
      </c>
      <c r="K15" s="34">
        <v>53425140.960000001</v>
      </c>
      <c r="L15" s="34">
        <v>7427283.0300000003</v>
      </c>
      <c r="M15" s="34">
        <v>3900850.3</v>
      </c>
      <c r="N15" s="34">
        <v>7701710.6699999999</v>
      </c>
      <c r="O15" s="34"/>
    </row>
    <row r="16" spans="1:15" x14ac:dyDescent="0.3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zoomScale="85" zoomScaleNormal="85" workbookViewId="0">
      <selection activeCell="A39" sqref="A39"/>
    </sheetView>
  </sheetViews>
  <sheetFormatPr defaultColWidth="9.08984375" defaultRowHeight="14.5" x14ac:dyDescent="0.35"/>
  <cols>
    <col min="1" max="1" width="44.08984375" style="31" bestFit="1" customWidth="1"/>
    <col min="2" max="2" width="15" style="31" bestFit="1" customWidth="1"/>
    <col min="3" max="3" width="13.36328125" style="31" bestFit="1" customWidth="1"/>
    <col min="4" max="6" width="14" style="31" bestFit="1" customWidth="1"/>
    <col min="7" max="7" width="12.36328125" style="31" bestFit="1" customWidth="1"/>
    <col min="8" max="14" width="14" style="31" bestFit="1" customWidth="1"/>
    <col min="15" max="16384" width="9.08984375" style="31"/>
  </cols>
  <sheetData>
    <row r="1" spans="1:15" x14ac:dyDescent="0.35">
      <c r="A1" s="31" t="s">
        <v>64</v>
      </c>
    </row>
    <row r="12" spans="1:15" x14ac:dyDescent="0.35">
      <c r="A12" s="31" t="s">
        <v>65</v>
      </c>
      <c r="B12" s="31" t="s">
        <v>66</v>
      </c>
      <c r="C12" s="32">
        <v>43435</v>
      </c>
      <c r="D12" s="32">
        <v>43405</v>
      </c>
      <c r="E12" s="32">
        <v>43374</v>
      </c>
      <c r="F12" s="32">
        <v>43344</v>
      </c>
      <c r="G12" s="32">
        <v>43313</v>
      </c>
      <c r="H12" s="32">
        <v>43282</v>
      </c>
      <c r="I12" s="32">
        <v>43252</v>
      </c>
      <c r="J12" s="32">
        <v>43221</v>
      </c>
      <c r="K12" s="32">
        <v>43191</v>
      </c>
      <c r="L12" s="32">
        <v>43160</v>
      </c>
      <c r="M12" s="32">
        <v>43132</v>
      </c>
      <c r="N12" s="32">
        <v>43101</v>
      </c>
    </row>
    <row r="13" spans="1:15" x14ac:dyDescent="0.35">
      <c r="A13" s="31" t="s">
        <v>67</v>
      </c>
      <c r="B13" s="33">
        <v>-55638846.630000003</v>
      </c>
      <c r="C13" s="33">
        <v>4430860.67</v>
      </c>
      <c r="D13" s="33">
        <v>-5433989.2400000002</v>
      </c>
      <c r="E13" s="33">
        <v>-8648610.5</v>
      </c>
      <c r="F13" s="33">
        <v>-6710385.6699999999</v>
      </c>
      <c r="G13" s="33">
        <v>-970620.71</v>
      </c>
      <c r="H13" s="33">
        <v>-2762256.45</v>
      </c>
      <c r="I13" s="33">
        <v>-2466456.65</v>
      </c>
      <c r="J13" s="33">
        <v>-3379351.68</v>
      </c>
      <c r="K13" s="33">
        <v>-2827792.94</v>
      </c>
      <c r="L13" s="33">
        <v>-9454919.0500000007</v>
      </c>
      <c r="M13" s="33">
        <v>-8396372.0099999998</v>
      </c>
      <c r="N13" s="33">
        <v>-9018952.4000000004</v>
      </c>
      <c r="O13" s="33"/>
    </row>
    <row r="14" spans="1:15" x14ac:dyDescent="0.35">
      <c r="A14" s="31" t="s">
        <v>101</v>
      </c>
      <c r="B14" s="33">
        <v>-55638846.630000003</v>
      </c>
      <c r="C14" s="33">
        <v>4430860.67</v>
      </c>
      <c r="D14" s="33">
        <v>-5433989.2400000002</v>
      </c>
      <c r="E14" s="33">
        <v>-8648610.5</v>
      </c>
      <c r="F14" s="33">
        <v>-6710385.6699999999</v>
      </c>
      <c r="G14" s="33">
        <v>-970620.71</v>
      </c>
      <c r="H14" s="33">
        <v>-2762256.45</v>
      </c>
      <c r="I14" s="33">
        <v>-2466456.65</v>
      </c>
      <c r="J14" s="33">
        <v>-3379351.68</v>
      </c>
      <c r="K14" s="33">
        <v>-2827792.94</v>
      </c>
      <c r="L14" s="33">
        <v>-9454919.0500000007</v>
      </c>
      <c r="M14" s="33">
        <v>-8396372.0099999998</v>
      </c>
      <c r="N14" s="33">
        <v>-9018952.4000000004</v>
      </c>
      <c r="O14" s="33"/>
    </row>
    <row r="15" spans="1:15" x14ac:dyDescent="0.35">
      <c r="A15" s="31" t="s">
        <v>102</v>
      </c>
      <c r="B15" s="33">
        <v>-55638846.630000003</v>
      </c>
      <c r="C15" s="33">
        <v>4430860.67</v>
      </c>
      <c r="D15" s="33">
        <v>-5433989.2400000002</v>
      </c>
      <c r="E15" s="33">
        <v>-8648610.5</v>
      </c>
      <c r="F15" s="33">
        <v>-6710385.6699999999</v>
      </c>
      <c r="G15" s="33">
        <v>-970620.71</v>
      </c>
      <c r="H15" s="33">
        <v>-2762256.45</v>
      </c>
      <c r="I15" s="33">
        <v>-2466456.65</v>
      </c>
      <c r="J15" s="33">
        <v>-3379351.68</v>
      </c>
      <c r="K15" s="33">
        <v>-2827792.94</v>
      </c>
      <c r="L15" s="33">
        <v>-9454919.0500000007</v>
      </c>
      <c r="M15" s="33">
        <v>-8396372.0099999998</v>
      </c>
      <c r="N15" s="33">
        <v>-9018952.4000000004</v>
      </c>
      <c r="O15" s="33"/>
    </row>
    <row r="16" spans="1:15" x14ac:dyDescent="0.3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2:15" x14ac:dyDescent="0.3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71208D-D1F0-4C2E-9A44-3EA369268E01}"/>
</file>

<file path=customXml/itemProps2.xml><?xml version="1.0" encoding="utf-8"?>
<ds:datastoreItem xmlns:ds="http://schemas.openxmlformats.org/officeDocument/2006/customXml" ds:itemID="{470C8E80-ADF7-42FD-A702-D80C0B03C368}"/>
</file>

<file path=customXml/itemProps3.xml><?xml version="1.0" encoding="utf-8"?>
<ds:datastoreItem xmlns:ds="http://schemas.openxmlformats.org/officeDocument/2006/customXml" ds:itemID="{42E29F0F-B63F-4D0C-A6AD-08468DBECE26}"/>
</file>

<file path=customXml/itemProps4.xml><?xml version="1.0" encoding="utf-8"?>
<ds:datastoreItem xmlns:ds="http://schemas.openxmlformats.org/officeDocument/2006/customXml" ds:itemID="{CAFCCD40-772C-4DE1-BEAB-E61364FC07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G</vt:lpstr>
      <vt:lpstr>CBR_Gas</vt:lpstr>
      <vt:lpstr>41010301</vt:lpstr>
      <vt:lpstr>41110301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Steele, David S. (BEL)</cp:lastModifiedBy>
  <cp:lastPrinted>2018-03-13T23:25:12Z</cp:lastPrinted>
  <dcterms:created xsi:type="dcterms:W3CDTF">2005-09-20T18:55:47Z</dcterms:created>
  <dcterms:modified xsi:type="dcterms:W3CDTF">2020-03-02T19:26:27Z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