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A9F8A95B-15A8-4CBD-93C7-696A093CD97E}" xr6:coauthVersionLast="47" xr6:coauthVersionMax="47" xr10:uidLastSave="{00000000-0000-0000-0000-000000000000}"/>
  <bookViews>
    <workbookView xWindow="-120" yWindow="-120" windowWidth="20730" windowHeight="11160" xr2:uid="{47B6BDD4-58DD-4882-99EA-AE9716850095}"/>
  </bookViews>
  <sheets>
    <sheet name="TOTAL FIRST YEAR" sheetId="1" r:id="rId1"/>
    <sheet name="APP 2885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'TOTAL FIRST YEAR'!$A$3:$Z$49</definedName>
    <definedName name="AC">'APP 2885'!$B$7:$H$51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Tdiscount">'[3]Rates&amp;NEB'!$B$9</definedName>
    <definedName name="NEPercentage">'[3]Rates&amp;NEB'!$B$13</definedName>
    <definedName name="NomInt">'[3]Rates&amp;NEB'!$B$5</definedName>
    <definedName name="OffsetAnchor" localSheetId="0">'TOTAL FIRST YEAR'!#REF!</definedName>
    <definedName name="_xlnm.Print_Area" localSheetId="0">'TOTAL FIRST YEAR'!$B$1:$Z$61</definedName>
    <definedName name="SSMeasures">[4]Sheet4!$A$5:$G$115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9" i="1" l="1"/>
  <c r="S34" i="1"/>
  <c r="R34" i="1"/>
  <c r="I49" i="1"/>
  <c r="E49" i="1"/>
  <c r="I4" i="1"/>
  <c r="O4" i="1" s="1"/>
  <c r="L4" i="1"/>
  <c r="R4" i="1"/>
  <c r="R5" i="1"/>
  <c r="L5" i="1"/>
  <c r="L30" i="1"/>
  <c r="R30" i="1"/>
  <c r="R31" i="1"/>
  <c r="L31" i="1"/>
  <c r="R32" i="1"/>
  <c r="L32" i="1"/>
  <c r="I33" i="1"/>
  <c r="O33" i="1" s="1"/>
  <c r="L33" i="1"/>
  <c r="L6" i="1"/>
  <c r="L7" i="1"/>
  <c r="L8" i="1"/>
  <c r="L9" i="1"/>
  <c r="L10" i="1"/>
  <c r="L11" i="1"/>
  <c r="L12" i="1"/>
  <c r="L13" i="1"/>
  <c r="L14" i="1"/>
  <c r="L15" i="1"/>
  <c r="M15" i="1" s="1"/>
  <c r="R15" i="1"/>
  <c r="L16" i="1"/>
  <c r="M16" i="1" s="1"/>
  <c r="R16" i="1"/>
  <c r="I17" i="1"/>
  <c r="L17" i="1"/>
  <c r="M17" i="1" s="1"/>
  <c r="O17" i="1"/>
  <c r="L18" i="1"/>
  <c r="M18" i="1" s="1"/>
  <c r="I19" i="1"/>
  <c r="O19" i="1" s="1"/>
  <c r="L19" i="1"/>
  <c r="M19" i="1" s="1"/>
  <c r="I20" i="1"/>
  <c r="O20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M34" i="1"/>
  <c r="I35" i="1"/>
  <c r="O35" i="1" s="1"/>
  <c r="T35" i="1" s="1"/>
  <c r="K35" i="1"/>
  <c r="L35" i="1"/>
  <c r="M35" i="1" s="1"/>
  <c r="I36" i="1"/>
  <c r="O36" i="1" s="1"/>
  <c r="K36" i="1"/>
  <c r="L36" i="1"/>
  <c r="M36" i="1" s="1"/>
  <c r="I37" i="1"/>
  <c r="O37" i="1" s="1"/>
  <c r="T37" i="1" s="1"/>
  <c r="K37" i="1"/>
  <c r="L37" i="1"/>
  <c r="M37" i="1" s="1"/>
  <c r="I38" i="1"/>
  <c r="O38" i="1" s="1"/>
  <c r="K38" i="1"/>
  <c r="L38" i="1"/>
  <c r="M38" i="1" s="1"/>
  <c r="I39" i="1"/>
  <c r="O39" i="1" s="1"/>
  <c r="T39" i="1" s="1"/>
  <c r="K39" i="1"/>
  <c r="L39" i="1"/>
  <c r="M39" i="1" s="1"/>
  <c r="I40" i="1"/>
  <c r="O40" i="1" s="1"/>
  <c r="K40" i="1"/>
  <c r="L40" i="1"/>
  <c r="M40" i="1" s="1"/>
  <c r="I41" i="1"/>
  <c r="O41" i="1" s="1"/>
  <c r="T41" i="1" s="1"/>
  <c r="K41" i="1"/>
  <c r="L41" i="1"/>
  <c r="M41" i="1" s="1"/>
  <c r="I42" i="1"/>
  <c r="O42" i="1" s="1"/>
  <c r="K42" i="1"/>
  <c r="L42" i="1"/>
  <c r="M42" i="1" s="1"/>
  <c r="I43" i="1"/>
  <c r="O43" i="1" s="1"/>
  <c r="T43" i="1" s="1"/>
  <c r="K43" i="1"/>
  <c r="L43" i="1"/>
  <c r="M43" i="1" s="1"/>
  <c r="I44" i="1"/>
  <c r="O44" i="1" s="1"/>
  <c r="K44" i="1"/>
  <c r="L44" i="1"/>
  <c r="M44" i="1" s="1"/>
  <c r="I45" i="1"/>
  <c r="O45" i="1" s="1"/>
  <c r="T45" i="1" s="1"/>
  <c r="K45" i="1"/>
  <c r="L45" i="1"/>
  <c r="M45" i="1" s="1"/>
  <c r="I46" i="1"/>
  <c r="O46" i="1" s="1"/>
  <c r="K46" i="1"/>
  <c r="L46" i="1"/>
  <c r="M46" i="1" s="1"/>
  <c r="I47" i="1"/>
  <c r="O47" i="1" s="1"/>
  <c r="T47" i="1" s="1"/>
  <c r="K47" i="1"/>
  <c r="L47" i="1"/>
  <c r="M47" i="1" s="1"/>
  <c r="I48" i="1"/>
  <c r="O48" i="1" s="1"/>
  <c r="K48" i="1"/>
  <c r="L48" i="1"/>
  <c r="M48" i="1" s="1"/>
  <c r="C55" i="1"/>
  <c r="C56" i="1"/>
  <c r="P43" i="1" l="1"/>
  <c r="U43" i="1" s="1"/>
  <c r="X35" i="1"/>
  <c r="T36" i="1"/>
  <c r="P46" i="1"/>
  <c r="V46" i="1" s="1"/>
  <c r="P38" i="1"/>
  <c r="V38" i="1" s="1"/>
  <c r="P47" i="1"/>
  <c r="U47" i="1" s="1"/>
  <c r="P39" i="1"/>
  <c r="U39" i="1" s="1"/>
  <c r="P36" i="1"/>
  <c r="V36" i="1" s="1"/>
  <c r="P41" i="1"/>
  <c r="U41" i="1" s="1"/>
  <c r="P42" i="1"/>
  <c r="V42" i="1" s="1"/>
  <c r="P44" i="1"/>
  <c r="V44" i="1" s="1"/>
  <c r="P45" i="1"/>
  <c r="U45" i="1" s="1"/>
  <c r="P37" i="1"/>
  <c r="U37" i="1" s="1"/>
  <c r="P35" i="1"/>
  <c r="U35" i="1" s="1"/>
  <c r="P48" i="1"/>
  <c r="V48" i="1" s="1"/>
  <c r="P40" i="1"/>
  <c r="V40" i="1" s="1"/>
  <c r="T42" i="1"/>
  <c r="X46" i="1"/>
  <c r="Z46" i="1"/>
  <c r="T40" i="1"/>
  <c r="X38" i="1"/>
  <c r="X45" i="1"/>
  <c r="Z45" i="1"/>
  <c r="X40" i="1"/>
  <c r="X43" i="1"/>
  <c r="Y43" i="1"/>
  <c r="Z43" i="1"/>
  <c r="T46" i="1"/>
  <c r="U46" i="1"/>
  <c r="X44" i="1"/>
  <c r="Z44" i="1"/>
  <c r="X41" i="1"/>
  <c r="Y41" i="1"/>
  <c r="Z41" i="1"/>
  <c r="T38" i="1"/>
  <c r="X48" i="1"/>
  <c r="Z48" i="1"/>
  <c r="X37" i="1"/>
  <c r="T48" i="1"/>
  <c r="X47" i="1"/>
  <c r="T44" i="1"/>
  <c r="U44" i="1"/>
  <c r="X42" i="1"/>
  <c r="X39" i="1"/>
  <c r="I29" i="1"/>
  <c r="O29" i="1" s="1"/>
  <c r="X29" i="1" s="1"/>
  <c r="R28" i="1"/>
  <c r="I27" i="1"/>
  <c r="O27" i="1" s="1"/>
  <c r="R26" i="1"/>
  <c r="I25" i="1"/>
  <c r="O25" i="1" s="1"/>
  <c r="X25" i="1" s="1"/>
  <c r="R24" i="1"/>
  <c r="I23" i="1"/>
  <c r="O23" i="1" s="1"/>
  <c r="X23" i="1" s="1"/>
  <c r="I22" i="1"/>
  <c r="O22" i="1" s="1"/>
  <c r="X22" i="1" s="1"/>
  <c r="R21" i="1"/>
  <c r="R18" i="1"/>
  <c r="X20" i="1"/>
  <c r="I10" i="1"/>
  <c r="O10" i="1" s="1"/>
  <c r="K10" i="1"/>
  <c r="M10" i="1"/>
  <c r="R10" i="1"/>
  <c r="X17" i="1"/>
  <c r="V43" i="1"/>
  <c r="V41" i="1"/>
  <c r="V39" i="1"/>
  <c r="K28" i="1"/>
  <c r="K26" i="1"/>
  <c r="K24" i="1"/>
  <c r="K21" i="1"/>
  <c r="K18" i="1"/>
  <c r="K16" i="1"/>
  <c r="X19" i="1"/>
  <c r="R29" i="1"/>
  <c r="I28" i="1"/>
  <c r="O28" i="1" s="1"/>
  <c r="R27" i="1"/>
  <c r="I26" i="1"/>
  <c r="O26" i="1" s="1"/>
  <c r="R25" i="1"/>
  <c r="I24" i="1"/>
  <c r="O24" i="1" s="1"/>
  <c r="X24" i="1" s="1"/>
  <c r="R23" i="1"/>
  <c r="R22" i="1"/>
  <c r="I21" i="1"/>
  <c r="O21" i="1" s="1"/>
  <c r="X21" i="1" s="1"/>
  <c r="R20" i="1"/>
  <c r="R19" i="1"/>
  <c r="I18" i="1"/>
  <c r="O18" i="1" s="1"/>
  <c r="X18" i="1" s="1"/>
  <c r="R17" i="1"/>
  <c r="I16" i="1"/>
  <c r="O16" i="1" s="1"/>
  <c r="X16" i="1" s="1"/>
  <c r="I13" i="1"/>
  <c r="O13" i="1" s="1"/>
  <c r="K13" i="1"/>
  <c r="M13" i="1"/>
  <c r="R13" i="1"/>
  <c r="I7" i="1"/>
  <c r="O7" i="1" s="1"/>
  <c r="K7" i="1"/>
  <c r="M7" i="1"/>
  <c r="R7" i="1"/>
  <c r="I11" i="1"/>
  <c r="O11" i="1" s="1"/>
  <c r="K11" i="1"/>
  <c r="M11" i="1"/>
  <c r="R11" i="1"/>
  <c r="I9" i="1"/>
  <c r="O9" i="1" s="1"/>
  <c r="K9" i="1"/>
  <c r="M9" i="1"/>
  <c r="R9" i="1"/>
  <c r="T16" i="1"/>
  <c r="I14" i="1"/>
  <c r="O14" i="1" s="1"/>
  <c r="K14" i="1"/>
  <c r="M14" i="1"/>
  <c r="R14" i="1"/>
  <c r="I8" i="1"/>
  <c r="O8" i="1" s="1"/>
  <c r="K8" i="1"/>
  <c r="M8" i="1"/>
  <c r="R8" i="1"/>
  <c r="X36" i="1"/>
  <c r="K29" i="1"/>
  <c r="K27" i="1"/>
  <c r="K25" i="1"/>
  <c r="K23" i="1"/>
  <c r="K22" i="1"/>
  <c r="K20" i="1"/>
  <c r="K19" i="1"/>
  <c r="K17" i="1"/>
  <c r="I12" i="1"/>
  <c r="O12" i="1" s="1"/>
  <c r="K12" i="1"/>
  <c r="M12" i="1"/>
  <c r="R12" i="1"/>
  <c r="I6" i="1"/>
  <c r="O6" i="1" s="1"/>
  <c r="K6" i="1"/>
  <c r="M6" i="1"/>
  <c r="U33" i="1"/>
  <c r="Y33" i="1"/>
  <c r="T4" i="1"/>
  <c r="I15" i="1"/>
  <c r="K15" i="1"/>
  <c r="V33" i="1"/>
  <c r="I30" i="1"/>
  <c r="O30" i="1" s="1"/>
  <c r="T30" i="1" s="1"/>
  <c r="K30" i="1"/>
  <c r="M30" i="1"/>
  <c r="R6" i="1"/>
  <c r="T33" i="1"/>
  <c r="K33" i="1"/>
  <c r="M33" i="1"/>
  <c r="I31" i="1"/>
  <c r="O31" i="1" s="1"/>
  <c r="K31" i="1"/>
  <c r="M31" i="1"/>
  <c r="I32" i="1"/>
  <c r="O32" i="1" s="1"/>
  <c r="K32" i="1"/>
  <c r="M32" i="1"/>
  <c r="I5" i="1"/>
  <c r="K5" i="1"/>
  <c r="M5" i="1"/>
  <c r="M4" i="1"/>
  <c r="K4" i="1"/>
  <c r="V37" i="1" l="1"/>
  <c r="U38" i="1"/>
  <c r="V35" i="1"/>
  <c r="U48" i="1"/>
  <c r="Y44" i="1"/>
  <c r="Y45" i="1"/>
  <c r="Y42" i="1"/>
  <c r="Y35" i="1"/>
  <c r="Z35" i="1"/>
  <c r="Z42" i="1"/>
  <c r="U42" i="1"/>
  <c r="U36" i="1"/>
  <c r="Z40" i="1"/>
  <c r="P4" i="1"/>
  <c r="Z4" i="1" s="1"/>
  <c r="U40" i="1"/>
  <c r="Y40" i="1"/>
  <c r="V45" i="1"/>
  <c r="Z39" i="1"/>
  <c r="Z47" i="1"/>
  <c r="Y48" i="1"/>
  <c r="Y38" i="1"/>
  <c r="Y46" i="1"/>
  <c r="Z36" i="1"/>
  <c r="V47" i="1"/>
  <c r="Y39" i="1"/>
  <c r="Y47" i="1"/>
  <c r="Z37" i="1"/>
  <c r="Z38" i="1"/>
  <c r="Y36" i="1"/>
  <c r="Y37" i="1"/>
  <c r="X31" i="1"/>
  <c r="Z31" i="1"/>
  <c r="X32" i="1"/>
  <c r="Z32" i="1"/>
  <c r="T6" i="1"/>
  <c r="V30" i="1"/>
  <c r="X7" i="1"/>
  <c r="P21" i="1"/>
  <c r="Z21" i="1" s="1"/>
  <c r="P16" i="1"/>
  <c r="U16" i="1" s="1"/>
  <c r="P13" i="1"/>
  <c r="V13" i="1" s="1"/>
  <c r="P7" i="1"/>
  <c r="Z7" i="1" s="1"/>
  <c r="T22" i="1"/>
  <c r="T25" i="1"/>
  <c r="P30" i="1"/>
  <c r="P20" i="1"/>
  <c r="V20" i="1" s="1"/>
  <c r="P12" i="1"/>
  <c r="V12" i="1" s="1"/>
  <c r="P6" i="1"/>
  <c r="V6" i="1" s="1"/>
  <c r="T28" i="1"/>
  <c r="K49" i="1"/>
  <c r="U32" i="1"/>
  <c r="Y32" i="1"/>
  <c r="X6" i="1"/>
  <c r="T8" i="1"/>
  <c r="T11" i="1"/>
  <c r="P24" i="1"/>
  <c r="Z24" i="1" s="1"/>
  <c r="P14" i="1"/>
  <c r="V14" i="1" s="1"/>
  <c r="P10" i="1"/>
  <c r="U10" i="1" s="1"/>
  <c r="X30" i="1"/>
  <c r="Z30" i="1"/>
  <c r="X4" i="1"/>
  <c r="M49" i="1"/>
  <c r="U31" i="1"/>
  <c r="Y31" i="1"/>
  <c r="U30" i="1"/>
  <c r="Y30" i="1"/>
  <c r="X8" i="1"/>
  <c r="Z8" i="1"/>
  <c r="T14" i="1"/>
  <c r="X11" i="1"/>
  <c r="T13" i="1"/>
  <c r="T17" i="1"/>
  <c r="T23" i="1"/>
  <c r="T27" i="1"/>
  <c r="P29" i="1"/>
  <c r="Z29" i="1" s="1"/>
  <c r="P19" i="1"/>
  <c r="V19" i="1" s="1"/>
  <c r="P11" i="1"/>
  <c r="Y11" i="1" s="1"/>
  <c r="P9" i="1"/>
  <c r="Y9" i="1" s="1"/>
  <c r="P33" i="1"/>
  <c r="T18" i="1"/>
  <c r="T24" i="1"/>
  <c r="X33" i="1"/>
  <c r="Z33" i="1"/>
  <c r="O15" i="1"/>
  <c r="T12" i="1"/>
  <c r="X14" i="1"/>
  <c r="X13" i="1"/>
  <c r="Z13" i="1"/>
  <c r="P15" i="1"/>
  <c r="V15" i="1" s="1"/>
  <c r="P28" i="1"/>
  <c r="V28" i="1" s="1"/>
  <c r="P18" i="1"/>
  <c r="Z18" i="1" s="1"/>
  <c r="P31" i="1"/>
  <c r="X12" i="1"/>
  <c r="V32" i="1"/>
  <c r="T19" i="1"/>
  <c r="T29" i="1"/>
  <c r="X27" i="1"/>
  <c r="P27" i="1"/>
  <c r="V27" i="1" s="1"/>
  <c r="P23" i="1"/>
  <c r="Y23" i="1" s="1"/>
  <c r="P17" i="1"/>
  <c r="V17" i="1" s="1"/>
  <c r="T21" i="1"/>
  <c r="T9" i="1"/>
  <c r="T32" i="1"/>
  <c r="P26" i="1"/>
  <c r="Y26" i="1" s="1"/>
  <c r="P32" i="1"/>
  <c r="P8" i="1"/>
  <c r="V8" i="1" s="1"/>
  <c r="T10" i="1"/>
  <c r="V10" i="1"/>
  <c r="O5" i="1"/>
  <c r="X5" i="1" s="1"/>
  <c r="N49" i="1"/>
  <c r="V31" i="1"/>
  <c r="T31" i="1"/>
  <c r="X9" i="1"/>
  <c r="T7" i="1"/>
  <c r="T20" i="1"/>
  <c r="X26" i="1"/>
  <c r="P25" i="1"/>
  <c r="Z25" i="1" s="1"/>
  <c r="P22" i="1"/>
  <c r="Z22" i="1" s="1"/>
  <c r="P5" i="1"/>
  <c r="X10" i="1"/>
  <c r="Z10" i="1"/>
  <c r="T26" i="1"/>
  <c r="X28" i="1"/>
  <c r="Y7" i="1" l="1"/>
  <c r="U7" i="1"/>
  <c r="U24" i="1"/>
  <c r="Y13" i="1"/>
  <c r="V7" i="1"/>
  <c r="U13" i="1"/>
  <c r="Y12" i="1"/>
  <c r="U12" i="1"/>
  <c r="U4" i="1"/>
  <c r="U11" i="1"/>
  <c r="Y16" i="1"/>
  <c r="Y8" i="1"/>
  <c r="Z12" i="1"/>
  <c r="U6" i="1"/>
  <c r="Z28" i="1"/>
  <c r="Y6" i="1"/>
  <c r="Y10" i="1"/>
  <c r="V29" i="1"/>
  <c r="Z14" i="1"/>
  <c r="V26" i="1"/>
  <c r="P49" i="1"/>
  <c r="Z49" i="1" s="1"/>
  <c r="Y4" i="1"/>
  <c r="V21" i="1"/>
  <c r="Y29" i="1"/>
  <c r="U21" i="1"/>
  <c r="Y25" i="1"/>
  <c r="V4" i="1"/>
  <c r="V9" i="1"/>
  <c r="Y18" i="1"/>
  <c r="Z11" i="1"/>
  <c r="Z26" i="1"/>
  <c r="Y14" i="1"/>
  <c r="Z15" i="1"/>
  <c r="V24" i="1"/>
  <c r="U14" i="1"/>
  <c r="Z6" i="1"/>
  <c r="U18" i="1"/>
  <c r="Y28" i="1"/>
  <c r="V18" i="1"/>
  <c r="V11" i="1"/>
  <c r="Z9" i="1"/>
  <c r="Y24" i="1"/>
  <c r="U22" i="1"/>
  <c r="U8" i="1"/>
  <c r="V23" i="1"/>
  <c r="U9" i="1"/>
  <c r="Z16" i="1"/>
  <c r="V16" i="1"/>
  <c r="Y22" i="1"/>
  <c r="U15" i="1"/>
  <c r="Y15" i="1"/>
  <c r="T15" i="1"/>
  <c r="X15" i="1"/>
  <c r="U27" i="1"/>
  <c r="V5" i="1"/>
  <c r="U29" i="1"/>
  <c r="K51" i="1"/>
  <c r="Z23" i="1"/>
  <c r="V25" i="1"/>
  <c r="Y27" i="1"/>
  <c r="Y21" i="1"/>
  <c r="U5" i="1"/>
  <c r="Y5" i="1"/>
  <c r="O49" i="1"/>
  <c r="T49" i="1" s="1"/>
  <c r="T5" i="1"/>
  <c r="Z17" i="1"/>
  <c r="Y17" i="1"/>
  <c r="U17" i="1"/>
  <c r="Z27" i="1"/>
  <c r="Z20" i="1"/>
  <c r="Y20" i="1"/>
  <c r="U20" i="1"/>
  <c r="U23" i="1"/>
  <c r="U25" i="1"/>
  <c r="U28" i="1"/>
  <c r="Z5" i="1"/>
  <c r="Y19" i="1"/>
  <c r="Z19" i="1"/>
  <c r="U26" i="1"/>
  <c r="V22" i="1"/>
  <c r="U19" i="1"/>
  <c r="V49" i="1" l="1"/>
  <c r="X49" i="1"/>
  <c r="Y49" i="1"/>
  <c r="U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Bashour, Margaret</author>
  </authors>
  <commentList>
    <comment ref="I3" authorId="0" shapeId="0" xr:uid="{FA780CA6-9F6C-4398-9D12-B7F975212899}">
      <text>
        <r>
          <rPr>
            <b/>
            <sz val="9"/>
            <color indexed="81"/>
            <rFont val="Tahoma"/>
            <family val="2"/>
          </rPr>
          <t>Used formula to round down due to rounding limitations in Captures</t>
        </r>
      </text>
    </comment>
    <comment ref="R33" authorId="0" shapeId="0" xr:uid="{FE55F2BF-1445-4C06-B95D-C86F6B87423A}">
      <text>
        <r>
          <rPr>
            <b/>
            <sz val="9"/>
            <color indexed="81"/>
            <rFont val="Tahoma"/>
            <family val="2"/>
          </rPr>
          <t>Formula different here to account for 10% of incentives</t>
        </r>
      </text>
    </comment>
  </commentList>
</comments>
</file>

<file path=xl/sharedStrings.xml><?xml version="1.0" encoding="utf-8"?>
<sst xmlns="http://schemas.openxmlformats.org/spreadsheetml/2006/main" count="245" uniqueCount="183">
  <si>
    <t>Program Year:</t>
  </si>
  <si>
    <t>CASCADE NATURAL GAS CORPORATION</t>
  </si>
  <si>
    <t xml:space="preserve">COMMERCIAL Program Participant Cost Effectiveness </t>
  </si>
  <si>
    <t>Measure Mapping</t>
  </si>
  <si>
    <t>MEASURE</t>
  </si>
  <si>
    <t>DESCRIPTION</t>
  </si>
  <si>
    <t>EFFICIENCY TYPE FOR QUALIFICATION</t>
  </si>
  <si>
    <t>TOTAL MEASURE COUNT</t>
  </si>
  <si>
    <t>ANNUAL THERM SAVINGS</t>
  </si>
  <si>
    <t>UNIT</t>
  </si>
  <si>
    <t>UNITS INSTALLED</t>
  </si>
  <si>
    <t>TOTAL ANNUAL THERM SAVINGS</t>
  </si>
  <si>
    <t>MEASURE INCREMENTAL COST</t>
  </si>
  <si>
    <t>TOTAL INCREMENTAL COST</t>
  </si>
  <si>
    <t>PARTICIPANT NEBS</t>
  </si>
  <si>
    <t>TOTAL  NET  INCREMENTAL  COST  WITH  NEBS</t>
  </si>
  <si>
    <t>MEASURE LIFE</t>
  </si>
  <si>
    <t>DISCOUNTED THERM SAVINGS</t>
  </si>
  <si>
    <t>PROGRAM DELIVERY AND ADMIN</t>
  </si>
  <si>
    <t>PROGRAM REBATE</t>
  </si>
  <si>
    <t>CALCULATED REBATE COST</t>
  </si>
  <si>
    <t>REBATES BASED ON CAPPED INCENTIVES</t>
  </si>
  <si>
    <t>UTILITY  COST</t>
  </si>
  <si>
    <t>UC  W/DELIVERY  &amp;  ADMIN</t>
  </si>
  <si>
    <t>LOADED  UTILITY  BENEFIT  TO  COST  RATIO</t>
  </si>
  <si>
    <t>TOTAL  RESOURCE  COST</t>
  </si>
  <si>
    <t>TRC  W/DELIVERY  &amp;  ADMIN</t>
  </si>
  <si>
    <t>LOADED  SOCIETAL  BENEFIT  TO  COST  RATIO</t>
  </si>
  <si>
    <t>COMBOILERS2-19-19</t>
  </si>
  <si>
    <t>Boiler</t>
  </si>
  <si>
    <t>High-Efficiency-Condensing Boiler</t>
  </si>
  <si>
    <t>Minimum 90% Thermal Efficiency and 300 kBtu/hr input</t>
  </si>
  <si>
    <t>/kBtu/hr in</t>
  </si>
  <si>
    <t>COMBOILERS-4-1-22</t>
  </si>
  <si>
    <t>COMFSOVENLODGE2-19-19</t>
  </si>
  <si>
    <t>Convection Oven (Lodging)</t>
  </si>
  <si>
    <t>Energy Star</t>
  </si>
  <si>
    <t>&gt;= 44% Cooking Efficiency,&lt;= 13,000 Btu/hr Idle Rate</t>
  </si>
  <si>
    <t>/oven</t>
  </si>
  <si>
    <t>COMFSOVENREST2-19-19</t>
  </si>
  <si>
    <t>Convection Oven (Restaurant)</t>
  </si>
  <si>
    <t>COMDCV-7-17</t>
  </si>
  <si>
    <t>DCV</t>
  </si>
  <si>
    <t>Demand Control Ventilation</t>
  </si>
  <si>
    <t>Meet JUARC Guidelines for DCV RTUs in 5-20 ton</t>
  </si>
  <si>
    <t>/ton</t>
  </si>
  <si>
    <t>COMDHWTSCT</t>
  </si>
  <si>
    <t>Domestic Hot Water Tanks - Condensing</t>
  </si>
  <si>
    <t>Condensing Tank</t>
  </si>
  <si>
    <t>Minimum 91% AFUE or 91% Thermal Efficiency</t>
  </si>
  <si>
    <t>COMDHWTSCT-4-1-22</t>
  </si>
  <si>
    <t>COMFSFRYERREST2-19-19</t>
  </si>
  <si>
    <t>Fryer (Restaurant)</t>
  </si>
  <si>
    <t>&gt;=50% Cooking Efficiency</t>
  </si>
  <si>
    <t>/fryer</t>
  </si>
  <si>
    <t>COMFSCVROVEN2-19-19</t>
  </si>
  <si>
    <t>Gas Conveyor Oven</t>
  </si>
  <si>
    <t>FSTC Qualified Gas Fired Conveyor Oven</t>
  </si>
  <si>
    <t>&gt;=42% Baking Efficiency</t>
  </si>
  <si>
    <t>COMHVACCON2-19-19</t>
  </si>
  <si>
    <t>HVAC Unit Heater - Condensing</t>
  </si>
  <si>
    <t>High Efficiency Condensing</t>
  </si>
  <si>
    <t>Minimum 91% AFUE</t>
  </si>
  <si>
    <t>COMIAT12-19-19</t>
  </si>
  <si>
    <t>Insulation - Attic - Tier 1 - Min R-30</t>
  </si>
  <si>
    <t>Attic Insulation</t>
  </si>
  <si>
    <t>Tier 1 /  Minimum R-30</t>
  </si>
  <si>
    <t>/sq.ft.</t>
  </si>
  <si>
    <t>COMIAT22-19-19</t>
  </si>
  <si>
    <t>Insulation - Attic - Tier 2 - Min R-45</t>
  </si>
  <si>
    <t>Tier 2 /  Minimum R-45</t>
  </si>
  <si>
    <t>COMFLOORINS-4-1-22</t>
  </si>
  <si>
    <t>Insulation - Floor</t>
  </si>
  <si>
    <t>Floor Insulation</t>
  </si>
  <si>
    <t>Equal to or greater than R-30 Post and equal to or less than R-11 Pre</t>
  </si>
  <si>
    <t>/sq. ft.</t>
  </si>
  <si>
    <t>COMIRT12-19-19</t>
  </si>
  <si>
    <t>Insulation - Roof - Tier 1 - Min R-21</t>
  </si>
  <si>
    <t>Roof Insulation</t>
  </si>
  <si>
    <t>Tier 1 /  Minimum R-21</t>
  </si>
  <si>
    <t>COMIRT22-19-19</t>
  </si>
  <si>
    <t>Insulation - Roof - Tier 2 - Min R-30</t>
  </si>
  <si>
    <t>Tier 2 /  Minimum R-30</t>
  </si>
  <si>
    <t>COMIRT2-4-1-22</t>
  </si>
  <si>
    <t>COMIWT22-19-19</t>
  </si>
  <si>
    <t>Insulation - Wall - Tier 2 - Min R-19</t>
  </si>
  <si>
    <t>Wall Insulation</t>
  </si>
  <si>
    <t>Tier 2 /  Minimum R-19</t>
  </si>
  <si>
    <t>COMIWT2-4-1-22</t>
  </si>
  <si>
    <t>COMFSDISDL-7-17</t>
  </si>
  <si>
    <t>Low Temp Door Dishwasher</t>
  </si>
  <si>
    <t>&lt;=.6kW Idle Rate, &lt;= 1.18 gal/rack</t>
  </si>
  <si>
    <t>/unit</t>
  </si>
  <si>
    <t>COMMTNFCTR</t>
  </si>
  <si>
    <t>Motion Faucet Controls</t>
  </si>
  <si>
    <t>Motion Controlled Faucet</t>
  </si>
  <si>
    <t>&lt;= 1.8 gpm, Watersense Certified</t>
  </si>
  <si>
    <t>/faucet</t>
  </si>
  <si>
    <t>COMRADIANT2-19-19</t>
  </si>
  <si>
    <t>Radiant Heating</t>
  </si>
  <si>
    <t>Direct-fired Radiant Heating</t>
  </si>
  <si>
    <t>None</t>
  </si>
  <si>
    <t>COMTANKLESST12-19-19</t>
  </si>
  <si>
    <t>Tankless Water Heater</t>
  </si>
  <si>
    <t>Minimum .87 Energy Factor</t>
  </si>
  <si>
    <t>/gpm</t>
  </si>
  <si>
    <t>COMTANKLESST22-19-19</t>
  </si>
  <si>
    <t>Tankless Water Heater - Tier 2</t>
  </si>
  <si>
    <t>Minimum .93 Energy Factor</t>
  </si>
  <si>
    <t>COMFURNACE2-19-19</t>
  </si>
  <si>
    <t>Warm-Air Furnace</t>
  </si>
  <si>
    <t>High-Efficiency Condensing Furnace</t>
  </si>
  <si>
    <t>Minimum  91% AFUE</t>
  </si>
  <si>
    <t>COMWINDOWS2-19-19</t>
  </si>
  <si>
    <t>Windows</t>
  </si>
  <si>
    <t>Single pane to .27 or less (not LoadMAP's .50 to .22) per sq ft</t>
  </si>
  <si>
    <t>0.27 or less U</t>
  </si>
  <si>
    <t>COMWINDOWS-4-1-22</t>
  </si>
  <si>
    <t>Windows - Tier 1</t>
  </si>
  <si>
    <t>Single pane to .30 or less (not LoadMAP's .50 to .22) per sq ft</t>
  </si>
  <si>
    <t>0.30 or less U</t>
  </si>
  <si>
    <t>COMINSBNDL-7-17</t>
  </si>
  <si>
    <t>Bonus - Insulation Bundle A</t>
  </si>
  <si>
    <t>Insulation Bundle A</t>
  </si>
  <si>
    <t>Two Insulation Measures, min. 1000 sq. ft.+</t>
  </si>
  <si>
    <t>COMFSBNDLA2-19-19</t>
  </si>
  <si>
    <t>Bonus - Kitchen Bundle B (2 - measures)</t>
  </si>
  <si>
    <t>Foodservice Bundle B</t>
  </si>
  <si>
    <t>Any 2 Kitchen equipment measures</t>
  </si>
  <si>
    <t>COMFSBNDLB2-19-19</t>
  </si>
  <si>
    <t>Bonus - Kitchen Bundle C (3 or more measures)</t>
  </si>
  <si>
    <t>Foodservice Bundle C</t>
  </si>
  <si>
    <t>Any 3 Kitchen equipment measures</t>
  </si>
  <si>
    <t>COMRECOVBNDL</t>
  </si>
  <si>
    <t>Bonus - Re-COV-ery D (3 or more)</t>
  </si>
  <si>
    <t>Re-COV-ery Bundle D</t>
  </si>
  <si>
    <t>Any 3 measures for facilities under 50,000 sq ft</t>
  </si>
  <si>
    <t>Custom Measures</t>
  </si>
  <si>
    <t>008554-C</t>
  </si>
  <si>
    <t>Refrigerated case doors</t>
  </si>
  <si>
    <t>008499-C</t>
  </si>
  <si>
    <t>Steam trap rebuild</t>
  </si>
  <si>
    <t>008553-C</t>
  </si>
  <si>
    <t>008555-C</t>
  </si>
  <si>
    <t>008556-C</t>
  </si>
  <si>
    <t>008550-C</t>
  </si>
  <si>
    <t>008551-C</t>
  </si>
  <si>
    <t>008552-C</t>
  </si>
  <si>
    <t>008521-C</t>
  </si>
  <si>
    <t>Heat Recovery Units</t>
  </si>
  <si>
    <t>008531-C</t>
  </si>
  <si>
    <t>Energy Recovery Ventilators</t>
  </si>
  <si>
    <t>008512-C</t>
  </si>
  <si>
    <t>Steam Boiler</t>
  </si>
  <si>
    <t>008503-C</t>
  </si>
  <si>
    <t>Kitchen MUA DCV</t>
  </si>
  <si>
    <t>008524-C</t>
  </si>
  <si>
    <t>Custom boiler</t>
  </si>
  <si>
    <t>008547-C</t>
  </si>
  <si>
    <t>Rafter insulation</t>
  </si>
  <si>
    <t>TOTAL PROGRAM</t>
  </si>
  <si>
    <t>Nominal interest rate (post tax cost of cap.)</t>
  </si>
  <si>
    <t>non-energy</t>
  </si>
  <si>
    <t>Inflation rate</t>
  </si>
  <si>
    <t>Long term real discount rate</t>
  </si>
  <si>
    <t>Total 2022 Program Admin.</t>
  </si>
  <si>
    <t>Custom Admin.</t>
  </si>
  <si>
    <t>Prescriptive Admin.</t>
  </si>
  <si>
    <t>2018 INTEGRATED RESOURCE PLAN</t>
  </si>
  <si>
    <t>PORTFOLIO COST APPENDIX 1 TABLE H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</si>
  <si>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</si>
  <si>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</si>
  <si>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</si>
  <si>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</si>
  <si>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</si>
  <si>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</si>
  <si>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</si>
  <si>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</si>
  <si>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Cascade's Long Term Real Discount Rate:</t>
  </si>
  <si>
    <t>IRP Discount Rate =</t>
  </si>
  <si>
    <t>Revised Discount Rate=</t>
  </si>
  <si>
    <t>Years 21-45 Escalation =</t>
  </si>
  <si>
    <t>(EIA Inflation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</si>
</sst>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\$#,##0.00;\$\-#,##0.00"/>
    <numFmt numFmtId="166" formatCode="#,##0.00%"/>
    <numFmt numFmtId="167" formatCode="#,##0.000"/>
    <numFmt numFmtId="168" formatCode="_(&quot;$&quot;* #,##0.000_);_(&quot;$&quot;* \(#,##0.000\);_(&quot;$&quot;* &quot;-&quot;??_);_(@_)"/>
    <numFmt numFmtId="169" formatCode="_(* #,##0_);_(* \(#,##0\);_(* &quot;-&quot;??_);_(@_)"/>
    <numFmt numFmtId="170" formatCode="_(&quot;$&quot;* #,##0_);_(&quot;$&quot;* \(#,##0\);_(&quot;$&quot;* &quot;-&quot;??_);_(@_)"/>
    <numFmt numFmtId="171" formatCode="#,##0.000;\(#,##0.000\)\ "/>
    <numFmt numFmtId="172" formatCode="\$#,##0.00;\$\(#,##0.00\)"/>
    <numFmt numFmtId="173" formatCode="\$#,##0.000"/>
    <numFmt numFmtId="174" formatCode="\$#,##0.00"/>
    <numFmt numFmtId="175" formatCode="\$#,##0.00;\$\(#,##0.00\)\ "/>
    <numFmt numFmtId="176" formatCode="0.000%"/>
    <numFmt numFmtId="177" formatCode="\$#,##0.##;\$\-#,##0.##"/>
    <numFmt numFmtId="178" formatCode="\$#,##0.0000;\$\-#,##0.0000"/>
    <numFmt numFmtId="179" formatCode="#,##0.00;\(#,##0.00\)\ "/>
  </numFmts>
  <fonts count="20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sz val="11"/>
      <color rgb="FFA61712"/>
      <name val="Arial"/>
      <family val="2"/>
    </font>
    <font>
      <b/>
      <sz val="11"/>
      <color rgb="FF3634E0"/>
      <name val="Arial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7"/>
      <color rgb="FF058FFF"/>
      <name val="Arial"/>
      <family val="2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89842"/>
      </patternFill>
    </fill>
    <fill>
      <patternFill patternType="solid">
        <fgColor rgb="FFE8E6E6"/>
      </patternFill>
    </fill>
    <fill>
      <patternFill patternType="solid">
        <fgColor rgb="FF5AA6DB"/>
      </patternFill>
    </fill>
  </fills>
  <borders count="9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/>
      <right/>
      <top style="medium">
        <color indexed="64"/>
      </top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/>
      <right style="medium">
        <color rgb="FFD6D2D2"/>
      </right>
      <top/>
      <bottom/>
      <diagonal/>
    </border>
    <border>
      <left style="medium">
        <color rgb="FFD6D2D2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6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7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7" fontId="2" fillId="0" borderId="0" xfId="0" applyNumberFormat="1" applyFont="1"/>
    <xf numFmtId="10" fontId="2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164" fontId="5" fillId="0" borderId="1" xfId="3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165" fontId="5" fillId="0" borderId="1" xfId="0" applyNumberFormat="1" applyFont="1" applyBorder="1" applyAlignment="1">
      <alignment horizontal="left" vertical="center" wrapText="1"/>
    </xf>
    <xf numFmtId="10" fontId="2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center"/>
    </xf>
    <xf numFmtId="2" fontId="2" fillId="0" borderId="0" xfId="1" applyNumberFormat="1" applyFont="1" applyFill="1" applyAlignment="1" applyProtection="1">
      <alignment horizontal="center"/>
    </xf>
    <xf numFmtId="167" fontId="3" fillId="0" borderId="0" xfId="0" applyNumberFormat="1" applyFont="1" applyAlignment="1">
      <alignment horizontal="center"/>
    </xf>
    <xf numFmtId="168" fontId="3" fillId="0" borderId="0" xfId="2" applyNumberFormat="1" applyFont="1" applyFill="1" applyBorder="1"/>
    <xf numFmtId="168" fontId="3" fillId="0" borderId="0" xfId="2" applyNumberFormat="1" applyFont="1" applyFill="1" applyBorder="1" applyAlignment="1">
      <alignment horizontal="center"/>
    </xf>
    <xf numFmtId="169" fontId="3" fillId="0" borderId="0" xfId="1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170" fontId="3" fillId="0" borderId="0" xfId="2" applyNumberFormat="1" applyFont="1" applyFill="1" applyBorder="1" applyAlignment="1">
      <alignment horizontal="center"/>
    </xf>
    <xf numFmtId="4" fontId="8" fillId="0" borderId="0" xfId="4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42" fontId="2" fillId="0" borderId="0" xfId="0" applyNumberFormat="1" applyFont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right" vertical="center"/>
    </xf>
    <xf numFmtId="42" fontId="2" fillId="0" borderId="0" xfId="2" applyNumberFormat="1" applyFont="1" applyFill="1" applyBorder="1"/>
    <xf numFmtId="4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9" fillId="2" borderId="3" xfId="0" applyNumberFormat="1" applyFont="1" applyFill="1" applyBorder="1" applyAlignment="1">
      <alignment horizontal="center" vertical="center" wrapText="1"/>
    </xf>
    <xf numFmtId="172" fontId="9" fillId="2" borderId="3" xfId="0" applyNumberFormat="1" applyFont="1" applyFill="1" applyBorder="1" applyAlignment="1">
      <alignment horizontal="center" vertical="center" wrapText="1"/>
    </xf>
    <xf numFmtId="164" fontId="9" fillId="2" borderId="3" xfId="2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2" fontId="10" fillId="2" borderId="4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3" fontId="9" fillId="2" borderId="3" xfId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71" fontId="11" fillId="3" borderId="1" xfId="0" applyNumberFormat="1" applyFont="1" applyFill="1" applyBorder="1" applyAlignment="1">
      <alignment horizontal="center" vertical="center" wrapText="1"/>
    </xf>
    <xf numFmtId="173" fontId="11" fillId="3" borderId="1" xfId="0" applyNumberFormat="1" applyFont="1" applyFill="1" applyBorder="1" applyAlignment="1">
      <alignment horizontal="center" vertical="center" wrapText="1"/>
    </xf>
    <xf numFmtId="174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71" fontId="11" fillId="0" borderId="1" xfId="0" applyNumberFormat="1" applyFont="1" applyBorder="1" applyAlignment="1">
      <alignment horizontal="center" vertical="center" wrapText="1"/>
    </xf>
    <xf numFmtId="173" fontId="11" fillId="0" borderId="1" xfId="0" applyNumberFormat="1" applyFont="1" applyBorder="1" applyAlignment="1">
      <alignment horizontal="center" vertical="center" wrapText="1"/>
    </xf>
    <xf numFmtId="174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75" fontId="11" fillId="0" borderId="1" xfId="0" applyNumberFormat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73" fontId="10" fillId="4" borderId="5" xfId="0" applyNumberFormat="1" applyFont="1" applyFill="1" applyBorder="1" applyAlignment="1">
      <alignment horizontal="center" vertical="center" wrapText="1"/>
    </xf>
    <xf numFmtId="43" fontId="10" fillId="4" borderId="5" xfId="1" applyFont="1" applyFill="1" applyBorder="1" applyAlignment="1">
      <alignment horizontal="center" vertical="center" wrapText="1"/>
    </xf>
    <xf numFmtId="175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0" xfId="5" applyFont="1"/>
    <xf numFmtId="10" fontId="2" fillId="0" borderId="0" xfId="3" applyNumberFormat="1" applyFont="1"/>
    <xf numFmtId="10" fontId="2" fillId="0" borderId="0" xfId="5" applyNumberFormat="1" applyFont="1"/>
    <xf numFmtId="176" fontId="2" fillId="0" borderId="0" xfId="5" applyNumberFormat="1" applyFont="1"/>
    <xf numFmtId="44" fontId="2" fillId="0" borderId="0" xfId="3" applyNumberFormat="1" applyFont="1" applyFill="1"/>
    <xf numFmtId="176" fontId="2" fillId="0" borderId="0" xfId="3" applyNumberFormat="1" applyFont="1"/>
    <xf numFmtId="176" fontId="2" fillId="0" borderId="0" xfId="3" applyNumberFormat="1" applyFont="1" applyFill="1"/>
    <xf numFmtId="0" fontId="3" fillId="0" borderId="0" xfId="5" applyFont="1"/>
    <xf numFmtId="177" fontId="17" fillId="0" borderId="8" xfId="0" applyNumberFormat="1" applyFont="1" applyBorder="1" applyAlignment="1">
      <alignment horizontal="center" vertical="center" wrapText="1"/>
    </xf>
    <xf numFmtId="178" fontId="17" fillId="0" borderId="8" xfId="0" applyNumberFormat="1" applyFont="1" applyBorder="1" applyAlignment="1">
      <alignment horizontal="center" vertical="center" wrapText="1"/>
    </xf>
    <xf numFmtId="9" fontId="17" fillId="0" borderId="8" xfId="3" applyFont="1" applyFill="1" applyBorder="1" applyAlignment="1" applyProtection="1">
      <alignment horizontal="center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" fillId="0" borderId="0" xfId="5" applyFont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3" fillId="0" borderId="0" xfId="5" applyFont="1" applyAlignment="1">
      <alignment horizontal="center"/>
    </xf>
    <xf numFmtId="0" fontId="14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179" fontId="11" fillId="3" borderId="1" xfId="0" applyNumberFormat="1" applyFont="1" applyFill="1" applyBorder="1" applyAlignment="1">
      <alignment horizontal="center" vertical="center" wrapText="1"/>
    </xf>
    <xf numFmtId="179" fontId="10" fillId="4" borderId="5" xfId="0" applyNumberFormat="1" applyFont="1" applyFill="1" applyBorder="1" applyAlignment="1">
      <alignment horizontal="center" vertical="center" wrapText="1"/>
    </xf>
    <xf numFmtId="179" fontId="9" fillId="2" borderId="3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0" fillId="4" borderId="5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175" fontId="10" fillId="4" borderId="5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5" applyFont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3" xfId="4" xr:uid="{32AE9F18-806A-42AD-A65A-29B86DF9B653}"/>
    <cellStyle name="Normal_Copy of Avoided Cost adjusted Final" xfId="5" xr:uid="{C354D8B4-20FC-4EB2-9A8B-3E70EA10BBD5}"/>
    <cellStyle name="Percent" xfId="3" builtinId="5"/>
  </cellStyles>
  <dxfs count="0"/>
  <tableStyles count="1" defaultTableStyle="TableStyleMedium2" defaultPivotStyle="PivotStyleLight16">
    <tableStyle name="Invisible" pivot="0" table="0" count="0" xr9:uid="{71BADEAF-BDB5-44F8-B49F-C96ED8CD298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DaveB\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d Profiles"/>
      <sheetName val="loadprofiles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6876B-026F-4FAA-9779-EA8510CA6EB2}">
  <sheetPr>
    <tabColor indexed="41"/>
    <pageSetUpPr fitToPage="1"/>
  </sheetPr>
  <dimension ref="A1:AA68"/>
  <sheetViews>
    <sheetView tabSelected="1" showOutlineSymbols="0" topLeftCell="B1" zoomScale="90" zoomScaleNormal="90" workbookViewId="0">
      <pane xSplit="1" topLeftCell="C1" activePane="topRight" state="frozen"/>
      <selection activeCell="B8" sqref="B8"/>
      <selection pane="topRight" activeCell="U4" sqref="U4:U48"/>
    </sheetView>
  </sheetViews>
  <sheetFormatPr defaultColWidth="16.1640625" defaultRowHeight="12.75" x14ac:dyDescent="0.2"/>
  <cols>
    <col min="1" max="1" width="68.1640625" style="1" hidden="1" customWidth="1"/>
    <col min="2" max="2" width="49" style="1" bestFit="1" customWidth="1" collapsed="1"/>
    <col min="3" max="3" width="69.83203125" style="6" customWidth="1"/>
    <col min="4" max="4" width="91.1640625" style="6" bestFit="1" customWidth="1"/>
    <col min="5" max="5" width="28.33203125" style="5" bestFit="1" customWidth="1"/>
    <col min="6" max="6" width="29.33203125" style="2" bestFit="1" customWidth="1"/>
    <col min="7" max="7" width="11.1640625" style="2" bestFit="1" customWidth="1"/>
    <col min="8" max="8" width="20.6640625" style="4" bestFit="1" customWidth="1"/>
    <col min="9" max="9" width="37.5" style="4" bestFit="1" customWidth="1"/>
    <col min="10" max="10" width="35.33203125" style="1" bestFit="1" customWidth="1"/>
    <col min="11" max="11" width="31.83203125" style="1" bestFit="1" customWidth="1"/>
    <col min="12" max="12" width="22.6640625" style="1" bestFit="1" customWidth="1"/>
    <col min="13" max="13" width="53.6640625" style="1" bestFit="1" customWidth="1"/>
    <col min="14" max="14" width="17.1640625" style="1" bestFit="1" customWidth="1"/>
    <col min="15" max="15" width="34.83203125" style="1" bestFit="1" customWidth="1"/>
    <col min="16" max="16" width="37.33203125" style="2" bestFit="1" customWidth="1"/>
    <col min="17" max="17" width="22" style="2" bestFit="1" customWidth="1"/>
    <col min="18" max="18" width="32.1640625" style="3" bestFit="1" customWidth="1"/>
    <col min="19" max="19" width="47.5" style="3" bestFit="1" customWidth="1"/>
    <col min="20" max="20" width="20.83203125" style="2" bestFit="1" customWidth="1"/>
    <col min="21" max="21" width="30.83203125" style="2" bestFit="1" customWidth="1"/>
    <col min="22" max="22" width="51.1640625" style="2" bestFit="1" customWidth="1"/>
    <col min="23" max="23" width="11.6640625" style="2" customWidth="1"/>
    <col min="24" max="24" width="29.5" style="2" bestFit="1" customWidth="1"/>
    <col min="25" max="25" width="32.1640625" style="2" bestFit="1" customWidth="1"/>
    <col min="26" max="26" width="53.83203125" style="1" bestFit="1" customWidth="1"/>
  </cols>
  <sheetData>
    <row r="1" spans="1:27" ht="27.75" customHeight="1" thickBot="1" x14ac:dyDescent="0.25">
      <c r="B1" s="76" t="s">
        <v>0</v>
      </c>
      <c r="C1" s="105" t="s">
        <v>1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94"/>
    </row>
    <row r="2" spans="1:27" ht="22.5" customHeight="1" thickBot="1" x14ac:dyDescent="0.25">
      <c r="B2" s="76">
        <v>2022</v>
      </c>
      <c r="C2" s="107" t="s">
        <v>2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95"/>
    </row>
    <row r="3" spans="1:27" ht="33" customHeight="1" thickBot="1" x14ac:dyDescent="0.25">
      <c r="A3" s="72" t="s">
        <v>3</v>
      </c>
      <c r="B3" s="72" t="s">
        <v>4</v>
      </c>
      <c r="C3" s="72" t="s">
        <v>5</v>
      </c>
      <c r="D3" s="72" t="s">
        <v>6</v>
      </c>
      <c r="E3" s="72" t="s">
        <v>7</v>
      </c>
      <c r="F3" s="72" t="s">
        <v>8</v>
      </c>
      <c r="G3" s="72" t="s">
        <v>9</v>
      </c>
      <c r="H3" s="72" t="s">
        <v>10</v>
      </c>
      <c r="I3" s="72" t="s">
        <v>11</v>
      </c>
      <c r="J3" s="72" t="s">
        <v>12</v>
      </c>
      <c r="K3" s="72" t="s">
        <v>13</v>
      </c>
      <c r="L3" s="72" t="s">
        <v>14</v>
      </c>
      <c r="M3" s="72" t="s">
        <v>15</v>
      </c>
      <c r="N3" s="72" t="s">
        <v>16</v>
      </c>
      <c r="O3" s="72" t="s">
        <v>17</v>
      </c>
      <c r="P3" s="72" t="s">
        <v>18</v>
      </c>
      <c r="Q3" s="72" t="s">
        <v>19</v>
      </c>
      <c r="R3" s="72" t="s">
        <v>20</v>
      </c>
      <c r="S3" s="72" t="s">
        <v>21</v>
      </c>
      <c r="T3" s="72" t="s">
        <v>22</v>
      </c>
      <c r="U3" s="72" t="s">
        <v>23</v>
      </c>
      <c r="V3" s="72" t="s">
        <v>24</v>
      </c>
      <c r="W3" s="72"/>
      <c r="X3" s="72" t="s">
        <v>25</v>
      </c>
      <c r="Y3" s="72" t="s">
        <v>26</v>
      </c>
      <c r="Z3" s="72" t="s">
        <v>27</v>
      </c>
    </row>
    <row r="4" spans="1:27" ht="13.5" thickBot="1" x14ac:dyDescent="0.25">
      <c r="A4" s="70" t="s">
        <v>28</v>
      </c>
      <c r="B4" s="70" t="s">
        <v>29</v>
      </c>
      <c r="C4" s="70" t="s">
        <v>30</v>
      </c>
      <c r="D4" s="67" t="s">
        <v>31</v>
      </c>
      <c r="E4" s="67">
        <v>2</v>
      </c>
      <c r="F4" s="69">
        <v>1.5</v>
      </c>
      <c r="G4" s="66" t="s">
        <v>32</v>
      </c>
      <c r="H4" s="69">
        <v>1700</v>
      </c>
      <c r="I4" s="69">
        <f t="shared" ref="I4:I33" si="0">ROUNDDOWN(H4*F4,2)</f>
        <v>2550</v>
      </c>
      <c r="J4" s="69">
        <v>8.89</v>
      </c>
      <c r="K4" s="68">
        <f t="shared" ref="K4:K32" si="1">H4*J4</f>
        <v>15113.000000000002</v>
      </c>
      <c r="L4" s="61">
        <f>PV($C$53,$N4,(-0.05*0.9*$F4))</f>
        <v>0.96807601440630597</v>
      </c>
      <c r="M4" s="61">
        <f t="shared" ref="M4:M32" si="2">MAX(0,H4*(J4-L4))</f>
        <v>13467.27077550928</v>
      </c>
      <c r="N4" s="67">
        <v>20</v>
      </c>
      <c r="O4" s="66">
        <f t="shared" ref="O4:O33" si="3">PV($C$53,N4,-I4)</f>
        <v>36571.760544238219</v>
      </c>
      <c r="P4" s="65">
        <f t="shared" ref="P4:P33" si="4">$C$56*I4/SUM($I$4:$I$29)</f>
        <v>9039.4769011248736</v>
      </c>
      <c r="Q4" s="64">
        <v>6</v>
      </c>
      <c r="R4" s="63">
        <f t="shared" ref="R4:R32" si="5">H4*Q4</f>
        <v>10200</v>
      </c>
      <c r="S4" s="63">
        <v>0</v>
      </c>
      <c r="T4" s="61">
        <f t="shared" ref="T4:T33" si="6">IF(ISERROR(R4/O4),0,R4/O4)</f>
        <v>0.27890371828454352</v>
      </c>
      <c r="U4" s="68">
        <f t="shared" ref="U4:U33" si="7">IF(O4=0,0,(R4+P4)/O4)</f>
        <v>0.52607467113463857</v>
      </c>
      <c r="V4" s="100">
        <f t="shared" ref="V4:V33" si="8">IF(OR($R4=0,ISERROR(R4/I4)),"-",(VLOOKUP($N4,AC,6)*$I4)/($R4+$P4))</f>
        <v>2.8019013454307844</v>
      </c>
      <c r="W4" s="62"/>
      <c r="X4" s="61">
        <f t="shared" ref="X4:X33" si="9">IF(ISERROR(M4/O4),0,M4/O4)</f>
        <v>0.3682423425915986</v>
      </c>
      <c r="Y4" s="61">
        <f t="shared" ref="Y4:Y33" si="10">IF(O4=0,0,(M4+P4)/O4)</f>
        <v>0.61541329544169376</v>
      </c>
      <c r="Z4" s="96">
        <f t="shared" ref="Z4:Z33" si="11">IF($M4=0,"-",(VLOOKUP($N4,AC,4)*$I4)/(M4+P4))</f>
        <v>2.1774123027521717</v>
      </c>
    </row>
    <row r="5" spans="1:27" ht="13.5" thickBot="1" x14ac:dyDescent="0.25">
      <c r="A5" s="60" t="s">
        <v>33</v>
      </c>
      <c r="B5" s="60" t="s">
        <v>29</v>
      </c>
      <c r="C5" s="60" t="s">
        <v>30</v>
      </c>
      <c r="D5" s="58" t="s">
        <v>31</v>
      </c>
      <c r="E5" s="58">
        <v>13</v>
      </c>
      <c r="F5" s="59">
        <v>2.1</v>
      </c>
      <c r="G5" s="57" t="s">
        <v>32</v>
      </c>
      <c r="H5" s="59">
        <v>25699</v>
      </c>
      <c r="I5" s="59">
        <f t="shared" si="0"/>
        <v>53967.9</v>
      </c>
      <c r="J5" s="59">
        <v>10.74</v>
      </c>
      <c r="K5" s="75">
        <f t="shared" si="1"/>
        <v>276007.26</v>
      </c>
      <c r="L5" s="52">
        <f>PV($C$53,$N5,(-0.05*0.9*$F5))</f>
        <v>1.5745438968150938</v>
      </c>
      <c r="M5" s="52">
        <f t="shared" si="2"/>
        <v>235543.05639574892</v>
      </c>
      <c r="N5" s="58">
        <v>25</v>
      </c>
      <c r="O5" s="57">
        <f t="shared" si="3"/>
        <v>899204.52453891304</v>
      </c>
      <c r="P5" s="56">
        <f t="shared" si="4"/>
        <v>191310.42566753612</v>
      </c>
      <c r="Q5" s="55">
        <v>10</v>
      </c>
      <c r="R5" s="54">
        <f t="shared" si="5"/>
        <v>256990</v>
      </c>
      <c r="S5" s="54">
        <v>0</v>
      </c>
      <c r="T5" s="52">
        <f t="shared" si="6"/>
        <v>0.28579704948857693</v>
      </c>
      <c r="U5" s="75">
        <f t="shared" si="7"/>
        <v>0.49855223526306436</v>
      </c>
      <c r="V5" s="101">
        <f t="shared" si="8"/>
        <v>3.3297439009259335</v>
      </c>
      <c r="W5" s="53"/>
      <c r="X5" s="52">
        <f t="shared" si="9"/>
        <v>0.26194603115073162</v>
      </c>
      <c r="Y5" s="52">
        <f t="shared" si="10"/>
        <v>0.4747012169252191</v>
      </c>
      <c r="Z5" s="97">
        <f t="shared" si="11"/>
        <v>3.1791313346583947</v>
      </c>
    </row>
    <row r="6" spans="1:27" ht="13.5" thickBot="1" x14ac:dyDescent="0.25">
      <c r="A6" s="60" t="s">
        <v>34</v>
      </c>
      <c r="B6" s="60" t="s">
        <v>35</v>
      </c>
      <c r="C6" s="60" t="s">
        <v>36</v>
      </c>
      <c r="D6" s="58" t="s">
        <v>37</v>
      </c>
      <c r="E6" s="58">
        <v>1</v>
      </c>
      <c r="F6" s="59">
        <v>219</v>
      </c>
      <c r="G6" s="57" t="s">
        <v>38</v>
      </c>
      <c r="H6" s="59">
        <v>1</v>
      </c>
      <c r="I6" s="59">
        <f t="shared" si="0"/>
        <v>219</v>
      </c>
      <c r="J6" s="59">
        <v>900</v>
      </c>
      <c r="K6" s="75">
        <f t="shared" si="1"/>
        <v>900</v>
      </c>
      <c r="L6" s="52">
        <f>PV($C$53,$N6,(-0.05*0.9*$F6))+PV($C$53,$N6,-3500/1000*10)</f>
        <v>436.01097846840753</v>
      </c>
      <c r="M6" s="52">
        <f t="shared" si="2"/>
        <v>463.98902153159247</v>
      </c>
      <c r="N6" s="58">
        <v>12</v>
      </c>
      <c r="O6" s="57">
        <f t="shared" si="3"/>
        <v>2128.7794958105283</v>
      </c>
      <c r="P6" s="56">
        <f t="shared" si="4"/>
        <v>776.33154562601862</v>
      </c>
      <c r="Q6" s="55">
        <v>800</v>
      </c>
      <c r="R6" s="54">
        <f t="shared" si="5"/>
        <v>800</v>
      </c>
      <c r="S6" s="54">
        <v>0</v>
      </c>
      <c r="T6" s="52">
        <f t="shared" si="6"/>
        <v>0.37580219161938222</v>
      </c>
      <c r="U6" s="75">
        <f t="shared" si="7"/>
        <v>0.74048606195628253</v>
      </c>
      <c r="V6" s="101">
        <f t="shared" si="8"/>
        <v>1.6527547148497217</v>
      </c>
      <c r="W6" s="53"/>
      <c r="X6" s="52">
        <f t="shared" si="9"/>
        <v>0.21796011397363146</v>
      </c>
      <c r="Y6" s="52">
        <f t="shared" si="10"/>
        <v>0.58264398431053177</v>
      </c>
      <c r="Z6" s="97">
        <f t="shared" si="11"/>
        <v>1.909542554184696</v>
      </c>
    </row>
    <row r="7" spans="1:27" ht="13.5" thickBot="1" x14ac:dyDescent="0.25">
      <c r="A7" s="70" t="s">
        <v>39</v>
      </c>
      <c r="B7" s="70" t="s">
        <v>40</v>
      </c>
      <c r="C7" s="70" t="s">
        <v>36</v>
      </c>
      <c r="D7" s="67" t="s">
        <v>37</v>
      </c>
      <c r="E7" s="67">
        <v>15</v>
      </c>
      <c r="F7" s="69">
        <v>649</v>
      </c>
      <c r="G7" s="66" t="s">
        <v>38</v>
      </c>
      <c r="H7" s="69">
        <v>15</v>
      </c>
      <c r="I7" s="69">
        <f t="shared" si="0"/>
        <v>9735</v>
      </c>
      <c r="J7" s="69">
        <v>900</v>
      </c>
      <c r="K7" s="68">
        <f t="shared" si="1"/>
        <v>13500</v>
      </c>
      <c r="L7" s="61">
        <f>PV($C$53,$N7,(-0.05*0.9*$F7))+PV($C$53,$N7,-1180/1000*10)</f>
        <v>398.58722934114485</v>
      </c>
      <c r="M7" s="61">
        <f t="shared" si="2"/>
        <v>7521.1915598828273</v>
      </c>
      <c r="N7" s="67">
        <v>12</v>
      </c>
      <c r="O7" s="66">
        <f t="shared" si="3"/>
        <v>94628.622793221424</v>
      </c>
      <c r="P7" s="65">
        <f t="shared" si="4"/>
        <v>34509.532404882608</v>
      </c>
      <c r="Q7" s="64">
        <v>800</v>
      </c>
      <c r="R7" s="63">
        <f t="shared" si="5"/>
        <v>12000</v>
      </c>
      <c r="S7" s="63">
        <v>0</v>
      </c>
      <c r="T7" s="61">
        <f t="shared" si="6"/>
        <v>0.12681152536925225</v>
      </c>
      <c r="U7" s="68">
        <f t="shared" si="7"/>
        <v>0.49149539570615253</v>
      </c>
      <c r="V7" s="100">
        <f t="shared" si="8"/>
        <v>2.4900372228724601</v>
      </c>
      <c r="W7" s="62"/>
      <c r="X7" s="61">
        <f t="shared" si="9"/>
        <v>7.948114785859059E-2</v>
      </c>
      <c r="Y7" s="61">
        <f t="shared" si="10"/>
        <v>0.44416501819549087</v>
      </c>
      <c r="Z7" s="96">
        <f t="shared" si="11"/>
        <v>2.5048876800356168</v>
      </c>
    </row>
    <row r="8" spans="1:27" ht="13.5" thickBot="1" x14ac:dyDescent="0.25">
      <c r="A8" s="70" t="s">
        <v>41</v>
      </c>
      <c r="B8" s="70" t="s">
        <v>42</v>
      </c>
      <c r="C8" s="70" t="s">
        <v>43</v>
      </c>
      <c r="D8" s="67" t="s">
        <v>44</v>
      </c>
      <c r="E8" s="67">
        <v>2</v>
      </c>
      <c r="F8" s="69">
        <v>13</v>
      </c>
      <c r="G8" s="66" t="s">
        <v>45</v>
      </c>
      <c r="H8" s="69">
        <v>14</v>
      </c>
      <c r="I8" s="69">
        <f t="shared" si="0"/>
        <v>182</v>
      </c>
      <c r="J8" s="69">
        <v>55</v>
      </c>
      <c r="K8" s="68">
        <f t="shared" si="1"/>
        <v>770</v>
      </c>
      <c r="L8" s="61">
        <f>PV($C$53,$N8,(-0.05*0.9*$F8))+PV($C$53,$N8,-900/1000*10)</f>
        <v>80.117967522463715</v>
      </c>
      <c r="M8" s="61">
        <f t="shared" si="2"/>
        <v>0</v>
      </c>
      <c r="N8" s="67">
        <v>10</v>
      </c>
      <c r="O8" s="66">
        <f t="shared" si="3"/>
        <v>1521.2801344901818</v>
      </c>
      <c r="P8" s="65">
        <f t="shared" si="4"/>
        <v>645.17050823714794</v>
      </c>
      <c r="Q8" s="64">
        <v>20</v>
      </c>
      <c r="R8" s="63">
        <f t="shared" si="5"/>
        <v>280</v>
      </c>
      <c r="S8" s="63">
        <v>0</v>
      </c>
      <c r="T8" s="61">
        <f t="shared" si="6"/>
        <v>0.1840555159118244</v>
      </c>
      <c r="U8" s="68">
        <f t="shared" si="7"/>
        <v>0.60815262571426087</v>
      </c>
      <c r="V8" s="100">
        <f t="shared" si="8"/>
        <v>1.9217312439981293</v>
      </c>
      <c r="W8" s="62"/>
      <c r="X8" s="61">
        <f t="shared" si="9"/>
        <v>0</v>
      </c>
      <c r="Y8" s="61">
        <f t="shared" si="10"/>
        <v>0.42409710980243648</v>
      </c>
      <c r="Z8" s="96" t="str">
        <f t="shared" si="11"/>
        <v>-</v>
      </c>
    </row>
    <row r="9" spans="1:27" ht="13.5" thickBot="1" x14ac:dyDescent="0.25">
      <c r="A9" s="60" t="s">
        <v>46</v>
      </c>
      <c r="B9" s="60" t="s">
        <v>47</v>
      </c>
      <c r="C9" s="60" t="s">
        <v>48</v>
      </c>
      <c r="D9" s="58" t="s">
        <v>49</v>
      </c>
      <c r="E9" s="58">
        <v>10</v>
      </c>
      <c r="F9" s="59">
        <v>0.79</v>
      </c>
      <c r="G9" s="57" t="s">
        <v>32</v>
      </c>
      <c r="H9" s="59">
        <v>1849.5000000000002</v>
      </c>
      <c r="I9" s="59">
        <f t="shared" si="0"/>
        <v>1461.1</v>
      </c>
      <c r="J9" s="59">
        <v>6.06</v>
      </c>
      <c r="K9" s="75">
        <f t="shared" si="1"/>
        <v>11207.970000000001</v>
      </c>
      <c r="L9" s="52">
        <f>PV($C$53,$N9,(-0.05*0.9*$F9))</f>
        <v>0.41237117582378013</v>
      </c>
      <c r="M9" s="52">
        <f t="shared" si="2"/>
        <v>10445.28951031392</v>
      </c>
      <c r="N9" s="58">
        <v>15</v>
      </c>
      <c r="O9" s="57">
        <f t="shared" si="3"/>
        <v>16948.397327598454</v>
      </c>
      <c r="P9" s="56">
        <f t="shared" si="4"/>
        <v>5179.4430196994326</v>
      </c>
      <c r="Q9" s="55">
        <v>2.5</v>
      </c>
      <c r="R9" s="54">
        <f t="shared" si="5"/>
        <v>4623.7500000000009</v>
      </c>
      <c r="S9" s="54">
        <v>0</v>
      </c>
      <c r="T9" s="52">
        <f t="shared" si="6"/>
        <v>0.27281340593017445</v>
      </c>
      <c r="U9" s="75">
        <f t="shared" si="7"/>
        <v>0.57841416095055176</v>
      </c>
      <c r="V9" s="101">
        <f t="shared" si="8"/>
        <v>2.2675349712115831</v>
      </c>
      <c r="W9" s="53"/>
      <c r="X9" s="52">
        <f t="shared" si="9"/>
        <v>0.61629954198117631</v>
      </c>
      <c r="Y9" s="52">
        <f t="shared" si="10"/>
        <v>0.92190029700155363</v>
      </c>
      <c r="Z9" s="97">
        <f t="shared" si="11"/>
        <v>1.2933506052318118</v>
      </c>
    </row>
    <row r="10" spans="1:27" ht="13.5" thickBot="1" x14ac:dyDescent="0.25">
      <c r="A10" s="70" t="s">
        <v>50</v>
      </c>
      <c r="B10" s="70" t="s">
        <v>47</v>
      </c>
      <c r="C10" s="70" t="s">
        <v>48</v>
      </c>
      <c r="D10" s="67" t="s">
        <v>49</v>
      </c>
      <c r="E10" s="67">
        <v>30</v>
      </c>
      <c r="F10" s="69">
        <v>3.7987000000000002</v>
      </c>
      <c r="G10" s="66" t="s">
        <v>32</v>
      </c>
      <c r="H10" s="69">
        <v>6778.2999999999993</v>
      </c>
      <c r="I10" s="69">
        <f t="shared" si="0"/>
        <v>25748.720000000001</v>
      </c>
      <c r="J10" s="69">
        <v>6.06</v>
      </c>
      <c r="K10" s="68">
        <f t="shared" si="1"/>
        <v>41076.497999999992</v>
      </c>
      <c r="L10" s="61">
        <f>PV($C$53,$N10,(-0.05*0.9*$F10))</f>
        <v>1.4288456489557884</v>
      </c>
      <c r="M10" s="61">
        <f t="shared" si="2"/>
        <v>31391.353537682971</v>
      </c>
      <c r="N10" s="67">
        <v>10</v>
      </c>
      <c r="O10" s="66">
        <f t="shared" si="3"/>
        <v>215225.36387115406</v>
      </c>
      <c r="P10" s="65">
        <f t="shared" si="4"/>
        <v>91276.454773934151</v>
      </c>
      <c r="Q10" s="64">
        <v>3</v>
      </c>
      <c r="R10" s="63">
        <f t="shared" si="5"/>
        <v>20334.899999999998</v>
      </c>
      <c r="S10" s="63">
        <v>0</v>
      </c>
      <c r="T10" s="61">
        <f t="shared" si="6"/>
        <v>9.4481893928513028E-2</v>
      </c>
      <c r="U10" s="68">
        <f t="shared" si="7"/>
        <v>0.51857900373094945</v>
      </c>
      <c r="V10" s="100">
        <f t="shared" si="8"/>
        <v>2.2536699201978228</v>
      </c>
      <c r="W10" s="62"/>
      <c r="X10" s="61">
        <f t="shared" si="9"/>
        <v>0.14585341138731026</v>
      </c>
      <c r="Y10" s="61">
        <f t="shared" si="10"/>
        <v>0.56995052118974665</v>
      </c>
      <c r="Z10" s="96">
        <f t="shared" si="11"/>
        <v>1.8641265712854784</v>
      </c>
    </row>
    <row r="11" spans="1:27" ht="13.5" thickBot="1" x14ac:dyDescent="0.25">
      <c r="A11" s="60" t="s">
        <v>51</v>
      </c>
      <c r="B11" s="60" t="s">
        <v>52</v>
      </c>
      <c r="C11" s="60" t="s">
        <v>36</v>
      </c>
      <c r="D11" s="58" t="s">
        <v>53</v>
      </c>
      <c r="E11" s="58">
        <v>8</v>
      </c>
      <c r="F11" s="59">
        <v>685</v>
      </c>
      <c r="G11" s="57" t="s">
        <v>54</v>
      </c>
      <c r="H11" s="59">
        <v>16</v>
      </c>
      <c r="I11" s="59">
        <f t="shared" si="0"/>
        <v>10960</v>
      </c>
      <c r="J11" s="59">
        <v>6200</v>
      </c>
      <c r="K11" s="75">
        <f t="shared" si="1"/>
        <v>99200</v>
      </c>
      <c r="L11" s="52">
        <f>PV($C$53,$N11,(-0.05*0.9*$F11))</f>
        <v>299.63300437607097</v>
      </c>
      <c r="M11" s="52">
        <f t="shared" si="2"/>
        <v>94405.871929982866</v>
      </c>
      <c r="N11" s="58">
        <v>12</v>
      </c>
      <c r="O11" s="57">
        <f t="shared" si="3"/>
        <v>106536.1793337141</v>
      </c>
      <c r="P11" s="56">
        <f t="shared" si="4"/>
        <v>38852.026210324948</v>
      </c>
      <c r="Q11" s="55">
        <v>750</v>
      </c>
      <c r="R11" s="54">
        <f t="shared" si="5"/>
        <v>12000</v>
      </c>
      <c r="S11" s="54">
        <v>0</v>
      </c>
      <c r="T11" s="52">
        <f t="shared" si="6"/>
        <v>0.11263779192241521</v>
      </c>
      <c r="U11" s="75">
        <f t="shared" si="7"/>
        <v>0.47732166225931549</v>
      </c>
      <c r="V11" s="101">
        <f t="shared" si="8"/>
        <v>2.5639771394114312</v>
      </c>
      <c r="W11" s="53"/>
      <c r="X11" s="52">
        <f t="shared" si="9"/>
        <v>0.88613907989196572</v>
      </c>
      <c r="Y11" s="52">
        <f t="shared" si="10"/>
        <v>1.2508229502288659</v>
      </c>
      <c r="Z11" s="97">
        <f t="shared" si="11"/>
        <v>0.88948118658768516</v>
      </c>
    </row>
    <row r="12" spans="1:27" ht="13.5" thickBot="1" x14ac:dyDescent="0.25">
      <c r="A12" s="60" t="s">
        <v>55</v>
      </c>
      <c r="B12" s="60" t="s">
        <v>56</v>
      </c>
      <c r="C12" s="60" t="s">
        <v>57</v>
      </c>
      <c r="D12" s="58" t="s">
        <v>58</v>
      </c>
      <c r="E12" s="58">
        <v>1</v>
      </c>
      <c r="F12" s="59">
        <v>77</v>
      </c>
      <c r="G12" s="57" t="s">
        <v>38</v>
      </c>
      <c r="H12" s="59">
        <v>2</v>
      </c>
      <c r="I12" s="59">
        <f t="shared" si="0"/>
        <v>154</v>
      </c>
      <c r="J12" s="59">
        <v>1800</v>
      </c>
      <c r="K12" s="75">
        <f t="shared" si="1"/>
        <v>3600</v>
      </c>
      <c r="L12" s="52">
        <f>PV($C$53,$N12,(-0.05*0.9*$F12))</f>
        <v>42.222572458476435</v>
      </c>
      <c r="M12" s="52">
        <f t="shared" si="2"/>
        <v>3515.5548550830472</v>
      </c>
      <c r="N12" s="58">
        <v>16</v>
      </c>
      <c r="O12" s="57">
        <f t="shared" si="3"/>
        <v>1876.5587759322859</v>
      </c>
      <c r="P12" s="56">
        <f t="shared" si="4"/>
        <v>545.91350696989434</v>
      </c>
      <c r="Q12" s="55">
        <v>450</v>
      </c>
      <c r="R12" s="54">
        <f t="shared" si="5"/>
        <v>900</v>
      </c>
      <c r="S12" s="54">
        <v>0</v>
      </c>
      <c r="T12" s="52">
        <f t="shared" si="6"/>
        <v>0.47960128483205888</v>
      </c>
      <c r="U12" s="75">
        <f t="shared" si="7"/>
        <v>0.77051330633198822</v>
      </c>
      <c r="V12" s="101">
        <f t="shared" si="8"/>
        <v>1.7414312085217412</v>
      </c>
      <c r="W12" s="53"/>
      <c r="X12" s="52">
        <f t="shared" si="9"/>
        <v>1.8734051393282356</v>
      </c>
      <c r="Y12" s="52">
        <f t="shared" si="10"/>
        <v>2.1643171608281646</v>
      </c>
      <c r="Z12" s="97">
        <f t="shared" si="11"/>
        <v>0.56360245771438744</v>
      </c>
    </row>
    <row r="13" spans="1:27" ht="13.5" thickBot="1" x14ac:dyDescent="0.25">
      <c r="A13" s="60" t="s">
        <v>59</v>
      </c>
      <c r="B13" s="60" t="s">
        <v>60</v>
      </c>
      <c r="C13" s="60" t="s">
        <v>61</v>
      </c>
      <c r="D13" s="58" t="s">
        <v>62</v>
      </c>
      <c r="E13" s="58">
        <v>12</v>
      </c>
      <c r="F13" s="59">
        <v>1.1000000000000001</v>
      </c>
      <c r="G13" s="57" t="s">
        <v>32</v>
      </c>
      <c r="H13" s="59">
        <v>3312.5</v>
      </c>
      <c r="I13" s="59">
        <f t="shared" si="0"/>
        <v>3643.75</v>
      </c>
      <c r="J13" s="59">
        <v>5.23</v>
      </c>
      <c r="K13" s="75">
        <f t="shared" si="1"/>
        <v>17324.375</v>
      </c>
      <c r="L13" s="52">
        <f>PV($C$53,$N13,(-0.05*0.9*$F13))+PV($C$53,$N13,-850/1000*10)</f>
        <v>113.70572552624149</v>
      </c>
      <c r="M13" s="52">
        <f t="shared" si="2"/>
        <v>0</v>
      </c>
      <c r="N13" s="58">
        <v>18</v>
      </c>
      <c r="O13" s="57">
        <f t="shared" si="3"/>
        <v>48460.756463681202</v>
      </c>
      <c r="P13" s="56">
        <f t="shared" si="4"/>
        <v>12916.703513126964</v>
      </c>
      <c r="Q13" s="55">
        <v>5</v>
      </c>
      <c r="R13" s="54">
        <f t="shared" si="5"/>
        <v>16562.5</v>
      </c>
      <c r="S13" s="54">
        <v>0</v>
      </c>
      <c r="T13" s="52">
        <f t="shared" si="6"/>
        <v>0.34177138799747642</v>
      </c>
      <c r="U13" s="75">
        <f t="shared" si="7"/>
        <v>0.60831084085986331</v>
      </c>
      <c r="V13" s="101">
        <f t="shared" si="8"/>
        <v>2.3113367747216178</v>
      </c>
      <c r="W13" s="53"/>
      <c r="X13" s="52">
        <f t="shared" si="9"/>
        <v>0</v>
      </c>
      <c r="Y13" s="52">
        <f t="shared" si="10"/>
        <v>0.26653945286238684</v>
      </c>
      <c r="Z13" s="97" t="str">
        <f t="shared" si="11"/>
        <v>-</v>
      </c>
    </row>
    <row r="14" spans="1:27" ht="13.5" thickBot="1" x14ac:dyDescent="0.25">
      <c r="A14" s="70" t="s">
        <v>63</v>
      </c>
      <c r="B14" s="70" t="s">
        <v>64</v>
      </c>
      <c r="C14" s="70" t="s">
        <v>65</v>
      </c>
      <c r="D14" s="67" t="s">
        <v>66</v>
      </c>
      <c r="E14" s="67">
        <v>3</v>
      </c>
      <c r="F14" s="69">
        <v>0.31</v>
      </c>
      <c r="G14" s="66" t="s">
        <v>67</v>
      </c>
      <c r="H14" s="69">
        <v>12873</v>
      </c>
      <c r="I14" s="69">
        <f t="shared" si="0"/>
        <v>3990.63</v>
      </c>
      <c r="J14" s="69">
        <v>1.65</v>
      </c>
      <c r="K14" s="68">
        <f t="shared" si="1"/>
        <v>21240.449999999997</v>
      </c>
      <c r="L14" s="61">
        <f t="shared" ref="L14:L33" si="12">PV($C$53,$N14,(-0.05*0.9*$F14))</f>
        <v>0.25981399800736749</v>
      </c>
      <c r="M14" s="61">
        <f t="shared" si="2"/>
        <v>17895.864403651158</v>
      </c>
      <c r="N14" s="67">
        <v>30</v>
      </c>
      <c r="O14" s="66">
        <f t="shared" si="3"/>
        <v>74324.124363307579</v>
      </c>
      <c r="P14" s="65">
        <f t="shared" si="4"/>
        <v>14146.355963112141</v>
      </c>
      <c r="Q14" s="64">
        <v>2</v>
      </c>
      <c r="R14" s="63">
        <f t="shared" si="5"/>
        <v>25746</v>
      </c>
      <c r="S14" s="63">
        <v>-3166.2000000000007</v>
      </c>
      <c r="T14" s="61">
        <f t="shared" si="6"/>
        <v>0.34640165922641286</v>
      </c>
      <c r="U14" s="68">
        <f t="shared" si="7"/>
        <v>0.53673496061806603</v>
      </c>
      <c r="V14" s="100">
        <f t="shared" si="8"/>
        <v>3.4869707272114105</v>
      </c>
      <c r="W14" s="62"/>
      <c r="X14" s="61">
        <f t="shared" si="9"/>
        <v>0.24078136886179058</v>
      </c>
      <c r="Y14" s="61">
        <f t="shared" si="10"/>
        <v>0.43111467025344385</v>
      </c>
      <c r="Z14" s="96">
        <f t="shared" si="11"/>
        <v>3.9465962519183133</v>
      </c>
    </row>
    <row r="15" spans="1:27" ht="13.5" thickBot="1" x14ac:dyDescent="0.25">
      <c r="A15" s="60" t="s">
        <v>68</v>
      </c>
      <c r="B15" s="60" t="s">
        <v>69</v>
      </c>
      <c r="C15" s="60" t="s">
        <v>65</v>
      </c>
      <c r="D15" s="58" t="s">
        <v>70</v>
      </c>
      <c r="E15" s="58">
        <v>7</v>
      </c>
      <c r="F15" s="59">
        <v>0.32</v>
      </c>
      <c r="G15" s="57" t="s">
        <v>67</v>
      </c>
      <c r="H15" s="59">
        <v>45996</v>
      </c>
      <c r="I15" s="59">
        <f t="shared" si="0"/>
        <v>14718.72</v>
      </c>
      <c r="J15" s="59">
        <v>1.63</v>
      </c>
      <c r="K15" s="75">
        <f t="shared" si="1"/>
        <v>74973.48</v>
      </c>
      <c r="L15" s="52">
        <f t="shared" si="12"/>
        <v>0.26819509471728253</v>
      </c>
      <c r="M15" s="52">
        <f t="shared" si="2"/>
        <v>62637.578423383871</v>
      </c>
      <c r="N15" s="58">
        <v>30</v>
      </c>
      <c r="O15" s="57">
        <f t="shared" si="3"/>
        <v>274131.14614702499</v>
      </c>
      <c r="P15" s="56">
        <f t="shared" si="4"/>
        <v>52176.286060441067</v>
      </c>
      <c r="Q15" s="55">
        <v>2.5</v>
      </c>
      <c r="R15" s="54">
        <f t="shared" si="5"/>
        <v>114990</v>
      </c>
      <c r="S15" s="54">
        <v>-10971.979999999996</v>
      </c>
      <c r="T15" s="52">
        <f t="shared" si="6"/>
        <v>0.41947075921948435</v>
      </c>
      <c r="U15" s="75">
        <f t="shared" si="7"/>
        <v>0.60980406061113757</v>
      </c>
      <c r="V15" s="101">
        <f t="shared" si="8"/>
        <v>3.0691482999809701</v>
      </c>
      <c r="W15" s="53"/>
      <c r="X15" s="52">
        <f t="shared" si="9"/>
        <v>0.22849493501110379</v>
      </c>
      <c r="Y15" s="52">
        <f t="shared" si="10"/>
        <v>0.41882823640275707</v>
      </c>
      <c r="Z15" s="97">
        <f t="shared" si="11"/>
        <v>4.0623706662725878</v>
      </c>
    </row>
    <row r="16" spans="1:27" ht="13.5" thickBot="1" x14ac:dyDescent="0.25">
      <c r="A16" s="60" t="s">
        <v>71</v>
      </c>
      <c r="B16" s="60" t="s">
        <v>72</v>
      </c>
      <c r="C16" s="60" t="s">
        <v>73</v>
      </c>
      <c r="D16" s="58" t="s">
        <v>74</v>
      </c>
      <c r="E16" s="58">
        <v>1</v>
      </c>
      <c r="F16" s="59">
        <v>5.6000000000000001E-2</v>
      </c>
      <c r="G16" s="57" t="s">
        <v>75</v>
      </c>
      <c r="H16" s="59">
        <v>1559</v>
      </c>
      <c r="I16" s="59">
        <f t="shared" si="0"/>
        <v>87.3</v>
      </c>
      <c r="J16" s="59">
        <v>1.08</v>
      </c>
      <c r="K16" s="75">
        <f t="shared" si="1"/>
        <v>1683.72</v>
      </c>
      <c r="L16" s="52">
        <f t="shared" si="12"/>
        <v>4.6934141575524453E-2</v>
      </c>
      <c r="M16" s="52">
        <f t="shared" si="2"/>
        <v>1610.5496732837576</v>
      </c>
      <c r="N16" s="58">
        <v>30</v>
      </c>
      <c r="O16" s="57">
        <f t="shared" si="3"/>
        <v>1625.9327617235253</v>
      </c>
      <c r="P16" s="56">
        <f t="shared" si="4"/>
        <v>309.46915037968688</v>
      </c>
      <c r="Q16" s="55">
        <v>1.25</v>
      </c>
      <c r="R16" s="54">
        <f t="shared" si="5"/>
        <v>1948.75</v>
      </c>
      <c r="S16" s="54">
        <v>0</v>
      </c>
      <c r="T16" s="52">
        <f t="shared" si="6"/>
        <v>1.198542797018421</v>
      </c>
      <c r="U16" s="75">
        <f t="shared" si="7"/>
        <v>1.3888760984100741</v>
      </c>
      <c r="V16" s="101">
        <f t="shared" si="8"/>
        <v>1.3475493588583378</v>
      </c>
      <c r="W16" s="53"/>
      <c r="X16" s="52">
        <f t="shared" si="9"/>
        <v>0.99053891476824574</v>
      </c>
      <c r="Y16" s="52">
        <f t="shared" si="10"/>
        <v>1.180872216159899</v>
      </c>
      <c r="Z16" s="97">
        <f t="shared" si="11"/>
        <v>1.4408295143924816</v>
      </c>
    </row>
    <row r="17" spans="1:26" ht="13.5" thickBot="1" x14ac:dyDescent="0.25">
      <c r="A17" s="70" t="s">
        <v>76</v>
      </c>
      <c r="B17" s="70" t="s">
        <v>77</v>
      </c>
      <c r="C17" s="70" t="s">
        <v>78</v>
      </c>
      <c r="D17" s="67" t="s">
        <v>79</v>
      </c>
      <c r="E17" s="67">
        <v>3</v>
      </c>
      <c r="F17" s="69">
        <v>0.35</v>
      </c>
      <c r="G17" s="66" t="s">
        <v>67</v>
      </c>
      <c r="H17" s="69">
        <v>45348</v>
      </c>
      <c r="I17" s="69">
        <f t="shared" si="0"/>
        <v>15871.8</v>
      </c>
      <c r="J17" s="69">
        <v>1.83</v>
      </c>
      <c r="K17" s="68">
        <f t="shared" si="1"/>
        <v>82986.84</v>
      </c>
      <c r="L17" s="61">
        <f t="shared" si="12"/>
        <v>0.29333838484702779</v>
      </c>
      <c r="M17" s="61">
        <f t="shared" si="2"/>
        <v>69684.530923956976</v>
      </c>
      <c r="N17" s="67">
        <v>30</v>
      </c>
      <c r="O17" s="66">
        <f t="shared" si="3"/>
        <v>295606.8683565114</v>
      </c>
      <c r="P17" s="65">
        <f t="shared" si="4"/>
        <v>56263.831168342658</v>
      </c>
      <c r="Q17" s="64">
        <v>2</v>
      </c>
      <c r="R17" s="63">
        <f t="shared" si="5"/>
        <v>90696</v>
      </c>
      <c r="S17" s="63">
        <v>0</v>
      </c>
      <c r="T17" s="61">
        <f t="shared" si="6"/>
        <v>0.30681289817196566</v>
      </c>
      <c r="U17" s="68">
        <f t="shared" si="7"/>
        <v>0.497146199563619</v>
      </c>
      <c r="V17" s="100">
        <f t="shared" si="8"/>
        <v>3.7646452846043781</v>
      </c>
      <c r="W17" s="62"/>
      <c r="X17" s="61">
        <f t="shared" si="9"/>
        <v>0.23573380182734857</v>
      </c>
      <c r="Y17" s="61">
        <f t="shared" si="10"/>
        <v>0.42606710321900182</v>
      </c>
      <c r="Z17" s="96">
        <f t="shared" si="11"/>
        <v>3.9933511151521359</v>
      </c>
    </row>
    <row r="18" spans="1:26" ht="13.5" thickBot="1" x14ac:dyDescent="0.25">
      <c r="A18" s="60" t="s">
        <v>80</v>
      </c>
      <c r="B18" s="60" t="s">
        <v>81</v>
      </c>
      <c r="C18" s="60" t="s">
        <v>78</v>
      </c>
      <c r="D18" s="58" t="s">
        <v>82</v>
      </c>
      <c r="E18" s="58">
        <v>1</v>
      </c>
      <c r="F18" s="59">
        <v>0.36</v>
      </c>
      <c r="G18" s="57" t="s">
        <v>67</v>
      </c>
      <c r="H18" s="59">
        <v>5100</v>
      </c>
      <c r="I18" s="59">
        <f t="shared" si="0"/>
        <v>1836</v>
      </c>
      <c r="J18" s="59">
        <v>2.15</v>
      </c>
      <c r="K18" s="75">
        <f t="shared" si="1"/>
        <v>10965</v>
      </c>
      <c r="L18" s="52">
        <f t="shared" si="12"/>
        <v>0.30171948155694289</v>
      </c>
      <c r="M18" s="52">
        <f t="shared" si="2"/>
        <v>9426.2306440595912</v>
      </c>
      <c r="N18" s="58">
        <v>30</v>
      </c>
      <c r="O18" s="57">
        <f t="shared" si="3"/>
        <v>34194.87457645352</v>
      </c>
      <c r="P18" s="56">
        <f t="shared" si="4"/>
        <v>6508.4233688099102</v>
      </c>
      <c r="Q18" s="55">
        <v>2.5</v>
      </c>
      <c r="R18" s="54">
        <f t="shared" si="5"/>
        <v>12750</v>
      </c>
      <c r="S18" s="54">
        <v>0</v>
      </c>
      <c r="T18" s="52">
        <f t="shared" si="6"/>
        <v>0.37286289708398607</v>
      </c>
      <c r="U18" s="75">
        <f t="shared" si="7"/>
        <v>0.5631961984756394</v>
      </c>
      <c r="V18" s="101">
        <f t="shared" si="8"/>
        <v>3.3231387232581246</v>
      </c>
      <c r="W18" s="53"/>
      <c r="X18" s="52">
        <f t="shared" si="9"/>
        <v>0.27566209149222798</v>
      </c>
      <c r="Y18" s="52">
        <f t="shared" si="10"/>
        <v>0.46599539288388125</v>
      </c>
      <c r="Z18" s="97">
        <f t="shared" si="11"/>
        <v>3.651185328763995</v>
      </c>
    </row>
    <row r="19" spans="1:26" ht="13.5" thickBot="1" x14ac:dyDescent="0.25">
      <c r="A19" s="70" t="s">
        <v>83</v>
      </c>
      <c r="B19" s="70" t="s">
        <v>81</v>
      </c>
      <c r="C19" s="70" t="s">
        <v>78</v>
      </c>
      <c r="D19" s="67" t="s">
        <v>82</v>
      </c>
      <c r="E19" s="67">
        <v>1</v>
      </c>
      <c r="F19" s="69">
        <v>0.36</v>
      </c>
      <c r="G19" s="66" t="s">
        <v>67</v>
      </c>
      <c r="H19" s="69">
        <v>2400</v>
      </c>
      <c r="I19" s="69">
        <f t="shared" si="0"/>
        <v>864</v>
      </c>
      <c r="J19" s="69">
        <v>1.5</v>
      </c>
      <c r="K19" s="68">
        <f t="shared" si="1"/>
        <v>3600</v>
      </c>
      <c r="L19" s="61">
        <f t="shared" si="12"/>
        <v>0.30171948155694289</v>
      </c>
      <c r="M19" s="61">
        <f t="shared" si="2"/>
        <v>2875.8732442633373</v>
      </c>
      <c r="N19" s="67">
        <v>30</v>
      </c>
      <c r="O19" s="66">
        <f t="shared" si="3"/>
        <v>16091.705683036951</v>
      </c>
      <c r="P19" s="65">
        <f t="shared" si="4"/>
        <v>3062.7874676752513</v>
      </c>
      <c r="Q19" s="64">
        <v>2</v>
      </c>
      <c r="R19" s="63">
        <f t="shared" si="5"/>
        <v>4800</v>
      </c>
      <c r="S19" s="63">
        <v>0</v>
      </c>
      <c r="T19" s="61">
        <f t="shared" si="6"/>
        <v>0.29829031766718883</v>
      </c>
      <c r="U19" s="68">
        <f t="shared" si="7"/>
        <v>0.48862361905884205</v>
      </c>
      <c r="V19" s="100">
        <f t="shared" si="8"/>
        <v>3.8303082842190284</v>
      </c>
      <c r="W19" s="62"/>
      <c r="X19" s="61">
        <f t="shared" si="9"/>
        <v>0.17871773825039164</v>
      </c>
      <c r="Y19" s="61">
        <f t="shared" si="10"/>
        <v>0.36905103964204483</v>
      </c>
      <c r="Z19" s="96">
        <f t="shared" si="11"/>
        <v>4.6102987365095114</v>
      </c>
    </row>
    <row r="20" spans="1:26" ht="13.5" thickBot="1" x14ac:dyDescent="0.25">
      <c r="A20" s="70" t="s">
        <v>84</v>
      </c>
      <c r="B20" s="70" t="s">
        <v>85</v>
      </c>
      <c r="C20" s="70" t="s">
        <v>86</v>
      </c>
      <c r="D20" s="67" t="s">
        <v>87</v>
      </c>
      <c r="E20" s="67">
        <v>2</v>
      </c>
      <c r="F20" s="69">
        <v>0.19</v>
      </c>
      <c r="G20" s="66" t="s">
        <v>75</v>
      </c>
      <c r="H20" s="69">
        <v>3228</v>
      </c>
      <c r="I20" s="69">
        <f t="shared" si="0"/>
        <v>613.32000000000005</v>
      </c>
      <c r="J20" s="69">
        <v>1.7</v>
      </c>
      <c r="K20" s="68">
        <f t="shared" si="1"/>
        <v>5487.5999999999995</v>
      </c>
      <c r="L20" s="61">
        <f t="shared" si="12"/>
        <v>0.15924083748838649</v>
      </c>
      <c r="M20" s="61">
        <f t="shared" si="2"/>
        <v>4973.5705765874882</v>
      </c>
      <c r="N20" s="67">
        <v>30</v>
      </c>
      <c r="O20" s="66">
        <f t="shared" si="3"/>
        <v>11422.876075833592</v>
      </c>
      <c r="P20" s="65">
        <f t="shared" si="4"/>
        <v>2174.1537149011406</v>
      </c>
      <c r="Q20" s="64">
        <v>1.5</v>
      </c>
      <c r="R20" s="63">
        <f t="shared" si="5"/>
        <v>4842</v>
      </c>
      <c r="S20" s="63">
        <v>0</v>
      </c>
      <c r="T20" s="61">
        <f t="shared" si="6"/>
        <v>0.42388624089547883</v>
      </c>
      <c r="U20" s="68">
        <f t="shared" si="7"/>
        <v>0.61421954228713205</v>
      </c>
      <c r="V20" s="100">
        <f t="shared" si="8"/>
        <v>3.0470849054673184</v>
      </c>
      <c r="W20" s="62"/>
      <c r="X20" s="61">
        <f t="shared" si="9"/>
        <v>0.43540440634820932</v>
      </c>
      <c r="Y20" s="61">
        <f t="shared" si="10"/>
        <v>0.62573770773986259</v>
      </c>
      <c r="Z20" s="96">
        <f t="shared" si="11"/>
        <v>2.719087439871176</v>
      </c>
    </row>
    <row r="21" spans="1:26" ht="13.5" thickBot="1" x14ac:dyDescent="0.25">
      <c r="A21" s="60" t="s">
        <v>88</v>
      </c>
      <c r="B21" s="60" t="s">
        <v>85</v>
      </c>
      <c r="C21" s="60" t="s">
        <v>86</v>
      </c>
      <c r="D21" s="58" t="s">
        <v>87</v>
      </c>
      <c r="E21" s="58">
        <v>2</v>
      </c>
      <c r="F21" s="59">
        <v>0.19</v>
      </c>
      <c r="G21" s="57" t="s">
        <v>75</v>
      </c>
      <c r="H21" s="59">
        <v>17414</v>
      </c>
      <c r="I21" s="59">
        <f t="shared" si="0"/>
        <v>3308.66</v>
      </c>
      <c r="J21" s="59">
        <v>1.7</v>
      </c>
      <c r="K21" s="75">
        <f t="shared" si="1"/>
        <v>29603.8</v>
      </c>
      <c r="L21" s="52">
        <f t="shared" si="12"/>
        <v>0.15924083748838649</v>
      </c>
      <c r="M21" s="52">
        <f t="shared" si="2"/>
        <v>26830.780055977237</v>
      </c>
      <c r="N21" s="58">
        <v>30</v>
      </c>
      <c r="O21" s="57">
        <f t="shared" si="3"/>
        <v>61622.665422728052</v>
      </c>
      <c r="P21" s="56">
        <f t="shared" si="4"/>
        <v>11728.845350461108</v>
      </c>
      <c r="Q21" s="55">
        <v>2</v>
      </c>
      <c r="R21" s="54">
        <f t="shared" si="5"/>
        <v>34828</v>
      </c>
      <c r="S21" s="54">
        <v>-4096.3899999999994</v>
      </c>
      <c r="T21" s="52">
        <f t="shared" si="6"/>
        <v>0.56518165452730518</v>
      </c>
      <c r="U21" s="75">
        <f t="shared" si="7"/>
        <v>0.75551495591895845</v>
      </c>
      <c r="V21" s="101">
        <f t="shared" si="8"/>
        <v>2.4772230930487673</v>
      </c>
      <c r="W21" s="53"/>
      <c r="X21" s="52">
        <f t="shared" si="9"/>
        <v>0.43540440634820937</v>
      </c>
      <c r="Y21" s="52">
        <f t="shared" si="10"/>
        <v>0.6257377077398627</v>
      </c>
      <c r="Z21" s="97">
        <f t="shared" si="11"/>
        <v>2.7190874398711755</v>
      </c>
    </row>
    <row r="22" spans="1:26" ht="13.5" thickBot="1" x14ac:dyDescent="0.25">
      <c r="A22" s="70" t="s">
        <v>89</v>
      </c>
      <c r="B22" s="70" t="s">
        <v>90</v>
      </c>
      <c r="C22" s="70" t="s">
        <v>36</v>
      </c>
      <c r="D22" s="67" t="s">
        <v>91</v>
      </c>
      <c r="E22" s="67">
        <v>1</v>
      </c>
      <c r="F22" s="69">
        <v>448</v>
      </c>
      <c r="G22" s="66" t="s">
        <v>92</v>
      </c>
      <c r="H22" s="69">
        <v>1</v>
      </c>
      <c r="I22" s="69">
        <f t="shared" si="0"/>
        <v>448</v>
      </c>
      <c r="J22" s="69">
        <v>1800</v>
      </c>
      <c r="K22" s="68">
        <f t="shared" si="1"/>
        <v>1800</v>
      </c>
      <c r="L22" s="61">
        <f t="shared" si="12"/>
        <v>195.96435906639385</v>
      </c>
      <c r="M22" s="61">
        <f t="shared" si="2"/>
        <v>1604.0356409336061</v>
      </c>
      <c r="N22" s="67">
        <v>12</v>
      </c>
      <c r="O22" s="66">
        <f t="shared" si="3"/>
        <v>4354.7635348087515</v>
      </c>
      <c r="P22" s="65">
        <f t="shared" si="4"/>
        <v>1588.1120202760565</v>
      </c>
      <c r="Q22" s="64">
        <v>800</v>
      </c>
      <c r="R22" s="63">
        <f t="shared" si="5"/>
        <v>800</v>
      </c>
      <c r="S22" s="63">
        <v>0</v>
      </c>
      <c r="T22" s="61">
        <f t="shared" si="6"/>
        <v>0.18370687492108195</v>
      </c>
      <c r="U22" s="68">
        <f t="shared" si="7"/>
        <v>0.54839074525798237</v>
      </c>
      <c r="V22" s="100">
        <f t="shared" si="8"/>
        <v>2.2316967249383661</v>
      </c>
      <c r="W22" s="62"/>
      <c r="X22" s="61">
        <f t="shared" si="9"/>
        <v>0.36834046857243435</v>
      </c>
      <c r="Y22" s="61">
        <f t="shared" si="10"/>
        <v>0.73302433890933472</v>
      </c>
      <c r="Z22" s="96">
        <f t="shared" si="11"/>
        <v>1.5177988273023668</v>
      </c>
    </row>
    <row r="23" spans="1:26" ht="13.5" thickBot="1" x14ac:dyDescent="0.25">
      <c r="A23" s="70" t="s">
        <v>93</v>
      </c>
      <c r="B23" s="70" t="s">
        <v>94</v>
      </c>
      <c r="C23" s="70" t="s">
        <v>95</v>
      </c>
      <c r="D23" s="67" t="s">
        <v>96</v>
      </c>
      <c r="E23" s="67">
        <v>1</v>
      </c>
      <c r="F23" s="69">
        <v>136</v>
      </c>
      <c r="G23" s="66" t="s">
        <v>97</v>
      </c>
      <c r="H23" s="69">
        <v>42</v>
      </c>
      <c r="I23" s="69">
        <f t="shared" si="0"/>
        <v>5712</v>
      </c>
      <c r="J23" s="69">
        <v>315</v>
      </c>
      <c r="K23" s="68">
        <f t="shared" si="1"/>
        <v>13230</v>
      </c>
      <c r="L23" s="61">
        <f t="shared" si="12"/>
        <v>27.710552416440954</v>
      </c>
      <c r="M23" s="61">
        <f t="shared" si="2"/>
        <v>12066.156798509479</v>
      </c>
      <c r="N23" s="67">
        <v>5</v>
      </c>
      <c r="O23" s="66">
        <f t="shared" si="3"/>
        <v>25863.182255344884</v>
      </c>
      <c r="P23" s="65">
        <f t="shared" si="4"/>
        <v>20248.428258519718</v>
      </c>
      <c r="Q23" s="64">
        <v>105</v>
      </c>
      <c r="R23" s="63">
        <f t="shared" si="5"/>
        <v>4410</v>
      </c>
      <c r="S23" s="63">
        <v>0</v>
      </c>
      <c r="T23" s="61">
        <f t="shared" si="6"/>
        <v>0.17051265990628936</v>
      </c>
      <c r="U23" s="68">
        <f t="shared" si="7"/>
        <v>0.95341818400648704</v>
      </c>
      <c r="V23" s="100">
        <f t="shared" si="8"/>
        <v>1.085140991933649</v>
      </c>
      <c r="W23" s="62"/>
      <c r="X23" s="61">
        <f t="shared" si="9"/>
        <v>0.46653797971886801</v>
      </c>
      <c r="Y23" s="61">
        <f t="shared" si="10"/>
        <v>1.2494435038190657</v>
      </c>
      <c r="Z23" s="96">
        <f t="shared" si="11"/>
        <v>0.75276651402151606</v>
      </c>
    </row>
    <row r="24" spans="1:26" ht="13.5" thickBot="1" x14ac:dyDescent="0.25">
      <c r="A24" s="60" t="s">
        <v>98</v>
      </c>
      <c r="B24" s="60" t="s">
        <v>99</v>
      </c>
      <c r="C24" s="60" t="s">
        <v>100</v>
      </c>
      <c r="D24" s="58" t="s">
        <v>101</v>
      </c>
      <c r="E24" s="58">
        <v>26</v>
      </c>
      <c r="F24" s="59">
        <v>4.33</v>
      </c>
      <c r="G24" s="57" t="s">
        <v>32</v>
      </c>
      <c r="H24" s="59">
        <v>4450</v>
      </c>
      <c r="I24" s="59">
        <f t="shared" si="0"/>
        <v>19268.5</v>
      </c>
      <c r="J24" s="59">
        <v>21</v>
      </c>
      <c r="K24" s="75">
        <f t="shared" si="1"/>
        <v>93450</v>
      </c>
      <c r="L24" s="52">
        <f t="shared" si="12"/>
        <v>2.5914451861264589</v>
      </c>
      <c r="M24" s="52">
        <f t="shared" si="2"/>
        <v>81918.068921737256</v>
      </c>
      <c r="N24" s="58">
        <v>18</v>
      </c>
      <c r="O24" s="57">
        <f t="shared" si="3"/>
        <v>256265.13507250533</v>
      </c>
      <c r="P24" s="56">
        <f t="shared" si="4"/>
        <v>68304.768889931234</v>
      </c>
      <c r="Q24" s="55">
        <v>15</v>
      </c>
      <c r="R24" s="54">
        <f t="shared" si="5"/>
        <v>66750</v>
      </c>
      <c r="S24" s="54">
        <v>-5305.2999999999738</v>
      </c>
      <c r="T24" s="52">
        <f t="shared" si="6"/>
        <v>0.26047242041378105</v>
      </c>
      <c r="U24" s="75">
        <f t="shared" si="7"/>
        <v>0.52701187327616794</v>
      </c>
      <c r="V24" s="101">
        <f t="shared" si="8"/>
        <v>2.6678928658680241</v>
      </c>
      <c r="W24" s="53"/>
      <c r="X24" s="52">
        <f t="shared" si="9"/>
        <v>0.31966138857929349</v>
      </c>
      <c r="Y24" s="52">
        <f t="shared" si="10"/>
        <v>0.58620084144168028</v>
      </c>
      <c r="Z24" s="97">
        <f t="shared" si="11"/>
        <v>2.1804677254600695</v>
      </c>
    </row>
    <row r="25" spans="1:26" ht="13.5" thickBot="1" x14ac:dyDescent="0.25">
      <c r="A25" s="70" t="s">
        <v>102</v>
      </c>
      <c r="B25" s="70" t="s">
        <v>103</v>
      </c>
      <c r="C25" s="70" t="s">
        <v>36</v>
      </c>
      <c r="D25" s="67" t="s">
        <v>104</v>
      </c>
      <c r="E25" s="67">
        <v>3</v>
      </c>
      <c r="F25" s="69">
        <v>22</v>
      </c>
      <c r="G25" s="66" t="s">
        <v>105</v>
      </c>
      <c r="H25" s="69">
        <v>52.400000000000006</v>
      </c>
      <c r="I25" s="69">
        <f t="shared" si="0"/>
        <v>1152.8</v>
      </c>
      <c r="J25" s="69">
        <v>137.9</v>
      </c>
      <c r="K25" s="68">
        <f t="shared" si="1"/>
        <v>7225.9600000000009</v>
      </c>
      <c r="L25" s="61">
        <f t="shared" si="12"/>
        <v>13.166696095792631</v>
      </c>
      <c r="M25" s="61">
        <f t="shared" si="2"/>
        <v>6536.0251245804675</v>
      </c>
      <c r="N25" s="67">
        <v>18</v>
      </c>
      <c r="O25" s="66">
        <f t="shared" si="3"/>
        <v>15331.886120434083</v>
      </c>
      <c r="P25" s="65">
        <f t="shared" si="4"/>
        <v>4086.5525378889233</v>
      </c>
      <c r="Q25" s="64">
        <v>120</v>
      </c>
      <c r="R25" s="63">
        <f t="shared" si="5"/>
        <v>6288.0000000000009</v>
      </c>
      <c r="S25" s="63">
        <v>0</v>
      </c>
      <c r="T25" s="61">
        <f t="shared" si="6"/>
        <v>0.41012566559697172</v>
      </c>
      <c r="U25" s="68">
        <f t="shared" si="7"/>
        <v>0.67666511845935862</v>
      </c>
      <c r="V25" s="100">
        <f t="shared" si="8"/>
        <v>2.0778538431868028</v>
      </c>
      <c r="W25" s="62"/>
      <c r="X25" s="61">
        <f t="shared" si="9"/>
        <v>0.42630274404852003</v>
      </c>
      <c r="Y25" s="61">
        <f t="shared" si="10"/>
        <v>0.69284219691090676</v>
      </c>
      <c r="Z25" s="96">
        <f t="shared" si="11"/>
        <v>1.8448530142939363</v>
      </c>
    </row>
    <row r="26" spans="1:26" ht="13.5" thickBot="1" x14ac:dyDescent="0.25">
      <c r="A26" s="60" t="s">
        <v>106</v>
      </c>
      <c r="B26" s="60" t="s">
        <v>107</v>
      </c>
      <c r="C26" s="60" t="s">
        <v>36</v>
      </c>
      <c r="D26" s="58" t="s">
        <v>108</v>
      </c>
      <c r="E26" s="58">
        <v>16</v>
      </c>
      <c r="F26" s="59">
        <v>38</v>
      </c>
      <c r="G26" s="57" t="s">
        <v>105</v>
      </c>
      <c r="H26" s="59">
        <v>193.44</v>
      </c>
      <c r="I26" s="59">
        <f t="shared" si="0"/>
        <v>7350.72</v>
      </c>
      <c r="J26" s="59">
        <v>52.8</v>
      </c>
      <c r="K26" s="75">
        <f t="shared" si="1"/>
        <v>10213.632</v>
      </c>
      <c r="L26" s="52">
        <f t="shared" si="12"/>
        <v>24.524592364959751</v>
      </c>
      <c r="M26" s="52">
        <f t="shared" si="2"/>
        <v>5469.5948529221851</v>
      </c>
      <c r="N26" s="58">
        <v>20</v>
      </c>
      <c r="O26" s="57">
        <f t="shared" si="3"/>
        <v>105423.0477128403</v>
      </c>
      <c r="P26" s="56">
        <f t="shared" si="4"/>
        <v>26057.515155543781</v>
      </c>
      <c r="Q26" s="55">
        <v>150</v>
      </c>
      <c r="R26" s="54">
        <f t="shared" si="5"/>
        <v>29016</v>
      </c>
      <c r="S26" s="54">
        <v>0</v>
      </c>
      <c r="T26" s="52">
        <f t="shared" si="6"/>
        <v>0.27523393251764161</v>
      </c>
      <c r="U26" s="75">
        <f t="shared" si="7"/>
        <v>0.52240488536773677</v>
      </c>
      <c r="V26" s="101">
        <f t="shared" si="8"/>
        <v>2.8215841201630436</v>
      </c>
      <c r="W26" s="53"/>
      <c r="X26" s="52">
        <f t="shared" si="9"/>
        <v>5.1882344246209834E-2</v>
      </c>
      <c r="Y26" s="52">
        <f t="shared" si="10"/>
        <v>0.29905329709630502</v>
      </c>
      <c r="Z26" s="97">
        <f t="shared" si="11"/>
        <v>4.4808350009278586</v>
      </c>
    </row>
    <row r="27" spans="1:26" ht="13.5" thickBot="1" x14ac:dyDescent="0.25">
      <c r="A27" s="70" t="s">
        <v>109</v>
      </c>
      <c r="B27" s="70" t="s">
        <v>110</v>
      </c>
      <c r="C27" s="70" t="s">
        <v>111</v>
      </c>
      <c r="D27" s="67" t="s">
        <v>112</v>
      </c>
      <c r="E27" s="67">
        <v>29</v>
      </c>
      <c r="F27" s="69">
        <v>1.1000000000000001</v>
      </c>
      <c r="G27" s="66" t="s">
        <v>32</v>
      </c>
      <c r="H27" s="69">
        <v>4074.8</v>
      </c>
      <c r="I27" s="69">
        <f t="shared" si="0"/>
        <v>4482.28</v>
      </c>
      <c r="J27" s="69">
        <v>6.72</v>
      </c>
      <c r="K27" s="68">
        <f t="shared" si="1"/>
        <v>27382.655999999999</v>
      </c>
      <c r="L27" s="61">
        <f t="shared" si="12"/>
        <v>0.65833480478963158</v>
      </c>
      <c r="M27" s="61">
        <f t="shared" si="2"/>
        <v>24700.073337443209</v>
      </c>
      <c r="N27" s="67">
        <v>18</v>
      </c>
      <c r="O27" s="66">
        <f t="shared" si="3"/>
        <v>59612.948056817564</v>
      </c>
      <c r="P27" s="65">
        <f t="shared" si="4"/>
        <v>15889.202558578039</v>
      </c>
      <c r="Q27" s="64">
        <v>5</v>
      </c>
      <c r="R27" s="63">
        <f t="shared" si="5"/>
        <v>20374</v>
      </c>
      <c r="S27" s="63">
        <v>0</v>
      </c>
      <c r="T27" s="61">
        <f t="shared" si="6"/>
        <v>0.34177138799747636</v>
      </c>
      <c r="U27" s="68">
        <f t="shared" si="7"/>
        <v>0.60831084085986309</v>
      </c>
      <c r="V27" s="100">
        <f t="shared" si="8"/>
        <v>2.3113367747216178</v>
      </c>
      <c r="W27" s="62"/>
      <c r="X27" s="61">
        <f t="shared" si="9"/>
        <v>0.41434074546860822</v>
      </c>
      <c r="Y27" s="61">
        <f t="shared" si="10"/>
        <v>0.68088019833099511</v>
      </c>
      <c r="Z27" s="96">
        <f t="shared" si="11"/>
        <v>1.8772641920477089</v>
      </c>
    </row>
    <row r="28" spans="1:26" ht="13.5" thickBot="1" x14ac:dyDescent="0.25">
      <c r="A28" s="60" t="s">
        <v>113</v>
      </c>
      <c r="B28" s="60" t="s">
        <v>114</v>
      </c>
      <c r="C28" s="60" t="s">
        <v>115</v>
      </c>
      <c r="D28" s="58" t="s">
        <v>116</v>
      </c>
      <c r="E28" s="58">
        <v>59</v>
      </c>
      <c r="F28" s="59">
        <v>1.1000000000000001</v>
      </c>
      <c r="G28" s="57" t="s">
        <v>75</v>
      </c>
      <c r="H28" s="59">
        <v>2410.0200000000004</v>
      </c>
      <c r="I28" s="59">
        <f t="shared" si="0"/>
        <v>2651.02</v>
      </c>
      <c r="J28" s="59">
        <v>24.31</v>
      </c>
      <c r="K28" s="75">
        <f t="shared" si="1"/>
        <v>58587.586200000005</v>
      </c>
      <c r="L28" s="52">
        <f t="shared" si="12"/>
        <v>1.132510632091358</v>
      </c>
      <c r="M28" s="52">
        <f t="shared" si="2"/>
        <v>55858.212926447195</v>
      </c>
      <c r="N28" s="58">
        <v>45</v>
      </c>
      <c r="O28" s="57">
        <f t="shared" si="3"/>
        <v>60652.693654279414</v>
      </c>
      <c r="P28" s="56">
        <f t="shared" si="4"/>
        <v>9397.5819821255154</v>
      </c>
      <c r="Q28" s="55">
        <v>5</v>
      </c>
      <c r="R28" s="54">
        <f t="shared" si="5"/>
        <v>12050.100000000002</v>
      </c>
      <c r="S28" s="54">
        <v>0</v>
      </c>
      <c r="T28" s="52">
        <f t="shared" si="6"/>
        <v>0.19867378139354566</v>
      </c>
      <c r="U28" s="75">
        <f t="shared" si="7"/>
        <v>0.35361466556419391</v>
      </c>
      <c r="V28" s="101">
        <f t="shared" si="8"/>
        <v>7.5728027280033476</v>
      </c>
      <c r="W28" s="53"/>
      <c r="X28" s="52">
        <f t="shared" si="9"/>
        <v>0.920951891186222</v>
      </c>
      <c r="Y28" s="52">
        <f t="shared" si="10"/>
        <v>1.0758927753568701</v>
      </c>
      <c r="Z28" s="97">
        <f t="shared" si="11"/>
        <v>2.2626909275907949</v>
      </c>
    </row>
    <row r="29" spans="1:26" ht="13.5" thickBot="1" x14ac:dyDescent="0.25">
      <c r="A29" s="70" t="s">
        <v>117</v>
      </c>
      <c r="B29" s="70" t="s">
        <v>118</v>
      </c>
      <c r="C29" s="70" t="s">
        <v>119</v>
      </c>
      <c r="D29" s="67" t="s">
        <v>120</v>
      </c>
      <c r="E29" s="67">
        <v>1</v>
      </c>
      <c r="F29" s="69">
        <v>0.48770000000000002</v>
      </c>
      <c r="G29" s="66" t="s">
        <v>75</v>
      </c>
      <c r="H29" s="69">
        <v>313</v>
      </c>
      <c r="I29" s="69">
        <f t="shared" si="0"/>
        <v>152.65</v>
      </c>
      <c r="J29" s="69">
        <v>24.31</v>
      </c>
      <c r="K29" s="68">
        <f t="shared" si="1"/>
        <v>7609.03</v>
      </c>
      <c r="L29" s="61">
        <f t="shared" si="12"/>
        <v>0.50211403206450478</v>
      </c>
      <c r="M29" s="61">
        <f t="shared" si="2"/>
        <v>7451.8683079638095</v>
      </c>
      <c r="N29" s="67">
        <v>45</v>
      </c>
      <c r="O29" s="66">
        <f t="shared" si="3"/>
        <v>3492.4797573483997</v>
      </c>
      <c r="P29" s="65">
        <f t="shared" si="4"/>
        <v>541.1279015516518</v>
      </c>
      <c r="Q29" s="64">
        <v>7.5</v>
      </c>
      <c r="R29" s="63">
        <f t="shared" si="5"/>
        <v>2347.5</v>
      </c>
      <c r="S29" s="63">
        <v>0</v>
      </c>
      <c r="T29" s="61">
        <f t="shared" si="6"/>
        <v>0.67215851289065043</v>
      </c>
      <c r="U29" s="68">
        <f t="shared" si="7"/>
        <v>0.82709939706129865</v>
      </c>
      <c r="V29" s="100">
        <f t="shared" si="8"/>
        <v>3.2376448508619271</v>
      </c>
      <c r="W29" s="62"/>
      <c r="X29" s="61">
        <f t="shared" si="9"/>
        <v>2.1336897636370273</v>
      </c>
      <c r="Y29" s="61">
        <f t="shared" si="10"/>
        <v>2.2886306478076754</v>
      </c>
      <c r="Z29" s="96">
        <f t="shared" si="11"/>
        <v>1.0636984277880064</v>
      </c>
    </row>
    <row r="30" spans="1:26" ht="13.5" thickBot="1" x14ac:dyDescent="0.25">
      <c r="A30" s="60" t="s">
        <v>121</v>
      </c>
      <c r="B30" s="60" t="s">
        <v>122</v>
      </c>
      <c r="C30" s="60" t="s">
        <v>123</v>
      </c>
      <c r="D30" s="58" t="s">
        <v>124</v>
      </c>
      <c r="E30" s="58">
        <v>3</v>
      </c>
      <c r="F30" s="59"/>
      <c r="G30" s="57" t="s">
        <v>92</v>
      </c>
      <c r="H30" s="59">
        <v>3</v>
      </c>
      <c r="I30" s="59">
        <f t="shared" si="0"/>
        <v>0</v>
      </c>
      <c r="J30" s="59">
        <v>0</v>
      </c>
      <c r="K30" s="75">
        <f t="shared" si="1"/>
        <v>0</v>
      </c>
      <c r="L30" s="52">
        <f t="shared" si="12"/>
        <v>0</v>
      </c>
      <c r="M30" s="52">
        <f t="shared" si="2"/>
        <v>0</v>
      </c>
      <c r="N30" s="58"/>
      <c r="O30" s="57">
        <f t="shared" si="3"/>
        <v>0</v>
      </c>
      <c r="P30" s="56">
        <f t="shared" si="4"/>
        <v>0</v>
      </c>
      <c r="Q30" s="55">
        <v>500</v>
      </c>
      <c r="R30" s="54">
        <f t="shared" si="5"/>
        <v>1500</v>
      </c>
      <c r="S30" s="54">
        <v>0</v>
      </c>
      <c r="T30" s="52">
        <f t="shared" si="6"/>
        <v>0</v>
      </c>
      <c r="U30" s="75">
        <f t="shared" si="7"/>
        <v>0</v>
      </c>
      <c r="V30" s="101" t="str">
        <f t="shared" si="8"/>
        <v>-</v>
      </c>
      <c r="W30" s="53"/>
      <c r="X30" s="52">
        <f t="shared" si="9"/>
        <v>0</v>
      </c>
      <c r="Y30" s="52">
        <f t="shared" si="10"/>
        <v>0</v>
      </c>
      <c r="Z30" s="97" t="str">
        <f t="shared" si="11"/>
        <v>-</v>
      </c>
    </row>
    <row r="31" spans="1:26" ht="13.5" thickBot="1" x14ac:dyDescent="0.25">
      <c r="A31" s="70" t="s">
        <v>125</v>
      </c>
      <c r="B31" s="70" t="s">
        <v>126</v>
      </c>
      <c r="C31" s="70" t="s">
        <v>127</v>
      </c>
      <c r="D31" s="67" t="s">
        <v>128</v>
      </c>
      <c r="E31" s="67">
        <v>9</v>
      </c>
      <c r="F31" s="69"/>
      <c r="G31" s="66" t="s">
        <v>92</v>
      </c>
      <c r="H31" s="69">
        <v>9</v>
      </c>
      <c r="I31" s="69">
        <f t="shared" si="0"/>
        <v>0</v>
      </c>
      <c r="J31" s="69">
        <v>0</v>
      </c>
      <c r="K31" s="68">
        <f t="shared" si="1"/>
        <v>0</v>
      </c>
      <c r="L31" s="61">
        <f t="shared" si="12"/>
        <v>0</v>
      </c>
      <c r="M31" s="61">
        <f t="shared" si="2"/>
        <v>0</v>
      </c>
      <c r="N31" s="67"/>
      <c r="O31" s="66">
        <f t="shared" si="3"/>
        <v>0</v>
      </c>
      <c r="P31" s="65">
        <f t="shared" si="4"/>
        <v>0</v>
      </c>
      <c r="Q31" s="64">
        <v>300</v>
      </c>
      <c r="R31" s="63">
        <f t="shared" si="5"/>
        <v>2700</v>
      </c>
      <c r="S31" s="63">
        <v>0</v>
      </c>
      <c r="T31" s="61">
        <f t="shared" si="6"/>
        <v>0</v>
      </c>
      <c r="U31" s="68">
        <f t="shared" si="7"/>
        <v>0</v>
      </c>
      <c r="V31" s="100" t="str">
        <f t="shared" si="8"/>
        <v>-</v>
      </c>
      <c r="W31" s="62"/>
      <c r="X31" s="61">
        <f t="shared" si="9"/>
        <v>0</v>
      </c>
      <c r="Y31" s="61">
        <f t="shared" si="10"/>
        <v>0</v>
      </c>
      <c r="Z31" s="96" t="str">
        <f t="shared" si="11"/>
        <v>-</v>
      </c>
    </row>
    <row r="32" spans="1:26" ht="33.75" customHeight="1" thickBot="1" x14ac:dyDescent="0.25">
      <c r="A32" s="60" t="s">
        <v>129</v>
      </c>
      <c r="B32" s="60" t="s">
        <v>130</v>
      </c>
      <c r="C32" s="60" t="s">
        <v>131</v>
      </c>
      <c r="D32" s="58" t="s">
        <v>132</v>
      </c>
      <c r="E32" s="58">
        <v>2</v>
      </c>
      <c r="F32" s="59"/>
      <c r="G32" s="57" t="s">
        <v>92</v>
      </c>
      <c r="H32" s="59">
        <v>2</v>
      </c>
      <c r="I32" s="59">
        <f t="shared" si="0"/>
        <v>0</v>
      </c>
      <c r="J32" s="59">
        <v>0</v>
      </c>
      <c r="K32" s="75">
        <f t="shared" si="1"/>
        <v>0</v>
      </c>
      <c r="L32" s="52">
        <f t="shared" si="12"/>
        <v>0</v>
      </c>
      <c r="M32" s="52">
        <f t="shared" si="2"/>
        <v>0</v>
      </c>
      <c r="N32" s="58"/>
      <c r="O32" s="57">
        <f t="shared" si="3"/>
        <v>0</v>
      </c>
      <c r="P32" s="56">
        <f t="shared" si="4"/>
        <v>0</v>
      </c>
      <c r="Q32" s="55">
        <v>500</v>
      </c>
      <c r="R32" s="54">
        <f t="shared" si="5"/>
        <v>1000</v>
      </c>
      <c r="S32" s="54">
        <v>0</v>
      </c>
      <c r="T32" s="52">
        <f t="shared" si="6"/>
        <v>0</v>
      </c>
      <c r="U32" s="75">
        <f t="shared" si="7"/>
        <v>0</v>
      </c>
      <c r="V32" s="101" t="str">
        <f t="shared" si="8"/>
        <v>-</v>
      </c>
      <c r="W32" s="53"/>
      <c r="X32" s="52">
        <f t="shared" si="9"/>
        <v>0</v>
      </c>
      <c r="Y32" s="52">
        <f t="shared" si="10"/>
        <v>0</v>
      </c>
      <c r="Z32" s="97" t="str">
        <f t="shared" si="11"/>
        <v>-</v>
      </c>
    </row>
    <row r="33" spans="1:26" ht="13.5" thickBot="1" x14ac:dyDescent="0.25">
      <c r="A33" s="60" t="s">
        <v>133</v>
      </c>
      <c r="B33" s="60" t="s">
        <v>134</v>
      </c>
      <c r="C33" s="60" t="s">
        <v>135</v>
      </c>
      <c r="D33" s="58" t="s">
        <v>136</v>
      </c>
      <c r="E33" s="58">
        <v>6</v>
      </c>
      <c r="F33" s="59"/>
      <c r="G33" s="57" t="s">
        <v>92</v>
      </c>
      <c r="H33" s="59">
        <v>6</v>
      </c>
      <c r="I33" s="59">
        <f t="shared" si="0"/>
        <v>0</v>
      </c>
      <c r="J33" s="59">
        <v>0</v>
      </c>
      <c r="K33" s="75">
        <f>R33*J33</f>
        <v>0</v>
      </c>
      <c r="L33" s="52">
        <f t="shared" si="12"/>
        <v>0</v>
      </c>
      <c r="M33" s="52">
        <f>MAX(0,R33*(J33-L33))</f>
        <v>0</v>
      </c>
      <c r="N33" s="58"/>
      <c r="O33" s="57">
        <f t="shared" si="3"/>
        <v>0</v>
      </c>
      <c r="P33" s="56">
        <f t="shared" si="4"/>
        <v>0</v>
      </c>
      <c r="Q33" s="55">
        <v>0.1</v>
      </c>
      <c r="R33" s="54">
        <v>4515.4399999999996</v>
      </c>
      <c r="S33" s="54">
        <v>0</v>
      </c>
      <c r="T33" s="52">
        <f t="shared" si="6"/>
        <v>0</v>
      </c>
      <c r="U33" s="75">
        <f t="shared" si="7"/>
        <v>0</v>
      </c>
      <c r="V33" s="101" t="str">
        <f t="shared" si="8"/>
        <v>-</v>
      </c>
      <c r="W33" s="53"/>
      <c r="X33" s="52">
        <f t="shared" si="9"/>
        <v>0</v>
      </c>
      <c r="Y33" s="52">
        <f t="shared" si="10"/>
        <v>0</v>
      </c>
      <c r="Z33" s="97" t="str">
        <f t="shared" si="11"/>
        <v>-</v>
      </c>
    </row>
    <row r="34" spans="1:26" ht="14.25" customHeight="1" thickBot="1" x14ac:dyDescent="0.25">
      <c r="A34" s="72" t="s">
        <v>137</v>
      </c>
      <c r="B34" s="72"/>
      <c r="C34" s="72"/>
      <c r="D34" s="72"/>
      <c r="E34" s="72"/>
      <c r="F34" s="74"/>
      <c r="G34" s="72"/>
      <c r="H34" s="74"/>
      <c r="I34" s="74"/>
      <c r="J34" s="72"/>
      <c r="K34" s="72"/>
      <c r="L34" s="71"/>
      <c r="M34" s="71">
        <f t="shared" ref="M34:M48" si="13">MAX(0,H34*(J34-L34))</f>
        <v>0</v>
      </c>
      <c r="N34" s="72"/>
      <c r="O34" s="72"/>
      <c r="P34" s="72"/>
      <c r="Q34" s="72"/>
      <c r="R34" s="73">
        <f>SUM(R4:R33)</f>
        <v>777042.94</v>
      </c>
      <c r="S34" s="73">
        <f>SUM(S4:S29)</f>
        <v>-23539.86999999997</v>
      </c>
      <c r="T34" s="71"/>
      <c r="U34" s="104"/>
      <c r="V34" s="102"/>
      <c r="W34" s="72"/>
      <c r="X34" s="71"/>
      <c r="Y34" s="71"/>
      <c r="Z34" s="98"/>
    </row>
    <row r="35" spans="1:26" ht="13.5" thickBot="1" x14ac:dyDescent="0.25">
      <c r="A35" s="70"/>
      <c r="B35" s="70" t="s">
        <v>138</v>
      </c>
      <c r="C35" s="70"/>
      <c r="D35" s="67" t="s">
        <v>139</v>
      </c>
      <c r="E35" s="67">
        <v>1</v>
      </c>
      <c r="F35" s="69">
        <v>11110</v>
      </c>
      <c r="G35" s="66" t="s">
        <v>92</v>
      </c>
      <c r="H35" s="69">
        <v>1</v>
      </c>
      <c r="I35" s="69">
        <f t="shared" ref="I35:I48" si="14">H35*F35</f>
        <v>11110</v>
      </c>
      <c r="J35" s="64">
        <v>103968</v>
      </c>
      <c r="K35" s="68">
        <f t="shared" ref="K35:K48" si="15">H35*J35</f>
        <v>103968</v>
      </c>
      <c r="L35" s="61">
        <f t="shared" ref="L35:L48" si="16">PV($C$53,$N35,(-0.05*0.9*$F35))</f>
        <v>4859.7411366688293</v>
      </c>
      <c r="M35" s="61">
        <f t="shared" si="13"/>
        <v>99108.258863331168</v>
      </c>
      <c r="N35" s="67">
        <v>12</v>
      </c>
      <c r="O35" s="66">
        <f t="shared" ref="O35:O48" si="17">PV($C$53,N35,-I35)</f>
        <v>107994.24748152953</v>
      </c>
      <c r="P35" s="65">
        <f t="shared" ref="P35:P48" si="18">$C$55*I35/SUM($I$35:$I$48)</f>
        <v>50797.787254220479</v>
      </c>
      <c r="Q35" s="64">
        <v>8428</v>
      </c>
      <c r="R35" s="63">
        <v>14221</v>
      </c>
      <c r="S35" s="63"/>
      <c r="T35" s="61">
        <f t="shared" ref="T35:T48" si="19">IF(ISERROR(R35/O35),0,R35/O35)</f>
        <v>0.13168293989392579</v>
      </c>
      <c r="U35" s="68">
        <f t="shared" ref="U35:U48" si="20">IF(O35=0,0,(R35+P35)/O35)</f>
        <v>0.60205787595622418</v>
      </c>
      <c r="V35" s="100">
        <f t="shared" ref="V35:V48" si="21">IF(OR($R35=0,ISERROR(R35/I35)),"-",(VLOOKUP($N35,AC,6)*$I35)/($R35+$P35))</f>
        <v>2.03276442191703</v>
      </c>
      <c r="W35" s="62"/>
      <c r="X35" s="61">
        <f t="shared" ref="X35:X48" si="22">IF(ISERROR((M35)/O35),0,(M35)/O35)</f>
        <v>0.91771794493296366</v>
      </c>
      <c r="Y35" s="61">
        <f t="shared" ref="Y35:Y48" si="23">IF(O35=0,0,((M35)+P35)/O35)</f>
        <v>1.3880928809952622</v>
      </c>
      <c r="Z35" s="96">
        <f t="shared" ref="Z35:Z48" si="24">(VLOOKUP($N35,AC,4)*$I35)/($M35+$P35)</f>
        <v>0.80151947842492988</v>
      </c>
    </row>
    <row r="36" spans="1:26" ht="13.5" thickBot="1" x14ac:dyDescent="0.25">
      <c r="A36" s="60"/>
      <c r="B36" s="60" t="s">
        <v>140</v>
      </c>
      <c r="C36" s="60"/>
      <c r="D36" s="58" t="s">
        <v>141</v>
      </c>
      <c r="E36" s="58">
        <v>1</v>
      </c>
      <c r="F36" s="59">
        <v>1333</v>
      </c>
      <c r="G36" s="57" t="s">
        <v>92</v>
      </c>
      <c r="H36" s="59">
        <v>1</v>
      </c>
      <c r="I36" s="59">
        <f t="shared" si="14"/>
        <v>1333</v>
      </c>
      <c r="J36" s="55">
        <v>1800</v>
      </c>
      <c r="K36" s="55">
        <f t="shared" si="15"/>
        <v>1800</v>
      </c>
      <c r="L36" s="55">
        <f t="shared" si="16"/>
        <v>501.39554322743726</v>
      </c>
      <c r="M36" s="52">
        <f t="shared" si="13"/>
        <v>1298.6044567725628</v>
      </c>
      <c r="N36" s="58">
        <v>10</v>
      </c>
      <c r="O36" s="57">
        <f t="shared" si="17"/>
        <v>11142.123182831938</v>
      </c>
      <c r="P36" s="56">
        <f t="shared" si="18"/>
        <v>6094.8200188907213</v>
      </c>
      <c r="Q36" s="55">
        <v>8428</v>
      </c>
      <c r="R36" s="54">
        <v>1002</v>
      </c>
      <c r="S36" s="54"/>
      <c r="T36" s="52">
        <f t="shared" si="19"/>
        <v>8.9929000385124677E-2</v>
      </c>
      <c r="U36" s="75">
        <f t="shared" si="20"/>
        <v>0.63693605809579268</v>
      </c>
      <c r="V36" s="101">
        <f t="shared" si="21"/>
        <v>1.8348873283271181</v>
      </c>
      <c r="W36" s="53"/>
      <c r="X36" s="52">
        <f t="shared" si="22"/>
        <v>0.11654910248824793</v>
      </c>
      <c r="Y36" s="52">
        <f t="shared" si="23"/>
        <v>0.66355616019891595</v>
      </c>
      <c r="Z36" s="97">
        <f t="shared" si="24"/>
        <v>1.6011604964217609</v>
      </c>
    </row>
    <row r="37" spans="1:26" ht="13.5" thickBot="1" x14ac:dyDescent="0.25">
      <c r="A37" s="70"/>
      <c r="B37" s="70" t="s">
        <v>142</v>
      </c>
      <c r="C37" s="70"/>
      <c r="D37" s="67" t="s">
        <v>139</v>
      </c>
      <c r="E37" s="67">
        <v>1</v>
      </c>
      <c r="F37" s="69">
        <v>11606</v>
      </c>
      <c r="G37" s="66" t="s">
        <v>92</v>
      </c>
      <c r="H37" s="69">
        <v>1</v>
      </c>
      <c r="I37" s="69">
        <f t="shared" si="14"/>
        <v>11606</v>
      </c>
      <c r="J37" s="64">
        <v>105548</v>
      </c>
      <c r="K37" s="68">
        <f t="shared" si="15"/>
        <v>105548</v>
      </c>
      <c r="L37" s="61">
        <f t="shared" si="16"/>
        <v>5076.7016770637665</v>
      </c>
      <c r="M37" s="61">
        <f t="shared" si="13"/>
        <v>100471.29832293623</v>
      </c>
      <c r="N37" s="67">
        <v>12</v>
      </c>
      <c r="O37" s="66">
        <f t="shared" si="17"/>
        <v>112815.59282363924</v>
      </c>
      <c r="P37" s="65">
        <f t="shared" si="18"/>
        <v>53065.627261249589</v>
      </c>
      <c r="Q37" s="64">
        <v>8428</v>
      </c>
      <c r="R37" s="63">
        <v>14856</v>
      </c>
      <c r="S37" s="63"/>
      <c r="T37" s="61">
        <f t="shared" si="19"/>
        <v>0.13168392443076443</v>
      </c>
      <c r="U37" s="68">
        <f t="shared" si="20"/>
        <v>0.60205886049306268</v>
      </c>
      <c r="V37" s="100">
        <f t="shared" si="21"/>
        <v>2.0327610977711879</v>
      </c>
      <c r="W37" s="62"/>
      <c r="X37" s="61">
        <f t="shared" si="22"/>
        <v>0.89057989067166965</v>
      </c>
      <c r="Y37" s="61">
        <f t="shared" si="23"/>
        <v>1.3609548267339679</v>
      </c>
      <c r="Z37" s="96">
        <f t="shared" si="24"/>
        <v>0.81750213903180668</v>
      </c>
    </row>
    <row r="38" spans="1:26" ht="13.5" thickBot="1" x14ac:dyDescent="0.25">
      <c r="A38" s="60"/>
      <c r="B38" s="60" t="s">
        <v>143</v>
      </c>
      <c r="C38" s="60"/>
      <c r="D38" s="58" t="s">
        <v>139</v>
      </c>
      <c r="E38" s="58">
        <v>1</v>
      </c>
      <c r="F38" s="59">
        <v>9955</v>
      </c>
      <c r="G38" s="57" t="s">
        <v>92</v>
      </c>
      <c r="H38" s="59">
        <v>1</v>
      </c>
      <c r="I38" s="59">
        <f t="shared" si="14"/>
        <v>9955</v>
      </c>
      <c r="J38" s="55">
        <v>100343</v>
      </c>
      <c r="K38" s="55">
        <f t="shared" si="15"/>
        <v>100343</v>
      </c>
      <c r="L38" s="55">
        <f t="shared" si="16"/>
        <v>4354.520523450783</v>
      </c>
      <c r="M38" s="52">
        <f t="shared" si="13"/>
        <v>95988.479476549212</v>
      </c>
      <c r="N38" s="58">
        <v>12</v>
      </c>
      <c r="O38" s="57">
        <f t="shared" si="17"/>
        <v>96767.122743350716</v>
      </c>
      <c r="P38" s="56">
        <f t="shared" si="18"/>
        <v>45516.829173336177</v>
      </c>
      <c r="Q38" s="55">
        <v>8428</v>
      </c>
      <c r="R38" s="54">
        <v>12742</v>
      </c>
      <c r="S38" s="54"/>
      <c r="T38" s="52">
        <f t="shared" si="19"/>
        <v>0.13167695430807419</v>
      </c>
      <c r="U38" s="75">
        <f t="shared" si="20"/>
        <v>0.60205189037037266</v>
      </c>
      <c r="V38" s="101">
        <f t="shared" si="21"/>
        <v>2.0327846316134996</v>
      </c>
      <c r="W38" s="53"/>
      <c r="X38" s="52">
        <f t="shared" si="22"/>
        <v>0.99195343165398597</v>
      </c>
      <c r="Y38" s="52">
        <f t="shared" si="23"/>
        <v>1.4623283677162844</v>
      </c>
      <c r="Z38" s="97">
        <f t="shared" si="24"/>
        <v>0.76083012991001508</v>
      </c>
    </row>
    <row r="39" spans="1:26" ht="13.5" thickBot="1" x14ac:dyDescent="0.25">
      <c r="A39" s="70"/>
      <c r="B39" s="70" t="s">
        <v>144</v>
      </c>
      <c r="C39" s="70"/>
      <c r="D39" s="67" t="s">
        <v>139</v>
      </c>
      <c r="E39" s="67">
        <v>1</v>
      </c>
      <c r="F39" s="69">
        <v>10736</v>
      </c>
      <c r="G39" s="66" t="s">
        <v>92</v>
      </c>
      <c r="H39" s="69">
        <v>1</v>
      </c>
      <c r="I39" s="69">
        <f t="shared" si="14"/>
        <v>10736</v>
      </c>
      <c r="J39" s="64">
        <v>108383</v>
      </c>
      <c r="K39" s="68">
        <f t="shared" si="15"/>
        <v>108383</v>
      </c>
      <c r="L39" s="61">
        <f t="shared" si="16"/>
        <v>4696.1458904839383</v>
      </c>
      <c r="M39" s="61">
        <f t="shared" si="13"/>
        <v>103686.85410951606</v>
      </c>
      <c r="N39" s="67">
        <v>12</v>
      </c>
      <c r="O39" s="66">
        <f t="shared" si="17"/>
        <v>104358.79756630973</v>
      </c>
      <c r="P39" s="65">
        <f t="shared" si="18"/>
        <v>49087.762732791278</v>
      </c>
      <c r="Q39" s="64">
        <v>8428</v>
      </c>
      <c r="R39" s="63">
        <v>13742</v>
      </c>
      <c r="S39" s="63"/>
      <c r="T39" s="61">
        <f t="shared" si="19"/>
        <v>0.13168032135736629</v>
      </c>
      <c r="U39" s="68">
        <f t="shared" si="20"/>
        <v>0.6020552574196647</v>
      </c>
      <c r="V39" s="100">
        <f t="shared" si="21"/>
        <v>2.0327732630788504</v>
      </c>
      <c r="W39" s="62"/>
      <c r="X39" s="61">
        <f t="shared" si="22"/>
        <v>0.99356121886737225</v>
      </c>
      <c r="Y39" s="61">
        <f t="shared" si="23"/>
        <v>1.4639361549296706</v>
      </c>
      <c r="Z39" s="96">
        <f t="shared" si="24"/>
        <v>0.75999453817310136</v>
      </c>
    </row>
    <row r="40" spans="1:26" ht="13.5" thickBot="1" x14ac:dyDescent="0.25">
      <c r="A40" s="60"/>
      <c r="B40" s="60" t="s">
        <v>145</v>
      </c>
      <c r="C40" s="60"/>
      <c r="D40" s="58" t="s">
        <v>139</v>
      </c>
      <c r="E40" s="58">
        <v>1</v>
      </c>
      <c r="F40" s="59">
        <v>12639</v>
      </c>
      <c r="G40" s="57" t="s">
        <v>92</v>
      </c>
      <c r="H40" s="59">
        <v>1</v>
      </c>
      <c r="I40" s="59">
        <f t="shared" si="14"/>
        <v>12639</v>
      </c>
      <c r="J40" s="55">
        <v>123635</v>
      </c>
      <c r="K40" s="55">
        <f t="shared" si="15"/>
        <v>123635</v>
      </c>
      <c r="L40" s="55">
        <f t="shared" si="16"/>
        <v>5528.5569960717685</v>
      </c>
      <c r="M40" s="52">
        <f t="shared" si="13"/>
        <v>118106.44300392823</v>
      </c>
      <c r="N40" s="58">
        <v>12</v>
      </c>
      <c r="O40" s="57">
        <f t="shared" si="17"/>
        <v>122856.82213492815</v>
      </c>
      <c r="P40" s="56">
        <f t="shared" si="18"/>
        <v>57788.769856533989</v>
      </c>
      <c r="Q40" s="55">
        <v>8428</v>
      </c>
      <c r="R40" s="54">
        <v>16178</v>
      </c>
      <c r="S40" s="54"/>
      <c r="T40" s="52">
        <f t="shared" si="19"/>
        <v>0.13168173910792211</v>
      </c>
      <c r="U40" s="75">
        <f t="shared" si="20"/>
        <v>0.60205667517022055</v>
      </c>
      <c r="V40" s="101">
        <f t="shared" si="21"/>
        <v>2.0327684762115297</v>
      </c>
      <c r="W40" s="53"/>
      <c r="X40" s="52">
        <f t="shared" si="22"/>
        <v>0.96133402241364507</v>
      </c>
      <c r="Y40" s="52">
        <f t="shared" si="23"/>
        <v>1.4317089584759435</v>
      </c>
      <c r="Z40" s="97">
        <f t="shared" si="24"/>
        <v>0.77710171148543195</v>
      </c>
    </row>
    <row r="41" spans="1:26" ht="13.5" thickBot="1" x14ac:dyDescent="0.25">
      <c r="A41" s="70"/>
      <c r="B41" s="70" t="s">
        <v>146</v>
      </c>
      <c r="C41" s="70"/>
      <c r="D41" s="67" t="s">
        <v>139</v>
      </c>
      <c r="E41" s="67">
        <v>1</v>
      </c>
      <c r="F41" s="69">
        <v>12960</v>
      </c>
      <c r="G41" s="66" t="s">
        <v>92</v>
      </c>
      <c r="H41" s="69">
        <v>1</v>
      </c>
      <c r="I41" s="69">
        <f t="shared" si="14"/>
        <v>12960</v>
      </c>
      <c r="J41" s="64">
        <v>127175</v>
      </c>
      <c r="K41" s="68">
        <f t="shared" si="15"/>
        <v>127175</v>
      </c>
      <c r="L41" s="61">
        <f t="shared" si="16"/>
        <v>5668.968958706394</v>
      </c>
      <c r="M41" s="61">
        <f t="shared" si="13"/>
        <v>121506.03104129361</v>
      </c>
      <c r="N41" s="67">
        <v>12</v>
      </c>
      <c r="O41" s="66">
        <f t="shared" si="17"/>
        <v>125977.08797125318</v>
      </c>
      <c r="P41" s="65">
        <f t="shared" si="18"/>
        <v>59256.464699792748</v>
      </c>
      <c r="Q41" s="64">
        <v>8428</v>
      </c>
      <c r="R41" s="63">
        <v>16589</v>
      </c>
      <c r="S41" s="63"/>
      <c r="T41" s="61">
        <f t="shared" si="19"/>
        <v>0.13168267553370863</v>
      </c>
      <c r="U41" s="68">
        <f t="shared" si="20"/>
        <v>0.60205761159600701</v>
      </c>
      <c r="V41" s="100">
        <f t="shared" si="21"/>
        <v>2.0327653144928131</v>
      </c>
      <c r="W41" s="62"/>
      <c r="X41" s="61">
        <f t="shared" si="22"/>
        <v>0.96450896744827264</v>
      </c>
      <c r="Y41" s="61">
        <f t="shared" si="23"/>
        <v>1.4348839035105712</v>
      </c>
      <c r="Z41" s="96">
        <f t="shared" si="24"/>
        <v>0.77538223075654145</v>
      </c>
    </row>
    <row r="42" spans="1:26" ht="13.5" thickBot="1" x14ac:dyDescent="0.25">
      <c r="A42" s="60"/>
      <c r="B42" s="60" t="s">
        <v>147</v>
      </c>
      <c r="C42" s="60"/>
      <c r="D42" s="58" t="s">
        <v>139</v>
      </c>
      <c r="E42" s="58">
        <v>1</v>
      </c>
      <c r="F42" s="59">
        <v>14208</v>
      </c>
      <c r="G42" s="57" t="s">
        <v>92</v>
      </c>
      <c r="H42" s="59">
        <v>1</v>
      </c>
      <c r="I42" s="59">
        <f t="shared" si="14"/>
        <v>14208</v>
      </c>
      <c r="J42" s="55">
        <v>142512</v>
      </c>
      <c r="K42" s="55">
        <f t="shared" si="15"/>
        <v>142512</v>
      </c>
      <c r="L42" s="55">
        <f t="shared" si="16"/>
        <v>6214.8696732484914</v>
      </c>
      <c r="M42" s="52">
        <f t="shared" si="13"/>
        <v>136297.1303267515</v>
      </c>
      <c r="N42" s="58">
        <v>12</v>
      </c>
      <c r="O42" s="57">
        <f t="shared" si="17"/>
        <v>138108.21496107755</v>
      </c>
      <c r="P42" s="56">
        <f t="shared" si="18"/>
        <v>64962.642781995019</v>
      </c>
      <c r="Q42" s="55">
        <v>8428</v>
      </c>
      <c r="R42" s="54">
        <v>18186</v>
      </c>
      <c r="S42" s="54"/>
      <c r="T42" s="52">
        <f t="shared" si="19"/>
        <v>0.13167935017569579</v>
      </c>
      <c r="U42" s="75">
        <f t="shared" si="20"/>
        <v>0.60205428623799417</v>
      </c>
      <c r="V42" s="101">
        <f t="shared" si="21"/>
        <v>2.0327765421720789</v>
      </c>
      <c r="W42" s="53"/>
      <c r="X42" s="52">
        <f t="shared" si="22"/>
        <v>0.98688648148239078</v>
      </c>
      <c r="Y42" s="52">
        <f t="shared" si="23"/>
        <v>1.457261417544689</v>
      </c>
      <c r="Z42" s="97">
        <f t="shared" si="24"/>
        <v>0.76347556353701496</v>
      </c>
    </row>
    <row r="43" spans="1:26" ht="13.5" thickBot="1" x14ac:dyDescent="0.25">
      <c r="A43" s="70"/>
      <c r="B43" s="70" t="s">
        <v>148</v>
      </c>
      <c r="C43" s="70"/>
      <c r="D43" s="67" t="s">
        <v>149</v>
      </c>
      <c r="E43" s="67">
        <v>1</v>
      </c>
      <c r="F43" s="69">
        <v>2675</v>
      </c>
      <c r="G43" s="66" t="s">
        <v>92</v>
      </c>
      <c r="H43" s="69">
        <v>1</v>
      </c>
      <c r="I43" s="69">
        <f t="shared" si="14"/>
        <v>2675</v>
      </c>
      <c r="J43" s="64">
        <v>55000</v>
      </c>
      <c r="K43" s="68">
        <f t="shared" si="15"/>
        <v>55000</v>
      </c>
      <c r="L43" s="61">
        <f t="shared" si="16"/>
        <v>1396.3201206691288</v>
      </c>
      <c r="M43" s="61">
        <f t="shared" si="13"/>
        <v>53603.67987933087</v>
      </c>
      <c r="N43" s="67">
        <v>15</v>
      </c>
      <c r="O43" s="66">
        <f t="shared" si="17"/>
        <v>31029.336014869525</v>
      </c>
      <c r="P43" s="65">
        <f t="shared" si="18"/>
        <v>12230.790360489629</v>
      </c>
      <c r="Q43" s="64">
        <v>8428</v>
      </c>
      <c r="R43" s="63">
        <v>6142</v>
      </c>
      <c r="S43" s="63"/>
      <c r="T43" s="61">
        <f t="shared" si="19"/>
        <v>0.19794171544813915</v>
      </c>
      <c r="U43" s="68">
        <f t="shared" si="20"/>
        <v>0.59211032913128492</v>
      </c>
      <c r="V43" s="100">
        <f t="shared" si="21"/>
        <v>2.2150843740957171</v>
      </c>
      <c r="W43" s="62"/>
      <c r="X43" s="61">
        <f t="shared" si="22"/>
        <v>1.7275161754554955</v>
      </c>
      <c r="Y43" s="61">
        <f t="shared" si="23"/>
        <v>2.1216847891386412</v>
      </c>
      <c r="Z43" s="96">
        <f t="shared" si="24"/>
        <v>0.56197806252568339</v>
      </c>
    </row>
    <row r="44" spans="1:26" ht="13.5" thickBot="1" x14ac:dyDescent="0.25">
      <c r="A44" s="60"/>
      <c r="B44" s="60" t="s">
        <v>150</v>
      </c>
      <c r="C44" s="60"/>
      <c r="D44" s="58" t="s">
        <v>151</v>
      </c>
      <c r="E44" s="58">
        <v>1</v>
      </c>
      <c r="F44" s="59">
        <v>1146</v>
      </c>
      <c r="G44" s="57" t="s">
        <v>92</v>
      </c>
      <c r="H44" s="59">
        <v>1</v>
      </c>
      <c r="I44" s="59">
        <f t="shared" si="14"/>
        <v>1146</v>
      </c>
      <c r="J44" s="55">
        <v>25000</v>
      </c>
      <c r="K44" s="55">
        <f t="shared" si="15"/>
        <v>25000</v>
      </c>
      <c r="L44" s="55">
        <f t="shared" si="16"/>
        <v>598.19919935955943</v>
      </c>
      <c r="M44" s="52">
        <f t="shared" si="13"/>
        <v>24401.800800640442</v>
      </c>
      <c r="N44" s="58">
        <v>15</v>
      </c>
      <c r="O44" s="57">
        <f t="shared" si="17"/>
        <v>13293.315541323544</v>
      </c>
      <c r="P44" s="56">
        <f t="shared" si="18"/>
        <v>5239.8077581761181</v>
      </c>
      <c r="Q44" s="55">
        <v>8428</v>
      </c>
      <c r="R44" s="54">
        <v>2631</v>
      </c>
      <c r="S44" s="54"/>
      <c r="T44" s="52">
        <f t="shared" si="19"/>
        <v>0.19791902116678753</v>
      </c>
      <c r="U44" s="75">
        <f t="shared" si="20"/>
        <v>0.59208763484993332</v>
      </c>
      <c r="V44" s="101">
        <f t="shared" si="21"/>
        <v>2.2151692766423068</v>
      </c>
      <c r="W44" s="53"/>
      <c r="X44" s="52">
        <f t="shared" si="22"/>
        <v>1.8356444428619112</v>
      </c>
      <c r="Y44" s="52">
        <f t="shared" si="23"/>
        <v>2.2298130565450571</v>
      </c>
      <c r="Z44" s="97">
        <f t="shared" si="24"/>
        <v>0.53472657880019614</v>
      </c>
    </row>
    <row r="45" spans="1:26" ht="13.5" thickBot="1" x14ac:dyDescent="0.25">
      <c r="A45" s="70"/>
      <c r="B45" s="70" t="s">
        <v>152</v>
      </c>
      <c r="C45" s="70"/>
      <c r="D45" s="67" t="s">
        <v>153</v>
      </c>
      <c r="E45" s="67">
        <v>1</v>
      </c>
      <c r="F45" s="69">
        <v>6766</v>
      </c>
      <c r="G45" s="66" t="s">
        <v>92</v>
      </c>
      <c r="H45" s="69">
        <v>1</v>
      </c>
      <c r="I45" s="69">
        <f t="shared" si="14"/>
        <v>6766</v>
      </c>
      <c r="J45" s="64">
        <v>22500</v>
      </c>
      <c r="K45" s="68">
        <f t="shared" si="15"/>
        <v>22500</v>
      </c>
      <c r="L45" s="61">
        <f t="shared" si="16"/>
        <v>3531.7764248401213</v>
      </c>
      <c r="M45" s="61">
        <f t="shared" si="13"/>
        <v>18968.223575159878</v>
      </c>
      <c r="N45" s="67">
        <v>15</v>
      </c>
      <c r="O45" s="66">
        <f t="shared" si="17"/>
        <v>78483.920552002703</v>
      </c>
      <c r="P45" s="65">
        <f t="shared" si="18"/>
        <v>30935.898160401062</v>
      </c>
      <c r="Q45" s="64">
        <v>8428</v>
      </c>
      <c r="R45" s="63">
        <v>16888</v>
      </c>
      <c r="S45" s="63"/>
      <c r="T45" s="61">
        <f t="shared" si="19"/>
        <v>0.21517783364058848</v>
      </c>
      <c r="U45" s="68">
        <f t="shared" si="20"/>
        <v>0.60934644732373433</v>
      </c>
      <c r="V45" s="100">
        <f t="shared" si="21"/>
        <v>2.1524279719030943</v>
      </c>
      <c r="W45" s="62"/>
      <c r="X45" s="61">
        <f t="shared" si="22"/>
        <v>0.24168292615545006</v>
      </c>
      <c r="Y45" s="61">
        <f t="shared" si="23"/>
        <v>0.63585153983859588</v>
      </c>
      <c r="Z45" s="96">
        <f t="shared" si="24"/>
        <v>1.8751866314470347</v>
      </c>
    </row>
    <row r="46" spans="1:26" ht="13.5" thickBot="1" x14ac:dyDescent="0.25">
      <c r="A46" s="60"/>
      <c r="B46" s="60" t="s">
        <v>154</v>
      </c>
      <c r="C46" s="60"/>
      <c r="D46" s="58" t="s">
        <v>155</v>
      </c>
      <c r="E46" s="58">
        <v>1</v>
      </c>
      <c r="F46" s="59">
        <v>2178</v>
      </c>
      <c r="G46" s="57" t="s">
        <v>92</v>
      </c>
      <c r="H46" s="59">
        <v>1</v>
      </c>
      <c r="I46" s="59">
        <f t="shared" si="14"/>
        <v>2178</v>
      </c>
      <c r="J46" s="55">
        <v>2564</v>
      </c>
      <c r="K46" s="55">
        <f t="shared" si="15"/>
        <v>2564</v>
      </c>
      <c r="L46" s="55">
        <f t="shared" si="16"/>
        <v>1303.5029134834704</v>
      </c>
      <c r="M46" s="52">
        <f t="shared" si="13"/>
        <v>1260.4970865165296</v>
      </c>
      <c r="N46" s="58">
        <v>18</v>
      </c>
      <c r="O46" s="57">
        <f t="shared" si="17"/>
        <v>28966.731410743785</v>
      </c>
      <c r="P46" s="56">
        <f t="shared" si="18"/>
        <v>9958.3780953818386</v>
      </c>
      <c r="Q46" s="55">
        <v>8428</v>
      </c>
      <c r="R46" s="54">
        <v>2564</v>
      </c>
      <c r="S46" s="54"/>
      <c r="T46" s="52">
        <f t="shared" si="19"/>
        <v>8.8515337255103979E-2</v>
      </c>
      <c r="U46" s="75">
        <f t="shared" si="20"/>
        <v>0.43230207501897427</v>
      </c>
      <c r="V46" s="101">
        <f t="shared" si="21"/>
        <v>3.252381374481073</v>
      </c>
      <c r="W46" s="53"/>
      <c r="X46" s="52">
        <f t="shared" si="22"/>
        <v>4.3515337255103981E-2</v>
      </c>
      <c r="Y46" s="52">
        <f t="shared" si="23"/>
        <v>0.38730207501897429</v>
      </c>
      <c r="Z46" s="97">
        <f t="shared" si="24"/>
        <v>3.3002457199293334</v>
      </c>
    </row>
    <row r="47" spans="1:26" ht="13.5" thickBot="1" x14ac:dyDescent="0.25">
      <c r="A47" s="70"/>
      <c r="B47" s="70" t="s">
        <v>156</v>
      </c>
      <c r="C47" s="70"/>
      <c r="D47" s="67" t="s">
        <v>157</v>
      </c>
      <c r="E47" s="67">
        <v>1</v>
      </c>
      <c r="F47" s="69">
        <v>641.25</v>
      </c>
      <c r="G47" s="66" t="s">
        <v>92</v>
      </c>
      <c r="H47" s="69">
        <v>1</v>
      </c>
      <c r="I47" s="69">
        <f t="shared" si="14"/>
        <v>641.25</v>
      </c>
      <c r="J47" s="64">
        <v>18795</v>
      </c>
      <c r="K47" s="68">
        <f t="shared" si="15"/>
        <v>18795</v>
      </c>
      <c r="L47" s="61">
        <f t="shared" si="16"/>
        <v>413.85249615869577</v>
      </c>
      <c r="M47" s="61">
        <f t="shared" si="13"/>
        <v>18381.147503841305</v>
      </c>
      <c r="N47" s="67">
        <v>20</v>
      </c>
      <c r="O47" s="66">
        <f t="shared" si="17"/>
        <v>9196.7221368599057</v>
      </c>
      <c r="P47" s="65">
        <f t="shared" si="18"/>
        <v>2931.9604929584957</v>
      </c>
      <c r="Q47" s="64">
        <v>8428</v>
      </c>
      <c r="R47" s="63">
        <v>2579</v>
      </c>
      <c r="S47" s="63"/>
      <c r="T47" s="61">
        <f t="shared" si="19"/>
        <v>0.28042599978785093</v>
      </c>
      <c r="U47" s="68">
        <f t="shared" si="20"/>
        <v>0.59923094456348747</v>
      </c>
      <c r="V47" s="100">
        <f t="shared" si="21"/>
        <v>2.4598351307156707</v>
      </c>
      <c r="W47" s="62"/>
      <c r="X47" s="61">
        <f t="shared" si="22"/>
        <v>1.9986629181902515</v>
      </c>
      <c r="Y47" s="61">
        <f t="shared" si="23"/>
        <v>2.3174678629658882</v>
      </c>
      <c r="Z47" s="96">
        <f t="shared" si="24"/>
        <v>0.57822095494220238</v>
      </c>
    </row>
    <row r="48" spans="1:26" ht="13.5" thickBot="1" x14ac:dyDescent="0.25">
      <c r="A48" s="60"/>
      <c r="B48" s="60" t="s">
        <v>158</v>
      </c>
      <c r="C48" s="60"/>
      <c r="D48" s="58" t="s">
        <v>159</v>
      </c>
      <c r="E48" s="58">
        <v>1</v>
      </c>
      <c r="F48" s="59">
        <v>836</v>
      </c>
      <c r="G48" s="57" t="s">
        <v>92</v>
      </c>
      <c r="H48" s="59">
        <v>1</v>
      </c>
      <c r="I48" s="59">
        <f t="shared" si="14"/>
        <v>836</v>
      </c>
      <c r="J48" s="55">
        <v>9840</v>
      </c>
      <c r="K48" s="55">
        <f t="shared" si="15"/>
        <v>9840</v>
      </c>
      <c r="L48" s="55">
        <f t="shared" si="16"/>
        <v>700.65968494890069</v>
      </c>
      <c r="M48" s="52">
        <f t="shared" si="13"/>
        <v>9139.3403150510985</v>
      </c>
      <c r="N48" s="58">
        <v>30</v>
      </c>
      <c r="O48" s="57">
        <f t="shared" si="17"/>
        <v>15570.215221086681</v>
      </c>
      <c r="P48" s="56">
        <f t="shared" si="18"/>
        <v>3822.4077537829276</v>
      </c>
      <c r="Q48" s="55">
        <v>8428</v>
      </c>
      <c r="R48" s="54">
        <v>5484</v>
      </c>
      <c r="S48" s="54"/>
      <c r="T48" s="52">
        <f t="shared" si="19"/>
        <v>0.35221093107133422</v>
      </c>
      <c r="U48" s="75">
        <f t="shared" si="20"/>
        <v>0.59770578772599725</v>
      </c>
      <c r="V48" s="101">
        <f t="shared" si="21"/>
        <v>3.1312714957415508</v>
      </c>
      <c r="W48" s="53"/>
      <c r="X48" s="52">
        <f t="shared" si="22"/>
        <v>0.5869758500623502</v>
      </c>
      <c r="Y48" s="52">
        <f t="shared" si="23"/>
        <v>0.83247070671701329</v>
      </c>
      <c r="Z48" s="97">
        <f t="shared" si="24"/>
        <v>2.0438383333380403</v>
      </c>
    </row>
    <row r="49" spans="1:26" ht="15.75" thickBot="1" x14ac:dyDescent="0.25">
      <c r="A49" s="51" t="s">
        <v>160</v>
      </c>
      <c r="B49" s="45"/>
      <c r="C49" s="45"/>
      <c r="D49" s="45"/>
      <c r="E49" s="50">
        <f>SUM(E4:E33,E35:E48)</f>
        <v>284</v>
      </c>
      <c r="F49" s="49"/>
      <c r="G49" s="45"/>
      <c r="H49" s="47"/>
      <c r="I49" s="48">
        <f>SUM(I4:I48)</f>
        <v>289919.12</v>
      </c>
      <c r="J49" s="43"/>
      <c r="K49" s="43">
        <f>SUM(K4:K48)</f>
        <v>1875801.8572</v>
      </c>
      <c r="L49" s="43"/>
      <c r="M49" s="42">
        <f>SUM(M4:M48)</f>
        <v>1690510.3802030545</v>
      </c>
      <c r="N49" s="47">
        <f>SUMPRODUCT(I4:I48,N4:N48)/SUM(I4:I48)</f>
        <v>18.082096793064217</v>
      </c>
      <c r="O49" s="47">
        <f>SUM(O4:O48)</f>
        <v>3719678.8025715579</v>
      </c>
      <c r="P49" s="46">
        <f>SUM(P4:P48)</f>
        <v>1129224.8659999999</v>
      </c>
      <c r="Q49" s="45"/>
      <c r="R49" s="43">
        <f>SUM(R4:R33,R35:R48)+S34</f>
        <v>897307.07</v>
      </c>
      <c r="S49" s="43"/>
      <c r="T49" s="44">
        <f>R49/O49</f>
        <v>0.24123240678191268</v>
      </c>
      <c r="U49" s="44">
        <f>(R49+P49)/O49</f>
        <v>0.54481369052590767</v>
      </c>
      <c r="V49" s="103">
        <f>IF($R49=0,"-",(VLOOKUP($N49,AC,6)*$I49)/($R49+$P49))</f>
        <v>2.6751849225262339</v>
      </c>
      <c r="W49" s="43"/>
      <c r="X49" s="42">
        <f>(M49)/O49</f>
        <v>0.45447751537964493</v>
      </c>
      <c r="Y49" s="42">
        <f>(M49+P49)/O49</f>
        <v>0.75805879912364005</v>
      </c>
      <c r="Z49" s="99">
        <f>IF($M49=0,"-",(VLOOKUP($N49,AC,4)*$I49)/($M49+P49))</f>
        <v>1.7478583841273989</v>
      </c>
    </row>
    <row r="50" spans="1:26" ht="13.5" thickBot="1" x14ac:dyDescent="0.25">
      <c r="I50" s="30"/>
      <c r="J50" s="2"/>
      <c r="K50" s="2"/>
      <c r="L50" s="2"/>
      <c r="M50" s="41"/>
      <c r="N50" s="40"/>
      <c r="O50" s="39"/>
      <c r="R50" s="38"/>
      <c r="S50" s="37"/>
      <c r="T50" s="36"/>
      <c r="V50" s="35"/>
      <c r="X50" s="34"/>
      <c r="Y50" s="34"/>
    </row>
    <row r="51" spans="1:26" ht="33.75" customHeight="1" thickBot="1" x14ac:dyDescent="0.25">
      <c r="B51" s="18" t="s">
        <v>161</v>
      </c>
      <c r="C51" s="22">
        <v>3.4000000000000002E-2</v>
      </c>
      <c r="D51" s="15"/>
      <c r="F51" s="21"/>
      <c r="G51" s="33"/>
      <c r="H51" s="21"/>
      <c r="I51" s="30"/>
      <c r="J51" s="1" t="s">
        <v>162</v>
      </c>
      <c r="K51" s="32">
        <f>K49-M49</f>
        <v>185291.47699694545</v>
      </c>
      <c r="L51" s="21"/>
      <c r="M51" s="31"/>
      <c r="N51" s="30"/>
      <c r="O51" s="29"/>
      <c r="P51" s="29"/>
      <c r="R51" s="23"/>
      <c r="S51" s="29"/>
      <c r="T51" s="28"/>
      <c r="U51" s="27"/>
      <c r="V51" s="26"/>
      <c r="W51" s="21"/>
      <c r="X51" s="21"/>
      <c r="Y51" s="21"/>
      <c r="Z51" s="21"/>
    </row>
    <row r="52" spans="1:26" ht="33.75" customHeight="1" thickBot="1" x14ac:dyDescent="0.25">
      <c r="B52" s="18" t="s">
        <v>163</v>
      </c>
      <c r="C52" s="22">
        <v>0.02</v>
      </c>
      <c r="D52" s="15"/>
      <c r="E52" s="25"/>
      <c r="F52" s="1"/>
      <c r="G52" s="21"/>
      <c r="H52" s="19"/>
      <c r="I52" s="19"/>
      <c r="O52" s="24"/>
      <c r="R52" s="23"/>
      <c r="S52" s="2"/>
    </row>
    <row r="53" spans="1:26" ht="33.75" customHeight="1" thickBot="1" x14ac:dyDescent="0.25">
      <c r="B53" s="18" t="s">
        <v>164</v>
      </c>
      <c r="C53" s="22">
        <v>3.4000000000000002E-2</v>
      </c>
      <c r="D53" s="15"/>
      <c r="F53" s="1"/>
      <c r="G53" s="21"/>
      <c r="H53" s="19"/>
      <c r="I53" s="19"/>
      <c r="S53" s="2"/>
    </row>
    <row r="54" spans="1:26" ht="33.75" customHeight="1" thickBot="1" x14ac:dyDescent="0.25">
      <c r="B54" s="18" t="s">
        <v>165</v>
      </c>
      <c r="C54" s="20">
        <v>1129224.8660000002</v>
      </c>
      <c r="D54" s="15"/>
      <c r="I54" s="19"/>
      <c r="S54" s="2"/>
    </row>
    <row r="55" spans="1:26" ht="33.75" customHeight="1" thickBot="1" x14ac:dyDescent="0.25">
      <c r="B55" s="18" t="s">
        <v>166</v>
      </c>
      <c r="C55" s="17">
        <f>C54*0.4</f>
        <v>451689.94640000007</v>
      </c>
      <c r="D55" s="15"/>
      <c r="F55" s="6"/>
      <c r="H55" s="12"/>
      <c r="I55" s="11"/>
      <c r="J55" s="6"/>
      <c r="K55" s="6"/>
      <c r="L55" s="6"/>
      <c r="M55" s="6"/>
      <c r="N55" s="6"/>
      <c r="O55" s="6"/>
      <c r="P55" s="6"/>
      <c r="Q55" s="6"/>
      <c r="R55" s="10"/>
      <c r="S55" s="2"/>
      <c r="T55" s="6"/>
      <c r="U55" s="6"/>
      <c r="V55" s="6"/>
      <c r="W55" s="6"/>
      <c r="X55" s="6"/>
      <c r="Y55" s="6"/>
      <c r="Z55" s="6"/>
    </row>
    <row r="56" spans="1:26" ht="33.75" customHeight="1" thickBot="1" x14ac:dyDescent="0.25">
      <c r="B56" s="18" t="s">
        <v>167</v>
      </c>
      <c r="C56" s="17">
        <f>C54*0.6</f>
        <v>677534.91960000002</v>
      </c>
      <c r="D56" s="15"/>
      <c r="F56" s="6"/>
      <c r="G56" s="13"/>
      <c r="H56" s="12"/>
      <c r="I56" s="11"/>
      <c r="J56" s="6"/>
      <c r="K56" s="6"/>
      <c r="L56" s="6"/>
      <c r="M56" s="6"/>
      <c r="N56" s="6"/>
      <c r="O56" s="6"/>
      <c r="P56" s="6"/>
      <c r="Q56" s="6"/>
      <c r="R56" s="10"/>
      <c r="S56" s="10"/>
      <c r="T56" s="6"/>
      <c r="U56" s="6"/>
      <c r="V56" s="6"/>
      <c r="W56" s="6"/>
      <c r="X56" s="6"/>
      <c r="Y56" s="6"/>
      <c r="Z56" s="6"/>
    </row>
    <row r="57" spans="1:26" ht="16.899999999999999" customHeight="1" x14ac:dyDescent="0.2">
      <c r="B57" s="6"/>
      <c r="D57" s="15"/>
      <c r="F57" s="6"/>
      <c r="H57" s="12"/>
      <c r="I57" s="11"/>
      <c r="J57" s="6"/>
      <c r="K57" s="6"/>
      <c r="L57" s="6"/>
      <c r="M57" s="6"/>
      <c r="N57" s="6"/>
      <c r="O57" s="6"/>
      <c r="P57" s="6"/>
      <c r="Q57" s="6"/>
      <c r="R57" s="10"/>
      <c r="S57" s="10"/>
      <c r="T57" s="6"/>
      <c r="U57" s="6"/>
      <c r="V57" s="6"/>
      <c r="W57" s="6"/>
      <c r="X57" s="6"/>
      <c r="Y57" s="6"/>
      <c r="Z57" s="6"/>
    </row>
    <row r="58" spans="1:26" ht="14.45" customHeight="1" x14ac:dyDescent="0.2">
      <c r="A58" s="6"/>
      <c r="B58" s="6"/>
      <c r="D58" s="15"/>
      <c r="F58" s="6"/>
      <c r="G58" s="8"/>
      <c r="H58" s="12"/>
      <c r="I58" s="11"/>
      <c r="J58" s="6"/>
      <c r="K58" s="6"/>
      <c r="L58" s="6"/>
      <c r="M58" s="6"/>
      <c r="N58" s="6"/>
      <c r="O58" s="6"/>
      <c r="P58" s="6"/>
      <c r="Q58" s="6"/>
      <c r="R58" s="10"/>
      <c r="S58" s="10"/>
      <c r="T58" s="6"/>
      <c r="U58" s="6"/>
      <c r="V58" s="6"/>
      <c r="W58" s="6"/>
      <c r="X58" s="6"/>
      <c r="Y58" s="6"/>
      <c r="Z58" s="6"/>
    </row>
    <row r="59" spans="1:26" ht="16.899999999999999" customHeight="1" x14ac:dyDescent="0.2">
      <c r="A59" s="6"/>
      <c r="B59" s="16">
        <v>766935</v>
      </c>
      <c r="D59" s="15"/>
      <c r="F59" s="6"/>
      <c r="H59" s="12"/>
      <c r="I59" s="11"/>
      <c r="J59" s="6"/>
      <c r="K59" s="6"/>
      <c r="L59" s="6"/>
      <c r="M59" s="6"/>
      <c r="N59" s="6"/>
      <c r="O59" s="6"/>
      <c r="P59" s="6"/>
      <c r="Q59" s="6"/>
      <c r="R59" s="10"/>
      <c r="S59" s="10"/>
      <c r="T59" s="6"/>
      <c r="U59" s="6"/>
      <c r="V59" s="6"/>
      <c r="W59" s="6"/>
      <c r="X59" s="6"/>
      <c r="Y59" s="6"/>
      <c r="Z59" s="6"/>
    </row>
    <row r="60" spans="1:26" ht="14.45" customHeight="1" x14ac:dyDescent="0.2">
      <c r="B60" s="6"/>
      <c r="D60" s="15"/>
      <c r="F60" s="6"/>
      <c r="G60" s="8"/>
      <c r="H60" s="12"/>
      <c r="I60" s="11"/>
      <c r="J60" s="6"/>
      <c r="K60" s="6"/>
      <c r="L60" s="6"/>
      <c r="M60" s="6"/>
      <c r="N60" s="6"/>
      <c r="O60" s="6"/>
      <c r="P60" s="6"/>
      <c r="Q60" s="6"/>
      <c r="R60" s="10"/>
      <c r="S60" s="10"/>
      <c r="T60" s="6"/>
      <c r="U60" s="6"/>
      <c r="V60" s="6"/>
      <c r="W60" s="6"/>
      <c r="X60" s="6"/>
      <c r="Y60" s="6"/>
      <c r="Z60" s="6"/>
    </row>
    <row r="61" spans="1:26" x14ac:dyDescent="0.2">
      <c r="B61" s="6"/>
      <c r="F61" s="6"/>
      <c r="H61" s="12"/>
      <c r="I61" s="11"/>
      <c r="J61" s="6"/>
      <c r="K61" s="6"/>
      <c r="L61" s="6"/>
      <c r="M61" s="6"/>
      <c r="N61" s="6"/>
      <c r="O61" s="6"/>
      <c r="P61" s="6"/>
      <c r="Q61" s="6"/>
      <c r="R61" s="10"/>
      <c r="S61" s="10"/>
      <c r="T61" s="6"/>
      <c r="U61" s="6"/>
      <c r="V61" s="6"/>
      <c r="W61" s="6"/>
      <c r="X61" s="6"/>
      <c r="Y61" s="6"/>
      <c r="Z61" s="6"/>
    </row>
    <row r="62" spans="1:26" ht="18" customHeight="1" x14ac:dyDescent="0.2">
      <c r="B62" s="14"/>
      <c r="F62" s="6"/>
      <c r="H62" s="12"/>
      <c r="I62" s="11"/>
      <c r="J62" s="6"/>
      <c r="K62" s="6"/>
      <c r="L62" s="6"/>
      <c r="M62" s="6"/>
      <c r="N62" s="6"/>
      <c r="O62" s="6"/>
      <c r="P62" s="6"/>
      <c r="Q62" s="6"/>
      <c r="R62" s="10"/>
      <c r="S62" s="10"/>
      <c r="T62" s="9"/>
      <c r="U62" s="6"/>
      <c r="V62" s="6"/>
      <c r="W62" s="6"/>
      <c r="X62" s="6"/>
      <c r="Y62" s="6"/>
      <c r="Z62" s="6"/>
    </row>
    <row r="63" spans="1:26" x14ac:dyDescent="0.2">
      <c r="I63" s="7"/>
    </row>
    <row r="64" spans="1:26" x14ac:dyDescent="0.2">
      <c r="I64" s="7"/>
    </row>
    <row r="65" spans="9:9" x14ac:dyDescent="0.2">
      <c r="I65" s="7"/>
    </row>
    <row r="66" spans="9:9" x14ac:dyDescent="0.2">
      <c r="I66" s="7"/>
    </row>
    <row r="67" spans="9:9" x14ac:dyDescent="0.2">
      <c r="I67" s="7"/>
    </row>
    <row r="68" spans="9:9" x14ac:dyDescent="0.2">
      <c r="I68" s="7"/>
    </row>
  </sheetData>
  <autoFilter ref="A3:Z49" xr:uid="{00000000-0001-0000-0000-000000000000}"/>
  <mergeCells count="2">
    <mergeCell ref="C1:Z1"/>
    <mergeCell ref="C2:Z2"/>
  </mergeCells>
  <printOptions horizontalCentered="1" verticalCentered="1"/>
  <pageMargins left="0.25" right="0.02" top="0.73" bottom="0.72" header="0.5" footer="0.5"/>
  <pageSetup paperSize="5" scale="21" orientation="landscape" horizontalDpi="1200" verticalDpi="1200" r:id="rId1"/>
  <headerFooter alignWithMargins="0">
    <oddHeader>&amp;C&amp;c</oddHeader>
    <oddFooter>&amp;C&amp;14Appendix A&amp;R&amp;14Page 3 of 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44B4-A381-4DEA-B815-966DA0649EF0}">
  <dimension ref="A1:J56"/>
  <sheetViews>
    <sheetView topLeftCell="A6" zoomScaleNormal="100" workbookViewId="0">
      <selection activeCell="X85" sqref="X85"/>
    </sheetView>
  </sheetViews>
  <sheetFormatPr defaultColWidth="10.6640625" defaultRowHeight="12.75" x14ac:dyDescent="0.2"/>
  <cols>
    <col min="1" max="1" width="7.33203125" style="77" bestFit="1" customWidth="1"/>
    <col min="2" max="2" width="7.6640625" style="77" bestFit="1" customWidth="1"/>
    <col min="3" max="3" width="18" style="77" customWidth="1"/>
    <col min="4" max="4" width="12.33203125" style="77" bestFit="1" customWidth="1"/>
    <col min="5" max="5" width="13.5" style="77" bestFit="1" customWidth="1"/>
    <col min="6" max="6" width="20.33203125" style="77" bestFit="1" customWidth="1"/>
    <col min="7" max="7" width="20.33203125" style="77" customWidth="1"/>
    <col min="8" max="8" width="21.83203125" style="77" bestFit="1" customWidth="1"/>
    <col min="9" max="9" width="19.33203125" style="77" bestFit="1" customWidth="1"/>
    <col min="10" max="16384" width="10.6640625" style="77"/>
  </cols>
  <sheetData>
    <row r="1" spans="1:9" s="93" customFormat="1" x14ac:dyDescent="0.2">
      <c r="A1" s="109" t="s">
        <v>1</v>
      </c>
      <c r="B1" s="109"/>
      <c r="C1" s="109"/>
      <c r="D1" s="109"/>
      <c r="E1" s="109"/>
      <c r="F1" s="109"/>
      <c r="G1" s="109"/>
      <c r="H1" s="109"/>
      <c r="I1" s="109"/>
    </row>
    <row r="2" spans="1:9" s="93" customFormat="1" x14ac:dyDescent="0.2">
      <c r="A2" s="109" t="s">
        <v>168</v>
      </c>
      <c r="B2" s="109"/>
      <c r="C2" s="109"/>
      <c r="D2" s="109"/>
      <c r="E2" s="109"/>
      <c r="F2" s="109"/>
      <c r="G2" s="109"/>
      <c r="H2" s="109"/>
      <c r="I2" s="109"/>
    </row>
    <row r="3" spans="1:9" s="93" customFormat="1" x14ac:dyDescent="0.2">
      <c r="A3" s="109" t="s">
        <v>169</v>
      </c>
      <c r="B3" s="109"/>
      <c r="C3" s="109"/>
      <c r="D3" s="109"/>
      <c r="E3" s="109"/>
      <c r="F3" s="109"/>
      <c r="G3" s="109"/>
      <c r="H3" s="109"/>
      <c r="I3" s="109"/>
    </row>
    <row r="4" spans="1:9" s="93" customFormat="1" x14ac:dyDescent="0.2">
      <c r="A4" s="109" t="s">
        <v>170</v>
      </c>
      <c r="B4" s="109"/>
      <c r="C4" s="109"/>
      <c r="D4" s="109"/>
      <c r="E4" s="109"/>
      <c r="F4" s="109"/>
      <c r="G4" s="109"/>
      <c r="H4" s="109"/>
      <c r="I4" s="109"/>
    </row>
    <row r="6" spans="1:9" s="91" customFormat="1" ht="39" x14ac:dyDescent="0.2">
      <c r="B6" s="92" t="s">
        <v>171</v>
      </c>
      <c r="C6" s="92" t="s">
        <v>172</v>
      </c>
      <c r="D6" s="92" t="s">
        <v>173</v>
      </c>
      <c r="E6" s="92" t="s">
        <v>174</v>
      </c>
      <c r="F6" s="92" t="s">
        <v>175</v>
      </c>
      <c r="G6" s="92" t="s">
        <v>176</v>
      </c>
      <c r="H6" s="92" t="s">
        <v>177</v>
      </c>
    </row>
    <row r="7" spans="1:9" s="91" customFormat="1" x14ac:dyDescent="0.2">
      <c r="A7" s="89">
        <v>2021</v>
      </c>
      <c r="B7" s="89">
        <v>1</v>
      </c>
      <c r="C7" s="88">
        <v>0.88445163236383117</v>
      </c>
      <c r="D7" s="88">
        <v>0.88445163236383117</v>
      </c>
      <c r="E7" s="88">
        <v>0.88445163236383117</v>
      </c>
      <c r="F7" s="87">
        <v>0.1</v>
      </c>
      <c r="G7" s="86">
        <v>0.97289679560021436</v>
      </c>
      <c r="H7" s="85">
        <v>0.57011051999999995</v>
      </c>
    </row>
    <row r="8" spans="1:9" s="91" customFormat="1" x14ac:dyDescent="0.2">
      <c r="A8" s="89">
        <v>2022</v>
      </c>
      <c r="B8" s="89">
        <v>2</v>
      </c>
      <c r="C8" s="88">
        <v>0.81371500359565097</v>
      </c>
      <c r="D8" s="88">
        <v>0.84138131371790315</v>
      </c>
      <c r="E8" s="88">
        <v>1.7258329460817343</v>
      </c>
      <c r="F8" s="87">
        <v>0.1</v>
      </c>
      <c r="G8" s="86">
        <v>1.8984162406899079</v>
      </c>
      <c r="H8" s="85">
        <v>0.57615605137735904</v>
      </c>
    </row>
    <row r="9" spans="1:9" s="91" customFormat="1" x14ac:dyDescent="0.2">
      <c r="A9" s="89">
        <v>2023</v>
      </c>
      <c r="B9" s="89">
        <v>3</v>
      </c>
      <c r="C9" s="88">
        <v>0.76115943272610243</v>
      </c>
      <c r="D9" s="88">
        <v>0.81379817445570879</v>
      </c>
      <c r="E9" s="88">
        <v>2.5396311205374431</v>
      </c>
      <c r="F9" s="87">
        <v>0.1</v>
      </c>
      <c r="G9" s="86">
        <v>2.7935942325911878</v>
      </c>
      <c r="H9" s="85">
        <v>0.58293196065410902</v>
      </c>
    </row>
    <row r="10" spans="1:9" x14ac:dyDescent="0.2">
      <c r="A10" s="89">
        <v>2024</v>
      </c>
      <c r="B10" s="89">
        <v>4</v>
      </c>
      <c r="C10" s="88">
        <v>0.75798388048815024</v>
      </c>
      <c r="D10" s="88">
        <v>0.83795671619391321</v>
      </c>
      <c r="E10" s="88">
        <v>3.3775878367313563</v>
      </c>
      <c r="F10" s="87">
        <v>0.1</v>
      </c>
      <c r="G10" s="86">
        <v>3.715346620404492</v>
      </c>
      <c r="H10" s="85">
        <v>0.58975943021046795</v>
      </c>
    </row>
    <row r="11" spans="1:9" x14ac:dyDescent="0.2">
      <c r="A11" s="90">
        <v>2025</v>
      </c>
      <c r="B11" s="89">
        <v>5</v>
      </c>
      <c r="C11" s="88">
        <v>0.77075836546405829</v>
      </c>
      <c r="D11" s="88">
        <v>0.88104968872936473</v>
      </c>
      <c r="E11" s="88">
        <v>4.2586375254607214</v>
      </c>
      <c r="F11" s="87">
        <v>0.1</v>
      </c>
      <c r="G11" s="86">
        <v>4.6845012780067936</v>
      </c>
      <c r="H11" s="85">
        <v>0.61455510299969196</v>
      </c>
    </row>
    <row r="12" spans="1:9" x14ac:dyDescent="0.2">
      <c r="A12" s="89">
        <v>2026</v>
      </c>
      <c r="B12" s="89">
        <v>6</v>
      </c>
      <c r="C12" s="88">
        <v>0.76378755722747937</v>
      </c>
      <c r="D12" s="88">
        <v>0.90276616326625003</v>
      </c>
      <c r="E12" s="88">
        <v>5.1614036887269714</v>
      </c>
      <c r="F12" s="87">
        <v>0.1</v>
      </c>
      <c r="G12" s="86">
        <v>5.6775440575996692</v>
      </c>
      <c r="H12" s="85">
        <v>0.629247118316003</v>
      </c>
    </row>
    <row r="13" spans="1:9" x14ac:dyDescent="0.2">
      <c r="A13" s="89">
        <v>2027</v>
      </c>
      <c r="B13" s="89">
        <v>7</v>
      </c>
      <c r="C13" s="88">
        <v>0.74933499617350652</v>
      </c>
      <c r="D13" s="88">
        <v>0.91579706736600974</v>
      </c>
      <c r="E13" s="88">
        <v>6.0772007560929815</v>
      </c>
      <c r="F13" s="87">
        <v>0.1</v>
      </c>
      <c r="G13" s="86">
        <v>6.6849208317022804</v>
      </c>
      <c r="H13" s="85">
        <v>0.64174689766763904</v>
      </c>
    </row>
    <row r="14" spans="1:9" x14ac:dyDescent="0.2">
      <c r="A14" s="89">
        <v>2028</v>
      </c>
      <c r="B14" s="89">
        <v>8</v>
      </c>
      <c r="C14" s="88">
        <v>0.72707320786116503</v>
      </c>
      <c r="D14" s="88">
        <v>0.91880195964036115</v>
      </c>
      <c r="E14" s="88">
        <v>6.9960027157333426</v>
      </c>
      <c r="F14" s="87">
        <v>0.1</v>
      </c>
      <c r="G14" s="86">
        <v>7.6956029873066774</v>
      </c>
      <c r="H14" s="85">
        <v>0.65668675188056402</v>
      </c>
    </row>
    <row r="15" spans="1:9" x14ac:dyDescent="0.2">
      <c r="A15" s="89">
        <v>2029</v>
      </c>
      <c r="B15" s="89">
        <v>9</v>
      </c>
      <c r="C15" s="88">
        <v>0.7149322508405066</v>
      </c>
      <c r="D15" s="88">
        <v>0.93417706077384166</v>
      </c>
      <c r="E15" s="88">
        <v>7.9301797765071846</v>
      </c>
      <c r="F15" s="87">
        <v>0.1</v>
      </c>
      <c r="G15" s="86">
        <v>8.7231977541579031</v>
      </c>
      <c r="H15" s="85">
        <v>0.671362515855918</v>
      </c>
    </row>
    <row r="16" spans="1:9" x14ac:dyDescent="0.2">
      <c r="A16" s="90">
        <v>2030</v>
      </c>
      <c r="B16" s="89">
        <v>10</v>
      </c>
      <c r="C16" s="88">
        <v>0.70356791294168164</v>
      </c>
      <c r="D16" s="88">
        <v>0.95058481742366419</v>
      </c>
      <c r="E16" s="88">
        <v>8.8807645939308486</v>
      </c>
      <c r="F16" s="87">
        <v>0.1</v>
      </c>
      <c r="G16" s="86">
        <v>9.7688410533239338</v>
      </c>
      <c r="H16" s="85">
        <v>0.70168753835864495</v>
      </c>
    </row>
    <row r="17" spans="1:8" x14ac:dyDescent="0.2">
      <c r="A17" s="89">
        <v>2031</v>
      </c>
      <c r="B17" s="89">
        <v>11</v>
      </c>
      <c r="C17" s="88">
        <v>0.6851545172570157</v>
      </c>
      <c r="D17" s="88">
        <v>0.95718065546171105</v>
      </c>
      <c r="E17" s="88">
        <v>9.8379452493925594</v>
      </c>
      <c r="F17" s="87">
        <v>0.1</v>
      </c>
      <c r="G17" s="86">
        <v>10.821739774331816</v>
      </c>
      <c r="H17" s="85">
        <v>0.71753017552309395</v>
      </c>
    </row>
    <row r="18" spans="1:8" x14ac:dyDescent="0.2">
      <c r="A18" s="89">
        <v>2032</v>
      </c>
      <c r="B18" s="89">
        <v>12</v>
      </c>
      <c r="C18" s="88">
        <v>0.67625670713780228</v>
      </c>
      <c r="D18" s="88">
        <v>0.97687166301819628</v>
      </c>
      <c r="E18" s="88">
        <v>10.814816912410755</v>
      </c>
      <c r="F18" s="87">
        <v>0.1</v>
      </c>
      <c r="G18" s="86">
        <v>11.896298603651832</v>
      </c>
      <c r="H18" s="85">
        <v>0.73540219867662504</v>
      </c>
    </row>
    <row r="19" spans="1:8" x14ac:dyDescent="0.2">
      <c r="A19" s="89">
        <v>2033</v>
      </c>
      <c r="B19" s="89">
        <v>13</v>
      </c>
      <c r="C19" s="88">
        <v>0.66587008865652375</v>
      </c>
      <c r="D19" s="88">
        <v>0.99457141181766762</v>
      </c>
      <c r="E19" s="88">
        <v>11.809388324228422</v>
      </c>
      <c r="F19" s="87">
        <v>0.1</v>
      </c>
      <c r="G19" s="86">
        <v>12.990327156651265</v>
      </c>
      <c r="H19" s="85">
        <v>0.75283800222888697</v>
      </c>
    </row>
    <row r="20" spans="1:8" x14ac:dyDescent="0.2">
      <c r="A20" s="89">
        <v>2034</v>
      </c>
      <c r="B20" s="89">
        <v>14</v>
      </c>
      <c r="C20" s="88">
        <v>0.64881311732878166</v>
      </c>
      <c r="D20" s="88">
        <v>1.0020436159092017</v>
      </c>
      <c r="E20" s="88">
        <v>12.811431940137624</v>
      </c>
      <c r="F20" s="87">
        <v>0.1</v>
      </c>
      <c r="G20" s="86">
        <v>14.092575134151387</v>
      </c>
      <c r="H20" s="85">
        <v>0.77211629283704597</v>
      </c>
    </row>
    <row r="21" spans="1:8" x14ac:dyDescent="0.2">
      <c r="A21" s="89">
        <v>2035</v>
      </c>
      <c r="B21" s="89">
        <v>15</v>
      </c>
      <c r="C21" s="88">
        <v>0.63835970106897866</v>
      </c>
      <c r="D21" s="88">
        <v>1.0194196609012849</v>
      </c>
      <c r="E21" s="88">
        <v>13.830851601038908</v>
      </c>
      <c r="F21" s="87">
        <v>0.1</v>
      </c>
      <c r="G21" s="86">
        <v>15.213936761142801</v>
      </c>
      <c r="H21" s="85">
        <v>0.81064038086745605</v>
      </c>
    </row>
    <row r="22" spans="1:8" x14ac:dyDescent="0.2">
      <c r="A22" s="89">
        <v>2036</v>
      </c>
      <c r="B22" s="89">
        <v>16</v>
      </c>
      <c r="C22" s="88">
        <v>0.62567375799839731</v>
      </c>
      <c r="D22" s="88">
        <v>1.0331324949498273</v>
      </c>
      <c r="E22" s="88">
        <v>14.863984095988735</v>
      </c>
      <c r="F22" s="87">
        <v>0.1</v>
      </c>
      <c r="G22" s="86">
        <v>16.350382505587611</v>
      </c>
      <c r="H22" s="85">
        <v>0.83101695530386399</v>
      </c>
    </row>
    <row r="23" spans="1:8" x14ac:dyDescent="0.2">
      <c r="A23" s="89">
        <v>2037</v>
      </c>
      <c r="B23" s="89">
        <v>17</v>
      </c>
      <c r="C23" s="88">
        <v>0.61894833994618093</v>
      </c>
      <c r="D23" s="88">
        <v>1.0567761970079774</v>
      </c>
      <c r="E23" s="88">
        <v>15.920760292996713</v>
      </c>
      <c r="F23" s="87">
        <v>0.1</v>
      </c>
      <c r="G23" s="86">
        <v>17.512836322296387</v>
      </c>
      <c r="H23" s="85">
        <v>0.85329665766642104</v>
      </c>
    </row>
    <row r="24" spans="1:8" x14ac:dyDescent="0.2">
      <c r="A24" s="89">
        <v>2038</v>
      </c>
      <c r="B24" s="89">
        <v>18</v>
      </c>
      <c r="C24" s="88">
        <v>0.61107179398866485</v>
      </c>
      <c r="D24" s="88">
        <v>1.078801140190391</v>
      </c>
      <c r="E24" s="88">
        <v>16.999561433187104</v>
      </c>
      <c r="F24" s="87">
        <v>0.1</v>
      </c>
      <c r="G24" s="86">
        <v>18.699517576505816</v>
      </c>
      <c r="H24" s="85">
        <v>0.87508084147130905</v>
      </c>
    </row>
    <row r="25" spans="1:8" x14ac:dyDescent="0.2">
      <c r="A25" s="89">
        <v>2039</v>
      </c>
      <c r="B25" s="89">
        <v>19</v>
      </c>
      <c r="C25" s="88">
        <v>0.60374811403143069</v>
      </c>
      <c r="D25" s="88">
        <v>1.1021113748980613</v>
      </c>
      <c r="E25" s="88">
        <v>18.101672808085166</v>
      </c>
      <c r="F25" s="87">
        <v>0.1</v>
      </c>
      <c r="G25" s="86">
        <v>19.911840088893683</v>
      </c>
      <c r="H25" s="85">
        <v>0.897067740402681</v>
      </c>
    </row>
    <row r="26" spans="1:8" x14ac:dyDescent="0.2">
      <c r="A26" s="90">
        <v>2040</v>
      </c>
      <c r="B26" s="89">
        <v>20</v>
      </c>
      <c r="C26" s="88">
        <v>0.59154544035996659</v>
      </c>
      <c r="D26" s="88">
        <v>1.1165504413430951</v>
      </c>
      <c r="E26" s="88">
        <v>19.218223249428259</v>
      </c>
      <c r="F26" s="87">
        <v>0.1</v>
      </c>
      <c r="G26" s="86">
        <v>21.140045574371086</v>
      </c>
      <c r="H26" s="85">
        <v>0.91930355234543903</v>
      </c>
    </row>
    <row r="27" spans="1:8" x14ac:dyDescent="0.2">
      <c r="A27" s="89">
        <v>2041</v>
      </c>
      <c r="B27" s="89">
        <v>21</v>
      </c>
      <c r="C27" s="88">
        <v>0.58353612105141783</v>
      </c>
      <c r="D27" s="88">
        <v>1.1388814501699571</v>
      </c>
      <c r="E27" s="88">
        <v>20.357104699598217</v>
      </c>
      <c r="F27" s="87">
        <v>0.1</v>
      </c>
      <c r="G27" s="86">
        <v>22.392815169558041</v>
      </c>
      <c r="H27" s="85">
        <v>0.96256067436903203</v>
      </c>
    </row>
    <row r="28" spans="1:8" x14ac:dyDescent="0.2">
      <c r="A28" s="89">
        <v>2042</v>
      </c>
      <c r="B28" s="89">
        <v>22</v>
      </c>
      <c r="C28" s="88">
        <v>0.57563524513776232</v>
      </c>
      <c r="D28" s="88">
        <v>1.1616590791733563</v>
      </c>
      <c r="E28" s="88">
        <v>21.518763778771575</v>
      </c>
      <c r="F28" s="87">
        <v>0.1</v>
      </c>
      <c r="G28" s="86">
        <v>23.670640156648734</v>
      </c>
      <c r="H28" s="85">
        <v>0.98552212265613304</v>
      </c>
    </row>
    <row r="29" spans="1:8" x14ac:dyDescent="0.2">
      <c r="A29" s="89">
        <v>2043</v>
      </c>
      <c r="B29" s="89">
        <v>23</v>
      </c>
      <c r="C29" s="88">
        <v>0.56784134433318922</v>
      </c>
      <c r="D29" s="88">
        <v>1.1848922607568235</v>
      </c>
      <c r="E29" s="88">
        <v>22.703656039528397</v>
      </c>
      <c r="F29" s="87">
        <v>0.1</v>
      </c>
      <c r="G29" s="86">
        <v>24.97402164348124</v>
      </c>
      <c r="H29" s="85">
        <v>1.0086464310452701</v>
      </c>
    </row>
    <row r="30" spans="1:8" x14ac:dyDescent="0.2">
      <c r="A30" s="89">
        <v>2044</v>
      </c>
      <c r="B30" s="89">
        <v>24</v>
      </c>
      <c r="C30" s="88">
        <v>0.56015297023196597</v>
      </c>
      <c r="D30" s="88">
        <v>1.2085901059719599</v>
      </c>
      <c r="E30" s="88">
        <v>23.912246145500358</v>
      </c>
      <c r="F30" s="87">
        <v>0.1</v>
      </c>
      <c r="G30" s="86">
        <v>26.303470760050395</v>
      </c>
      <c r="H30" s="85">
        <v>1.03195880055061</v>
      </c>
    </row>
    <row r="31" spans="1:8" x14ac:dyDescent="0.2">
      <c r="A31" s="89">
        <v>2045</v>
      </c>
      <c r="B31" s="89">
        <v>25</v>
      </c>
      <c r="C31" s="88">
        <v>0.55256869403927023</v>
      </c>
      <c r="D31" s="88">
        <v>1.2327619080913992</v>
      </c>
      <c r="E31" s="88">
        <v>25.145008053591756</v>
      </c>
      <c r="F31" s="87">
        <v>0.1</v>
      </c>
      <c r="G31" s="86">
        <v>27.659508858950932</v>
      </c>
      <c r="H31" s="85">
        <v>1.0554809412422199</v>
      </c>
    </row>
    <row r="32" spans="1:8" x14ac:dyDescent="0.2">
      <c r="A32" s="89">
        <v>2046</v>
      </c>
      <c r="B32" s="89">
        <v>26</v>
      </c>
      <c r="C32" s="88">
        <v>0.54508710630566315</v>
      </c>
      <c r="D32" s="88">
        <v>1.2574171462532271</v>
      </c>
      <c r="E32" s="88">
        <v>26.402425199844984</v>
      </c>
      <c r="F32" s="87">
        <v>0.1</v>
      </c>
      <c r="G32" s="86">
        <v>29.042667719829485</v>
      </c>
      <c r="H32" s="85">
        <v>1.1026933043184499</v>
      </c>
    </row>
    <row r="33" spans="1:10" x14ac:dyDescent="0.2">
      <c r="A33" s="89">
        <v>2047</v>
      </c>
      <c r="B33" s="89">
        <v>27</v>
      </c>
      <c r="C33" s="88">
        <v>0.53770681666516085</v>
      </c>
      <c r="D33" s="88">
        <v>1.2825654891782916</v>
      </c>
      <c r="E33" s="88">
        <v>27.684990689023277</v>
      </c>
      <c r="F33" s="87">
        <v>0.1</v>
      </c>
      <c r="G33" s="86">
        <v>30.453489757925606</v>
      </c>
      <c r="H33" s="85">
        <v>1.1272110200121499</v>
      </c>
    </row>
    <row r="34" spans="1:10" x14ac:dyDescent="0.2">
      <c r="A34" s="89">
        <v>2048</v>
      </c>
      <c r="B34" s="89">
        <v>28</v>
      </c>
      <c r="C34" s="88">
        <v>0.53042645357685103</v>
      </c>
      <c r="D34" s="88">
        <v>1.3082167989618574</v>
      </c>
      <c r="E34" s="88">
        <v>28.993207487985135</v>
      </c>
      <c r="F34" s="87">
        <v>0.1</v>
      </c>
      <c r="G34" s="86">
        <v>31.892528236783651</v>
      </c>
      <c r="H34" s="85">
        <v>1.1519943575740099</v>
      </c>
    </row>
    <row r="35" spans="1:10" x14ac:dyDescent="0.2">
      <c r="A35" s="89">
        <v>2049</v>
      </c>
      <c r="B35" s="89">
        <v>29</v>
      </c>
      <c r="C35" s="88">
        <v>0.52324466407000791</v>
      </c>
      <c r="D35" s="88">
        <v>1.3343811349410946</v>
      </c>
      <c r="E35" s="88">
        <v>30.327588622926228</v>
      </c>
      <c r="F35" s="87">
        <v>0.1</v>
      </c>
      <c r="G35" s="86">
        <v>33.360347485218853</v>
      </c>
      <c r="H35" s="85">
        <v>1.1770567561259799</v>
      </c>
    </row>
    <row r="36" spans="1:10" x14ac:dyDescent="0.2">
      <c r="A36" s="90">
        <v>2050</v>
      </c>
      <c r="B36" s="89">
        <v>30</v>
      </c>
      <c r="C36" s="88">
        <v>0.51616011349265778</v>
      </c>
      <c r="D36" s="88">
        <v>1.3610687576399165</v>
      </c>
      <c r="E36" s="88">
        <v>31.688657380566145</v>
      </c>
      <c r="F36" s="87">
        <v>0.1</v>
      </c>
      <c r="G36" s="86">
        <v>34.857523118622765</v>
      </c>
      <c r="H36" s="85">
        <v>1.2024103291102399</v>
      </c>
    </row>
    <row r="37" spans="1:10" x14ac:dyDescent="0.2">
      <c r="A37" s="89">
        <v>2051</v>
      </c>
      <c r="B37" s="89">
        <v>31</v>
      </c>
      <c r="C37" s="88">
        <v>0.50917148526355016</v>
      </c>
      <c r="D37" s="88">
        <v>1.3882901327927148</v>
      </c>
      <c r="E37" s="88">
        <v>33.07694751335886</v>
      </c>
      <c r="F37" s="87">
        <v>0.1</v>
      </c>
      <c r="G37" s="86">
        <v>36.384642264694747</v>
      </c>
      <c r="H37" s="85">
        <v>1.2541951448828901</v>
      </c>
    </row>
    <row r="38" spans="1:10" x14ac:dyDescent="0.2">
      <c r="A38" s="89">
        <v>2052</v>
      </c>
      <c r="B38" s="89">
        <v>32</v>
      </c>
      <c r="C38" s="88">
        <v>0.50227748062748667</v>
      </c>
      <c r="D38" s="88">
        <v>1.4160559354485691</v>
      </c>
      <c r="E38" s="88">
        <v>34.493003448807428</v>
      </c>
      <c r="F38" s="87">
        <v>0.1</v>
      </c>
      <c r="G38" s="86">
        <v>37.942303793688176</v>
      </c>
      <c r="H38" s="85">
        <v>1.2807156499932999</v>
      </c>
    </row>
    <row r="39" spans="1:10" x14ac:dyDescent="0.2">
      <c r="A39" s="89">
        <v>2053</v>
      </c>
      <c r="B39" s="89">
        <v>33</v>
      </c>
      <c r="C39" s="88">
        <v>0.49547681841396168</v>
      </c>
      <c r="D39" s="88">
        <v>1.4443770541575405</v>
      </c>
      <c r="E39" s="88">
        <v>35.93738050296497</v>
      </c>
      <c r="F39" s="87">
        <v>0.1</v>
      </c>
      <c r="G39" s="86">
        <v>39.531118553261472</v>
      </c>
      <c r="H39" s="85">
        <v>1.30756451467569</v>
      </c>
    </row>
    <row r="40" spans="1:10" x14ac:dyDescent="0.2">
      <c r="A40" s="89">
        <v>2054</v>
      </c>
      <c r="B40" s="89">
        <v>34</v>
      </c>
      <c r="C40" s="88">
        <v>0.48876823479907244</v>
      </c>
      <c r="D40" s="88">
        <v>1.4732645952406913</v>
      </c>
      <c r="E40" s="88">
        <v>37.410645098205663</v>
      </c>
      <c r="F40" s="87">
        <v>0.1</v>
      </c>
      <c r="G40" s="86">
        <v>41.151709608026231</v>
      </c>
      <c r="H40" s="85">
        <v>1.33475052162326</v>
      </c>
      <c r="J40" s="81"/>
    </row>
    <row r="41" spans="1:10" x14ac:dyDescent="0.2">
      <c r="A41" s="89">
        <v>2055</v>
      </c>
      <c r="B41" s="89">
        <v>35</v>
      </c>
      <c r="C41" s="88">
        <v>0.48215048307065178</v>
      </c>
      <c r="D41" s="88">
        <v>1.5027298871455053</v>
      </c>
      <c r="E41" s="88">
        <v>38.913374985351169</v>
      </c>
      <c r="F41" s="87">
        <v>0.1</v>
      </c>
      <c r="G41" s="86">
        <v>42.804712483886291</v>
      </c>
      <c r="H41" s="85">
        <v>1.3622818643825101</v>
      </c>
      <c r="J41" s="81"/>
    </row>
    <row r="42" spans="1:10" x14ac:dyDescent="0.2">
      <c r="A42" s="89">
        <v>2056</v>
      </c>
      <c r="B42" s="89">
        <v>36</v>
      </c>
      <c r="C42" s="88">
        <v>0.47562233339658105</v>
      </c>
      <c r="D42" s="88">
        <v>1.5327844848884153</v>
      </c>
      <c r="E42" s="88">
        <v>40.446159470239586</v>
      </c>
      <c r="F42" s="87">
        <v>0.1</v>
      </c>
      <c r="G42" s="86">
        <v>44.490775417263549</v>
      </c>
      <c r="H42" s="85">
        <v>1.3901662306967699</v>
      </c>
      <c r="J42" s="81"/>
    </row>
    <row r="43" spans="1:10" x14ac:dyDescent="0.2">
      <c r="A43" s="89">
        <v>2057</v>
      </c>
      <c r="B43" s="89">
        <v>37</v>
      </c>
      <c r="C43" s="88">
        <v>0.46918257259624058</v>
      </c>
      <c r="D43" s="88">
        <v>1.5634401745861837</v>
      </c>
      <c r="E43" s="88">
        <v>42.009599644825769</v>
      </c>
      <c r="F43" s="87">
        <v>0.1</v>
      </c>
      <c r="G43" s="86">
        <v>46.210559609308348</v>
      </c>
      <c r="H43" s="85">
        <v>1.41841087242749</v>
      </c>
      <c r="J43" s="81"/>
    </row>
    <row r="44" spans="1:10" x14ac:dyDescent="0.2">
      <c r="A44" s="89">
        <v>2058</v>
      </c>
      <c r="B44" s="89">
        <v>38</v>
      </c>
      <c r="C44" s="88">
        <v>0.46283000391505358</v>
      </c>
      <c r="D44" s="88">
        <v>1.5947089780779073</v>
      </c>
      <c r="E44" s="88">
        <v>43.604308622903673</v>
      </c>
      <c r="F44" s="87">
        <v>0.1</v>
      </c>
      <c r="G44" s="86">
        <v>47.964739485194045</v>
      </c>
      <c r="H44" s="85">
        <v>1.4470226645295901</v>
      </c>
      <c r="J44" s="81"/>
    </row>
    <row r="45" spans="1:10" x14ac:dyDescent="0.2">
      <c r="A45" s="89">
        <v>2059</v>
      </c>
      <c r="B45" s="89">
        <v>39</v>
      </c>
      <c r="C45" s="88">
        <v>0.45656344680208383</v>
      </c>
      <c r="D45" s="88">
        <v>1.6266031576394655</v>
      </c>
      <c r="E45" s="88">
        <v>45.230911780543138</v>
      </c>
      <c r="F45" s="87">
        <v>0.1</v>
      </c>
      <c r="G45" s="86">
        <v>49.754002958597454</v>
      </c>
      <c r="H45" s="85">
        <v>1.4760081550492099</v>
      </c>
      <c r="J45" s="81"/>
    </row>
    <row r="46" spans="1:10" x14ac:dyDescent="0.2">
      <c r="A46" s="90">
        <v>2060</v>
      </c>
      <c r="B46" s="89">
        <v>40</v>
      </c>
      <c r="C46" s="88">
        <v>0.45038173669064363</v>
      </c>
      <c r="D46" s="88">
        <v>1.6591352207922549</v>
      </c>
      <c r="E46" s="88">
        <v>46.890047001335397</v>
      </c>
      <c r="F46" s="87">
        <v>0.1</v>
      </c>
      <c r="G46" s="86">
        <v>51.579051701468941</v>
      </c>
      <c r="H46" s="85">
        <v>1.5053736077183399</v>
      </c>
      <c r="J46" s="81"/>
    </row>
    <row r="47" spans="1:10" x14ac:dyDescent="0.2">
      <c r="A47" s="89">
        <v>2061</v>
      </c>
      <c r="B47" s="89">
        <v>41</v>
      </c>
      <c r="C47" s="88">
        <v>0.44428372478187284</v>
      </c>
      <c r="D47" s="88">
        <v>1.6923179252081</v>
      </c>
      <c r="E47" s="88">
        <v>48.582364926543498</v>
      </c>
      <c r="F47" s="87">
        <v>0.1</v>
      </c>
      <c r="G47" s="86">
        <v>53.440601419197854</v>
      </c>
      <c r="H47" s="85">
        <v>1.53512503841349</v>
      </c>
      <c r="J47" s="81"/>
    </row>
    <row r="48" spans="1:10" x14ac:dyDescent="0.2">
      <c r="A48" s="89">
        <v>2062</v>
      </c>
      <c r="B48" s="89">
        <v>42</v>
      </c>
      <c r="C48" s="88">
        <v>0.43826827783124789</v>
      </c>
      <c r="D48" s="88">
        <v>1.7261642837122619</v>
      </c>
      <c r="E48" s="88">
        <v>50.308529210255763</v>
      </c>
      <c r="F48" s="87">
        <v>0.1</v>
      </c>
      <c r="G48" s="86">
        <v>55.339382131281347</v>
      </c>
      <c r="H48" s="85">
        <v>1.5652682465040999</v>
      </c>
      <c r="J48" s="81"/>
    </row>
    <row r="49" spans="1:10" x14ac:dyDescent="0.2">
      <c r="A49" s="89">
        <v>2063</v>
      </c>
      <c r="B49" s="89">
        <v>43</v>
      </c>
      <c r="C49" s="88">
        <v>0.43233427793798146</v>
      </c>
      <c r="D49" s="88">
        <v>1.7606875693865072</v>
      </c>
      <c r="E49" s="88">
        <v>52.069216779642268</v>
      </c>
      <c r="F49" s="87">
        <v>0.1</v>
      </c>
      <c r="G49" s="86">
        <v>57.2761384576065</v>
      </c>
      <c r="H49" s="85">
        <v>1.5958088419255401</v>
      </c>
      <c r="J49" s="81"/>
    </row>
    <row r="50" spans="1:10" x14ac:dyDescent="0.2">
      <c r="A50" s="89">
        <v>2064</v>
      </c>
      <c r="B50" s="89">
        <v>44</v>
      </c>
      <c r="C50" s="88">
        <v>0.42648062233727368</v>
      </c>
      <c r="D50" s="88">
        <v>1.7959013207742374</v>
      </c>
      <c r="E50" s="88">
        <v>53.865118100416503</v>
      </c>
      <c r="F50" s="87">
        <v>0.1</v>
      </c>
      <c r="G50" s="86">
        <v>59.251629910458156</v>
      </c>
      <c r="H50" s="85">
        <v>1.62675226865943</v>
      </c>
      <c r="J50" s="81"/>
    </row>
    <row r="51" spans="1:10" x14ac:dyDescent="0.2">
      <c r="A51" s="89">
        <v>2065</v>
      </c>
      <c r="B51" s="89">
        <v>45</v>
      </c>
      <c r="C51" s="88">
        <v>0.42070622319537654</v>
      </c>
      <c r="D51" s="88">
        <v>1.8318193471897222</v>
      </c>
      <c r="E51" s="88">
        <v>55.696937447606224</v>
      </c>
      <c r="F51" s="87">
        <v>0.1</v>
      </c>
      <c r="G51" s="86">
        <v>61.266631192366852</v>
      </c>
      <c r="H51" s="85">
        <v>1.65810382518273</v>
      </c>
      <c r="J51" s="81"/>
    </row>
    <row r="52" spans="1:10" x14ac:dyDescent="0.2">
      <c r="J52" s="81"/>
    </row>
    <row r="53" spans="1:10" x14ac:dyDescent="0.2">
      <c r="A53" s="84" t="s">
        <v>178</v>
      </c>
      <c r="E53" s="83">
        <v>3.4000000000000002E-2</v>
      </c>
      <c r="F53" s="83"/>
      <c r="G53" s="83"/>
      <c r="H53" s="83"/>
      <c r="J53" s="81"/>
    </row>
    <row r="54" spans="1:10" x14ac:dyDescent="0.2">
      <c r="C54" s="77" t="s">
        <v>179</v>
      </c>
      <c r="E54" s="82">
        <v>3.4000000000000002E-2</v>
      </c>
      <c r="J54" s="81"/>
    </row>
    <row r="55" spans="1:10" x14ac:dyDescent="0.2">
      <c r="C55" s="77" t="s">
        <v>180</v>
      </c>
      <c r="E55" s="80">
        <v>4.1700000000000001E-2</v>
      </c>
    </row>
    <row r="56" spans="1:10" x14ac:dyDescent="0.2">
      <c r="C56" s="77" t="s">
        <v>181</v>
      </c>
      <c r="E56" s="79">
        <v>0.02</v>
      </c>
      <c r="F56" s="78" t="s">
        <v>182</v>
      </c>
      <c r="G56" s="78"/>
      <c r="H56" s="78"/>
    </row>
  </sheetData>
  <mergeCells count="4">
    <mergeCell ref="A1:I1"/>
    <mergeCell ref="A2:I2"/>
    <mergeCell ref="A3:I3"/>
    <mergeCell ref="A4:I4"/>
  </mergeCells>
  <pageMargins left="0.75" right="0.75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C9CC07A93E8F408AFF0ECAED90C02A" ma:contentTypeVersion="44" ma:contentTypeDescription="" ma:contentTypeScope="" ma:versionID="7fee11da47926caa4f923d3d4737414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2021-11-01T07:00:00+00:00</OpenedDate>
    <SignificantOrder xmlns="dc463f71-b30c-4ab2-9473-d307f9d35888">false</SignificantOrder>
    <Date1 xmlns="dc463f71-b30c-4ab2-9473-d307f9d35888">2023-06-15T07:00:00+00:00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210838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675B552-32FA-4A86-97DA-2C5251C8A339}"/>
</file>

<file path=customXml/itemProps2.xml><?xml version="1.0" encoding="utf-8"?>
<ds:datastoreItem xmlns:ds="http://schemas.openxmlformats.org/officeDocument/2006/customXml" ds:itemID="{5203E439-C49A-4A35-AFBD-2D9A281948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764DEF-AB90-4ECD-8004-105E772316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9570E5-2E56-489B-9159-6311C2522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FIRST YEAR</vt:lpstr>
      <vt:lpstr>APP 2885</vt:lpstr>
      <vt:lpstr>AC</vt:lpstr>
      <vt:lpstr>'TOTAL FIRST YEAR'!Print_Area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Storvick, Jon</dc:creator>
  <cp:keywords/>
  <dc:description/>
  <cp:lastModifiedBy>Booth, Avery (UTC)</cp:lastModifiedBy>
  <cp:revision/>
  <dcterms:created xsi:type="dcterms:W3CDTF">2023-05-03T21:54:20Z</dcterms:created>
  <dcterms:modified xsi:type="dcterms:W3CDTF">2023-06-15T15:32:21Z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0x0101006E56B4D1795A2E4DB2F0B01679ED314A00F2C9CC07A93E8F408AFF0ECAED90C02A</vt:lpwstr>
  </property>
  <property fmtid="{D5CDD505-2E9C-101B-9397-08002B2CF9AE}" pid="3" name="_docset_NoMedatataSyncRequired">
    <vt:lpwstr>False</vt:lpwstr>
  </property>
</Properties>
</file>