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-60" yWindow="288" windowWidth="19320" windowHeight="7872" tabRatio="964"/>
  </bookViews>
  <sheets>
    <sheet name="Lead E" sheetId="78" r:id="rId1"/>
    <sheet name="Lead G" sheetId="79" r:id="rId2"/>
    <sheet name="Summary Prop &amp; Liab Ins" sheetId="90" r:id="rId3"/>
    <sheet name="SAP Download" sheetId="40" r:id="rId4"/>
    <sheet name="Liability Ins - RY" sheetId="18" r:id="rId5"/>
    <sheet name="Proposal" sheetId="50" r:id="rId6"/>
    <sheet name="Prop Ins - RYupdated" sheetId="83" r:id="rId7"/>
    <sheet name=".Rates - Updated" sheetId="80" r:id="rId8"/>
    <sheet name="Freddy1 Ins 2018" sheetId="74" r:id="rId9"/>
    <sheet name="Freddy 1 Ins 2019" sheetId="82" r:id="rId10"/>
    <sheet name="Colstrip Ins " sheetId="52" r:id="rId11"/>
    <sheet name="Calculation" sheetId="91" r:id="rId12"/>
    <sheet name="Pro Forma&gt;&gt;" sheetId="85" r:id="rId13"/>
    <sheet name="Prop Ins - RYupdated (2)" sheetId="86" r:id="rId14"/>
    <sheet name="Liability Ins - RY (2)" sheetId="89" r:id="rId15"/>
    <sheet name="Rates - Updated" sheetId="87" r:id="rId16"/>
    <sheet name="Amortiz" sheetId="88" r:id="rId17"/>
    <sheet name="Colstrip 1&amp;2 2018 " sheetId="75" r:id="rId18"/>
    <sheet name="Colstrip 3&amp;4 2018" sheetId="76" r:id="rId19"/>
  </sheets>
  <calcPr calcId="162913"/>
</workbook>
</file>

<file path=xl/calcChain.xml><?xml version="1.0" encoding="utf-8"?>
<calcChain xmlns="http://schemas.openxmlformats.org/spreadsheetml/2006/main">
  <c r="M4" i="88" l="1"/>
  <c r="B4" i="50"/>
  <c r="C5" i="50"/>
  <c r="C6" i="50"/>
  <c r="C7" i="50"/>
  <c r="B8" i="50"/>
  <c r="D8" i="50" s="1"/>
  <c r="E8" i="50" s="1"/>
  <c r="C8" i="50"/>
  <c r="D10" i="50"/>
  <c r="B12" i="50"/>
  <c r="C12" i="50"/>
  <c r="C14" i="50" s="1"/>
  <c r="C16" i="50" s="1"/>
  <c r="C13" i="50"/>
  <c r="C15" i="50"/>
  <c r="D15" i="50"/>
  <c r="B18" i="50"/>
  <c r="B19" i="50"/>
  <c r="D19" i="50" s="1"/>
  <c r="E19" i="50" s="1"/>
  <c r="D12" i="50" l="1"/>
  <c r="E12" i="50"/>
  <c r="B20" i="50"/>
  <c r="D28" i="40"/>
  <c r="B13" i="50" s="1"/>
  <c r="D13" i="50" s="1"/>
  <c r="E13" i="50" s="1"/>
  <c r="B27" i="40"/>
  <c r="B28" i="40"/>
  <c r="B29" i="40"/>
  <c r="B30" i="40"/>
  <c r="E14" i="50" l="1"/>
  <c r="B14" i="50"/>
  <c r="D14" i="50"/>
  <c r="D16" i="50" s="1"/>
  <c r="F19" i="89" l="1"/>
  <c r="D35" i="89"/>
  <c r="F35" i="89" s="1"/>
  <c r="D33" i="89"/>
  <c r="F33" i="89" s="1"/>
  <c r="D23" i="89"/>
  <c r="D21" i="89"/>
  <c r="D19" i="89"/>
  <c r="B21" i="75"/>
  <c r="R27" i="90" l="1"/>
  <c r="R39" i="90"/>
  <c r="R38" i="90"/>
  <c r="R35" i="90"/>
  <c r="R34" i="90"/>
  <c r="E43" i="86" l="1"/>
  <c r="E12" i="86"/>
  <c r="E8" i="86"/>
  <c r="E7" i="86"/>
  <c r="B18" i="91"/>
  <c r="X39" i="90"/>
  <c r="X38" i="90"/>
  <c r="X11" i="90"/>
  <c r="X12" i="90"/>
  <c r="X10" i="90"/>
  <c r="W9" i="90"/>
  <c r="J39" i="90"/>
  <c r="J38" i="90"/>
  <c r="J35" i="90"/>
  <c r="J34" i="90"/>
  <c r="J27" i="90"/>
  <c r="X40" i="90" l="1"/>
  <c r="T40" i="90"/>
  <c r="L40" i="90"/>
  <c r="H40" i="90"/>
  <c r="S39" i="90"/>
  <c r="P39" i="90"/>
  <c r="P40" i="90" s="1"/>
  <c r="V39" i="90"/>
  <c r="P38" i="90"/>
  <c r="R36" i="90"/>
  <c r="F28" i="90"/>
  <c r="V27" i="90"/>
  <c r="E27" i="90"/>
  <c r="K21" i="90"/>
  <c r="P12" i="90"/>
  <c r="P11" i="90"/>
  <c r="P10" i="90"/>
  <c r="O9" i="90"/>
  <c r="H66" i="89"/>
  <c r="D62" i="89"/>
  <c r="F59" i="89"/>
  <c r="F54" i="89"/>
  <c r="F53" i="89"/>
  <c r="F52" i="89"/>
  <c r="F51" i="89"/>
  <c r="F50" i="89"/>
  <c r="F48" i="89"/>
  <c r="F47" i="89"/>
  <c r="F46" i="89"/>
  <c r="F45" i="89"/>
  <c r="F40" i="89"/>
  <c r="F39" i="89"/>
  <c r="F38" i="89"/>
  <c r="H36" i="89"/>
  <c r="H35" i="89"/>
  <c r="H34" i="89"/>
  <c r="H33" i="89"/>
  <c r="H32" i="89"/>
  <c r="F30" i="89"/>
  <c r="H30" i="89" s="1"/>
  <c r="F28" i="89"/>
  <c r="H28" i="89" s="1"/>
  <c r="H22" i="89"/>
  <c r="H20" i="89"/>
  <c r="H19" i="89"/>
  <c r="H18" i="89"/>
  <c r="F16" i="89"/>
  <c r="H16" i="89" s="1"/>
  <c r="F14" i="89"/>
  <c r="H14" i="89" s="1"/>
  <c r="F12" i="89"/>
  <c r="G12" i="89" s="1"/>
  <c r="E13" i="89"/>
  <c r="L10" i="88"/>
  <c r="R12" i="90" s="1"/>
  <c r="S12" i="90" s="1"/>
  <c r="L9" i="88"/>
  <c r="L8" i="88"/>
  <c r="R11" i="90" s="1"/>
  <c r="S11" i="90" s="1"/>
  <c r="L16" i="88"/>
  <c r="D9" i="88"/>
  <c r="E9" i="88" s="1"/>
  <c r="L11" i="88"/>
  <c r="D8" i="88"/>
  <c r="E8" i="88" s="1"/>
  <c r="D7" i="88"/>
  <c r="E7" i="88" s="1"/>
  <c r="D51" i="86"/>
  <c r="E47" i="86"/>
  <c r="D41" i="86"/>
  <c r="D44" i="86" s="1"/>
  <c r="C41" i="86"/>
  <c r="C44" i="86" s="1"/>
  <c r="E40" i="86"/>
  <c r="E39" i="86"/>
  <c r="E38" i="86"/>
  <c r="E37" i="86"/>
  <c r="E36" i="86"/>
  <c r="E35" i="86"/>
  <c r="E34" i="86"/>
  <c r="E33" i="86"/>
  <c r="E32" i="86"/>
  <c r="E31" i="86"/>
  <c r="E30" i="86"/>
  <c r="E29" i="86"/>
  <c r="E28" i="86"/>
  <c r="E25" i="86"/>
  <c r="E24" i="86"/>
  <c r="E23" i="86"/>
  <c r="E22" i="86"/>
  <c r="E19" i="86"/>
  <c r="E18" i="86"/>
  <c r="E17" i="86"/>
  <c r="D7" i="86"/>
  <c r="C7" i="86"/>
  <c r="C12" i="86" s="1"/>
  <c r="H12" i="89" l="1"/>
  <c r="G30" i="89"/>
  <c r="E41" i="86"/>
  <c r="E44" i="86" s="1"/>
  <c r="G12" i="91" s="1"/>
  <c r="G21" i="91" s="1"/>
  <c r="K39" i="90"/>
  <c r="W39" i="90" s="1"/>
  <c r="G22" i="89"/>
  <c r="L21" i="90"/>
  <c r="T21" i="90" s="1"/>
  <c r="T27" i="90" s="1"/>
  <c r="G14" i="89"/>
  <c r="G33" i="89"/>
  <c r="G35" i="89"/>
  <c r="J28" i="90"/>
  <c r="N28" i="90" s="1"/>
  <c r="G28" i="89"/>
  <c r="G32" i="89"/>
  <c r="G34" i="89"/>
  <c r="G36" i="89"/>
  <c r="J36" i="90"/>
  <c r="V34" i="90"/>
  <c r="V38" i="90"/>
  <c r="V40" i="90" s="1"/>
  <c r="S38" i="90"/>
  <c r="R40" i="90"/>
  <c r="S21" i="90"/>
  <c r="S27" i="90" s="1"/>
  <c r="K27" i="90"/>
  <c r="J40" i="90"/>
  <c r="V35" i="90"/>
  <c r="K38" i="90"/>
  <c r="H28" i="90"/>
  <c r="D20" i="88"/>
  <c r="D26" i="88"/>
  <c r="D19" i="88"/>
  <c r="D25" i="88"/>
  <c r="D18" i="88"/>
  <c r="D17" i="88"/>
  <c r="D16" i="88"/>
  <c r="D15" i="88"/>
  <c r="D24" i="88"/>
  <c r="D23" i="88"/>
  <c r="D22" i="88"/>
  <c r="D21" i="88"/>
  <c r="F25" i="88"/>
  <c r="F18" i="88"/>
  <c r="F17" i="88"/>
  <c r="F16" i="88"/>
  <c r="F15" i="88"/>
  <c r="F24" i="88"/>
  <c r="F23" i="88"/>
  <c r="F22" i="88"/>
  <c r="F21" i="88"/>
  <c r="F20" i="88"/>
  <c r="F26" i="88"/>
  <c r="F19" i="88"/>
  <c r="M45" i="87"/>
  <c r="F13" i="89"/>
  <c r="E15" i="89"/>
  <c r="E26" i="88"/>
  <c r="E19" i="88"/>
  <c r="E25" i="88"/>
  <c r="E18" i="88"/>
  <c r="E17" i="88"/>
  <c r="E16" i="88"/>
  <c r="E15" i="88"/>
  <c r="E24" i="88"/>
  <c r="E23" i="88"/>
  <c r="E22" i="88"/>
  <c r="E21" i="88"/>
  <c r="E20" i="88"/>
  <c r="D6" i="88"/>
  <c r="E6" i="88" s="1"/>
  <c r="F11" i="89"/>
  <c r="G18" i="89"/>
  <c r="G20" i="89"/>
  <c r="E50" i="86"/>
  <c r="E51" i="86" s="1"/>
  <c r="G11" i="91" s="1"/>
  <c r="G29" i="91" s="1"/>
  <c r="G16" i="89"/>
  <c r="G19" i="89"/>
  <c r="C16" i="88" l="1"/>
  <c r="C24" i="88"/>
  <c r="C22" i="88"/>
  <c r="C23" i="88"/>
  <c r="G23" i="88" s="1"/>
  <c r="C17" i="88"/>
  <c r="G17" i="88" s="1"/>
  <c r="C25" i="88"/>
  <c r="C18" i="88"/>
  <c r="G18" i="88" s="1"/>
  <c r="C26" i="88"/>
  <c r="G26" i="88" s="1"/>
  <c r="C19" i="88"/>
  <c r="C15" i="88"/>
  <c r="C21" i="88"/>
  <c r="C20" i="88"/>
  <c r="G20" i="88" s="1"/>
  <c r="J29" i="90"/>
  <c r="J42" i="90" s="1"/>
  <c r="F27" i="88"/>
  <c r="L15" i="88" s="1"/>
  <c r="L17" i="88" s="1"/>
  <c r="R9" i="90" s="1"/>
  <c r="G24" i="88"/>
  <c r="K28" i="90"/>
  <c r="L28" i="90" s="1"/>
  <c r="P28" i="90" s="1"/>
  <c r="T28" i="90" s="1"/>
  <c r="X28" i="90" s="1"/>
  <c r="R28" i="90"/>
  <c r="R29" i="90" s="1"/>
  <c r="G8" i="91"/>
  <c r="G13" i="91" s="1"/>
  <c r="L27" i="90"/>
  <c r="X27" i="90" s="1"/>
  <c r="O28" i="90"/>
  <c r="S28" i="90" s="1"/>
  <c r="W28" i="90" s="1"/>
  <c r="W27" i="90"/>
  <c r="S40" i="90"/>
  <c r="W38" i="90"/>
  <c r="W40" i="90" s="1"/>
  <c r="K40" i="90"/>
  <c r="V36" i="90"/>
  <c r="H11" i="89"/>
  <c r="G11" i="89"/>
  <c r="H13" i="89"/>
  <c r="G13" i="89"/>
  <c r="G25" i="88"/>
  <c r="D10" i="88"/>
  <c r="E27" i="88"/>
  <c r="L7" i="88" s="1"/>
  <c r="R10" i="90" s="1"/>
  <c r="S10" i="90" s="1"/>
  <c r="G22" i="88"/>
  <c r="G16" i="88"/>
  <c r="G19" i="88"/>
  <c r="E53" i="86"/>
  <c r="F15" i="89"/>
  <c r="E17" i="89"/>
  <c r="G21" i="88"/>
  <c r="D27" i="88"/>
  <c r="L21" i="88" s="1"/>
  <c r="R13" i="90" s="1"/>
  <c r="V29" i="90" l="1"/>
  <c r="V42" i="90" s="1"/>
  <c r="K29" i="90"/>
  <c r="V28" i="90"/>
  <c r="R42" i="90"/>
  <c r="G16" i="91"/>
  <c r="G17" i="91"/>
  <c r="G31" i="91" s="1"/>
  <c r="G33" i="91" s="1"/>
  <c r="T9" i="90"/>
  <c r="T29" i="90"/>
  <c r="S29" i="90"/>
  <c r="L29" i="90"/>
  <c r="G15" i="89"/>
  <c r="H15" i="89"/>
  <c r="L12" i="88"/>
  <c r="E21" i="89"/>
  <c r="F21" i="89" s="1"/>
  <c r="F17" i="89"/>
  <c r="G17" i="89" s="1"/>
  <c r="E10" i="88"/>
  <c r="W29" i="90" l="1"/>
  <c r="H21" i="89"/>
  <c r="G21" i="89"/>
  <c r="G18" i="91"/>
  <c r="G23" i="91"/>
  <c r="G25" i="91" s="1"/>
  <c r="X29" i="90"/>
  <c r="C27" i="88"/>
  <c r="L22" i="88" s="1"/>
  <c r="R14" i="90" s="1"/>
  <c r="G15" i="88"/>
  <c r="G27" i="88" s="1"/>
  <c r="H14" i="88" s="1"/>
  <c r="H15" i="88" s="1"/>
  <c r="H16" i="88" s="1"/>
  <c r="H17" i="88" s="1"/>
  <c r="H18" i="88" s="1"/>
  <c r="H19" i="88" s="1"/>
  <c r="H20" i="88" s="1"/>
  <c r="H21" i="88" s="1"/>
  <c r="H22" i="88" s="1"/>
  <c r="H23" i="88" s="1"/>
  <c r="H24" i="88" s="1"/>
  <c r="H25" i="88" s="1"/>
  <c r="H26" i="88" s="1"/>
  <c r="E23" i="89"/>
  <c r="F23" i="89" s="1"/>
  <c r="E25" i="89"/>
  <c r="H17" i="89"/>
  <c r="C41" i="83"/>
  <c r="C44" i="83" s="1"/>
  <c r="C7" i="83"/>
  <c r="C12" i="83" s="1"/>
  <c r="H23" i="89" l="1"/>
  <c r="G23" i="89"/>
  <c r="R16" i="90"/>
  <c r="E27" i="89"/>
  <c r="F25" i="89"/>
  <c r="L23" i="88"/>
  <c r="L26" i="88" s="1"/>
  <c r="D7" i="83"/>
  <c r="H25" i="89" l="1"/>
  <c r="G25" i="89"/>
  <c r="E29" i="89"/>
  <c r="F29" i="89" s="1"/>
  <c r="E31" i="89"/>
  <c r="F27" i="89"/>
  <c r="D8" i="83"/>
  <c r="D12" i="83" l="1"/>
  <c r="D8" i="86"/>
  <c r="D12" i="86" s="1"/>
  <c r="D53" i="86" s="1"/>
  <c r="E37" i="89"/>
  <c r="H29" i="89"/>
  <c r="G29" i="89"/>
  <c r="H27" i="89"/>
  <c r="G27" i="89"/>
  <c r="B26" i="40" l="1"/>
  <c r="B24" i="50"/>
  <c r="E24" i="50"/>
  <c r="D8" i="91"/>
  <c r="E41" i="89"/>
  <c r="F41" i="89" s="1"/>
  <c r="F37" i="89"/>
  <c r="H37" i="89" l="1"/>
  <c r="G37" i="89"/>
  <c r="F62" i="89"/>
  <c r="D51" i="83"/>
  <c r="D41" i="83"/>
  <c r="B15" i="50" l="1"/>
  <c r="B16" i="50" s="1"/>
  <c r="E15" i="50"/>
  <c r="E16" i="50" s="1"/>
  <c r="D11" i="91"/>
  <c r="D44" i="83"/>
  <c r="C10" i="50"/>
  <c r="C4" i="50"/>
  <c r="D4" i="50" l="1"/>
  <c r="C9" i="50"/>
  <c r="B10" i="50"/>
  <c r="E10" i="50"/>
  <c r="D12" i="91"/>
  <c r="D21" i="91" s="1"/>
  <c r="D29" i="91"/>
  <c r="D13" i="91"/>
  <c r="Q5" i="74"/>
  <c r="R5" i="74"/>
  <c r="S5" i="74"/>
  <c r="C11" i="50" l="1"/>
  <c r="D16" i="91"/>
  <c r="D17" i="91"/>
  <c r="D31" i="91" s="1"/>
  <c r="D33" i="91" s="1"/>
  <c r="E4" i="50"/>
  <c r="P6" i="76"/>
  <c r="P5" i="76"/>
  <c r="P5" i="75"/>
  <c r="D18" i="91" l="1"/>
  <c r="D23" i="91"/>
  <c r="D25" i="91" s="1"/>
  <c r="P7" i="76"/>
  <c r="P6" i="75"/>
  <c r="P7" i="75" s="1"/>
  <c r="M27" i="75" s="1"/>
  <c r="M28" i="75" s="1"/>
  <c r="N27" i="75" l="1"/>
  <c r="N28" i="75" s="1"/>
  <c r="M16" i="82" l="1"/>
  <c r="M18" i="82" s="1"/>
  <c r="L16" i="82"/>
  <c r="L18" i="82" s="1"/>
  <c r="K16" i="82"/>
  <c r="K18" i="82" s="1"/>
  <c r="J16" i="82"/>
  <c r="J18" i="82" s="1"/>
  <c r="I16" i="82"/>
  <c r="I18" i="82" s="1"/>
  <c r="H16" i="82"/>
  <c r="H18" i="82" s="1"/>
  <c r="G16" i="82"/>
  <c r="G18" i="82" s="1"/>
  <c r="F16" i="82"/>
  <c r="F18" i="82" s="1"/>
  <c r="E16" i="82"/>
  <c r="E18" i="82" s="1"/>
  <c r="D16" i="82"/>
  <c r="D18" i="82" s="1"/>
  <c r="C16" i="82"/>
  <c r="C18" i="82" s="1"/>
  <c r="B16" i="82"/>
  <c r="M14" i="82"/>
  <c r="L14" i="82"/>
  <c r="K14" i="82"/>
  <c r="J14" i="82"/>
  <c r="I14" i="82"/>
  <c r="H14" i="82"/>
  <c r="G14" i="82"/>
  <c r="F14" i="82"/>
  <c r="E14" i="82"/>
  <c r="D14" i="82"/>
  <c r="C14" i="82"/>
  <c r="B14" i="82"/>
  <c r="N13" i="82"/>
  <c r="N12" i="82"/>
  <c r="N11" i="82"/>
  <c r="N10" i="82"/>
  <c r="N9" i="82"/>
  <c r="N8" i="82"/>
  <c r="N14" i="82" s="1"/>
  <c r="O14" i="82" s="1"/>
  <c r="N5" i="82"/>
  <c r="O5" i="82" s="1"/>
  <c r="D4" i="82"/>
  <c r="E4" i="82" s="1"/>
  <c r="F4" i="82" s="1"/>
  <c r="G4" i="82" s="1"/>
  <c r="H4" i="82" s="1"/>
  <c r="I4" i="82" s="1"/>
  <c r="J4" i="82" s="1"/>
  <c r="K4" i="82" s="1"/>
  <c r="L4" i="82" s="1"/>
  <c r="M4" i="82" s="1"/>
  <c r="N16" i="82" l="1"/>
  <c r="Q5" i="82"/>
  <c r="R5" i="82" s="1"/>
  <c r="F24" i="82"/>
  <c r="G24" i="82" s="1"/>
  <c r="O16" i="82"/>
  <c r="B18" i="82"/>
  <c r="N18" i="82" s="1"/>
  <c r="G10" i="40" l="1"/>
  <c r="F10" i="40"/>
  <c r="M10" i="40"/>
  <c r="F31" i="18" l="1"/>
  <c r="F29" i="18"/>
  <c r="F27" i="18"/>
  <c r="F25" i="18"/>
  <c r="F23" i="18"/>
  <c r="F21" i="18"/>
  <c r="F19" i="18"/>
  <c r="A11" i="79" l="1"/>
  <c r="A12" i="79" s="1"/>
  <c r="A13" i="79" s="1"/>
  <c r="A14" i="79" s="1"/>
  <c r="A15" i="79" s="1"/>
  <c r="A11" i="78"/>
  <c r="A12" i="78" s="1"/>
  <c r="A13" i="78" s="1"/>
  <c r="A14" i="78" s="1"/>
  <c r="A15" i="78" s="1"/>
  <c r="K11" i="88" l="1"/>
  <c r="M11" i="88" s="1"/>
  <c r="D56" i="52" l="1"/>
  <c r="D55" i="52"/>
  <c r="D54" i="52"/>
  <c r="D47" i="52"/>
  <c r="D46" i="52"/>
  <c r="B21" i="76"/>
  <c r="C21" i="76"/>
  <c r="E21" i="76"/>
  <c r="D49" i="52" s="1"/>
  <c r="G21" i="76"/>
  <c r="D51" i="52" s="1"/>
  <c r="I21" i="76"/>
  <c r="D53" i="52" s="1"/>
  <c r="J21" i="76"/>
  <c r="K21" i="76"/>
  <c r="L21" i="76"/>
  <c r="M21" i="76"/>
  <c r="D57" i="52" s="1"/>
  <c r="C46" i="52"/>
  <c r="C21" i="75"/>
  <c r="C47" i="52" s="1"/>
  <c r="D21" i="75"/>
  <c r="C48" i="52" s="1"/>
  <c r="E21" i="75"/>
  <c r="C49" i="52" s="1"/>
  <c r="G21" i="75"/>
  <c r="C51" i="52" s="1"/>
  <c r="I21" i="75"/>
  <c r="C53" i="52" s="1"/>
  <c r="J21" i="75"/>
  <c r="C54" i="52" s="1"/>
  <c r="K21" i="75"/>
  <c r="C55" i="52" s="1"/>
  <c r="L21" i="75"/>
  <c r="C56" i="52" s="1"/>
  <c r="M21" i="75"/>
  <c r="C57" i="52" s="1"/>
  <c r="E20" i="40" l="1"/>
  <c r="M19" i="76" l="1"/>
  <c r="J19" i="76"/>
  <c r="E19" i="76"/>
  <c r="M17" i="76"/>
  <c r="L17" i="76"/>
  <c r="L19" i="76" s="1"/>
  <c r="K17" i="76"/>
  <c r="K19" i="76" s="1"/>
  <c r="J17" i="76"/>
  <c r="G17" i="76"/>
  <c r="G19" i="76" s="1"/>
  <c r="E17" i="76"/>
  <c r="D17" i="76"/>
  <c r="D19" i="76" s="1"/>
  <c r="C17" i="76"/>
  <c r="C19" i="76" s="1"/>
  <c r="B17" i="76"/>
  <c r="B19" i="76" s="1"/>
  <c r="N16" i="76"/>
  <c r="O16" i="76" s="1"/>
  <c r="D15" i="76"/>
  <c r="N14" i="76"/>
  <c r="O14" i="76" s="1"/>
  <c r="N13" i="76"/>
  <c r="O13" i="76" s="1"/>
  <c r="F12" i="76"/>
  <c r="N12" i="76" s="1"/>
  <c r="O12" i="76" s="1"/>
  <c r="N11" i="76"/>
  <c r="O11" i="76" s="1"/>
  <c r="N10" i="76"/>
  <c r="O10" i="76" s="1"/>
  <c r="F9" i="76"/>
  <c r="H8" i="76"/>
  <c r="I5" i="76"/>
  <c r="N5" i="76" s="1"/>
  <c r="J19" i="75"/>
  <c r="M17" i="75"/>
  <c r="M19" i="75" s="1"/>
  <c r="L17" i="75"/>
  <c r="L19" i="75" s="1"/>
  <c r="K17" i="75"/>
  <c r="K19" i="75" s="1"/>
  <c r="J17" i="75"/>
  <c r="G17" i="75"/>
  <c r="G19" i="75" s="1"/>
  <c r="E17" i="75"/>
  <c r="E19" i="75" s="1"/>
  <c r="D17" i="75"/>
  <c r="D19" i="75" s="1"/>
  <c r="C17" i="75"/>
  <c r="C19" i="75" s="1"/>
  <c r="B17" i="75"/>
  <c r="B19" i="75" s="1"/>
  <c r="N16" i="75"/>
  <c r="O16" i="75" s="1"/>
  <c r="N15" i="75"/>
  <c r="O15" i="75" s="1"/>
  <c r="N14" i="75"/>
  <c r="O14" i="75" s="1"/>
  <c r="N13" i="75"/>
  <c r="O13" i="75" s="1"/>
  <c r="F12" i="75"/>
  <c r="N12" i="75" s="1"/>
  <c r="O12" i="75" s="1"/>
  <c r="N11" i="75"/>
  <c r="O11" i="75" s="1"/>
  <c r="N10" i="75"/>
  <c r="O10" i="75" s="1"/>
  <c r="F9" i="75"/>
  <c r="H8" i="75"/>
  <c r="I5" i="75"/>
  <c r="N5" i="75" s="1"/>
  <c r="N22" i="74"/>
  <c r="N17" i="74"/>
  <c r="M16" i="74"/>
  <c r="M18" i="74" s="1"/>
  <c r="L16" i="74"/>
  <c r="L20" i="74" s="1"/>
  <c r="L24" i="74" s="1"/>
  <c r="M14" i="74"/>
  <c r="L14" i="74"/>
  <c r="K14" i="74"/>
  <c r="J14" i="74"/>
  <c r="I14" i="74"/>
  <c r="H14" i="74"/>
  <c r="F14" i="74"/>
  <c r="E14" i="74"/>
  <c r="D14" i="74"/>
  <c r="C14" i="74"/>
  <c r="B14" i="74"/>
  <c r="N13" i="74"/>
  <c r="N12" i="74"/>
  <c r="N11" i="74"/>
  <c r="N10" i="74"/>
  <c r="G9" i="74"/>
  <c r="N9" i="74" s="1"/>
  <c r="N8" i="74"/>
  <c r="N14" i="74" s="1"/>
  <c r="O14" i="74" s="1"/>
  <c r="F39" i="90" s="1"/>
  <c r="K5" i="74"/>
  <c r="K16" i="74" s="1"/>
  <c r="J5" i="74"/>
  <c r="J16" i="74" s="1"/>
  <c r="I5" i="74"/>
  <c r="I16" i="74" s="1"/>
  <c r="H5" i="74"/>
  <c r="H16" i="74" s="1"/>
  <c r="H20" i="74" s="1"/>
  <c r="H24" i="74" s="1"/>
  <c r="G5" i="74"/>
  <c r="F5" i="74"/>
  <c r="F16" i="74" s="1"/>
  <c r="E5" i="74"/>
  <c r="D5" i="74"/>
  <c r="D16" i="74" s="1"/>
  <c r="D20" i="74" s="1"/>
  <c r="D24" i="74" s="1"/>
  <c r="C5" i="74"/>
  <c r="C16" i="74" s="1"/>
  <c r="B5" i="74"/>
  <c r="C4" i="74"/>
  <c r="D4" i="74" s="1"/>
  <c r="E4" i="74" s="1"/>
  <c r="F4" i="74" s="1"/>
  <c r="G4" i="74" s="1"/>
  <c r="H4" i="74" s="1"/>
  <c r="I4" i="74" s="1"/>
  <c r="J4" i="74" s="1"/>
  <c r="K4" i="74" s="1"/>
  <c r="L4" i="74" s="1"/>
  <c r="M4" i="74" s="1"/>
  <c r="I17" i="75" l="1"/>
  <c r="I19" i="75" s="1"/>
  <c r="G39" i="90"/>
  <c r="O39" i="90" s="1"/>
  <c r="N39" i="90"/>
  <c r="E16" i="74"/>
  <c r="T5" i="74"/>
  <c r="T6" i="74" s="1"/>
  <c r="B7" i="50" s="1"/>
  <c r="D7" i="50" s="1"/>
  <c r="E7" i="50" s="1"/>
  <c r="N8" i="76"/>
  <c r="O8" i="76" s="1"/>
  <c r="H21" i="76"/>
  <c r="D52" i="52" s="1"/>
  <c r="F17" i="76"/>
  <c r="F19" i="76" s="1"/>
  <c r="F21" i="76"/>
  <c r="D50" i="52" s="1"/>
  <c r="G16" i="74"/>
  <c r="G14" i="74"/>
  <c r="N15" i="76"/>
  <c r="O15" i="76" s="1"/>
  <c r="D21" i="76"/>
  <c r="N5" i="74"/>
  <c r="O5" i="74" s="1"/>
  <c r="E12" i="90" s="1"/>
  <c r="G12" i="90" s="1"/>
  <c r="F17" i="75"/>
  <c r="F19" i="75" s="1"/>
  <c r="O19" i="75" s="1"/>
  <c r="F21" i="75"/>
  <c r="N8" i="75"/>
  <c r="O8" i="75" s="1"/>
  <c r="H21" i="75"/>
  <c r="C52" i="52" s="1"/>
  <c r="H17" i="75"/>
  <c r="H19" i="75" s="1"/>
  <c r="O5" i="76"/>
  <c r="O5" i="75"/>
  <c r="O17" i="75" s="1"/>
  <c r="P17" i="75" s="1"/>
  <c r="N9" i="76"/>
  <c r="O9" i="76" s="1"/>
  <c r="H17" i="76"/>
  <c r="H19" i="76" s="1"/>
  <c r="N9" i="75"/>
  <c r="O9" i="75" s="1"/>
  <c r="I17" i="76"/>
  <c r="I19" i="76" s="1"/>
  <c r="J18" i="74"/>
  <c r="J20" i="74"/>
  <c r="J24" i="74" s="1"/>
  <c r="C20" i="74"/>
  <c r="C24" i="74" s="1"/>
  <c r="C18" i="74"/>
  <c r="G20" i="74"/>
  <c r="G24" i="74" s="1"/>
  <c r="G18" i="74"/>
  <c r="K20" i="74"/>
  <c r="K24" i="74" s="1"/>
  <c r="K18" i="74"/>
  <c r="E18" i="74"/>
  <c r="E20" i="74"/>
  <c r="E24" i="74" s="1"/>
  <c r="I18" i="74"/>
  <c r="I20" i="74"/>
  <c r="I24" i="74" s="1"/>
  <c r="F18" i="74"/>
  <c r="F20" i="74"/>
  <c r="F24" i="74" s="1"/>
  <c r="B16" i="74"/>
  <c r="M20" i="74"/>
  <c r="M24" i="74" s="1"/>
  <c r="D18" i="74"/>
  <c r="H18" i="74"/>
  <c r="L18" i="74"/>
  <c r="D48" i="52" l="1"/>
  <c r="N21" i="76"/>
  <c r="N23" i="76" s="1"/>
  <c r="J12" i="90"/>
  <c r="K10" i="88"/>
  <c r="M10" i="88" s="1"/>
  <c r="O16" i="74"/>
  <c r="O19" i="76"/>
  <c r="N17" i="75"/>
  <c r="C50" i="52"/>
  <c r="N21" i="75"/>
  <c r="N17" i="76"/>
  <c r="O17" i="76"/>
  <c r="P17" i="76" s="1"/>
  <c r="B18" i="74"/>
  <c r="B20" i="74"/>
  <c r="N16" i="74"/>
  <c r="N18" i="74" s="1"/>
  <c r="N12" i="90" l="1"/>
  <c r="V12" i="90"/>
  <c r="K12" i="90"/>
  <c r="N23" i="75"/>
  <c r="F38" i="90" s="1"/>
  <c r="B24" i="74"/>
  <c r="N20" i="74"/>
  <c r="N24" i="74" s="1"/>
  <c r="G38" i="90" l="1"/>
  <c r="N38" i="90"/>
  <c r="N40" i="90" s="1"/>
  <c r="F40" i="90"/>
  <c r="O12" i="90"/>
  <c r="W12" i="90"/>
  <c r="G40" i="90"/>
  <c r="O38" i="90"/>
  <c r="O40" i="90" s="1"/>
  <c r="B19" i="40"/>
  <c r="F35" i="90" s="1"/>
  <c r="N35" i="90" s="1"/>
  <c r="B18" i="40"/>
  <c r="F34" i="90" s="1"/>
  <c r="B17" i="40"/>
  <c r="F26" i="90" s="1"/>
  <c r="B16" i="40"/>
  <c r="F25" i="90" s="1"/>
  <c r="B15" i="40"/>
  <c r="F24" i="90" s="1"/>
  <c r="B14" i="40"/>
  <c r="F23" i="90" s="1"/>
  <c r="B13" i="40"/>
  <c r="F22" i="90" s="1"/>
  <c r="B9" i="40"/>
  <c r="F14" i="90" s="1"/>
  <c r="B8" i="40"/>
  <c r="F13" i="90" s="1"/>
  <c r="F16" i="90" s="1"/>
  <c r="B7" i="40"/>
  <c r="E10" i="90" s="1"/>
  <c r="G10" i="90" s="1"/>
  <c r="B6" i="40"/>
  <c r="B5" i="40"/>
  <c r="E9" i="90" s="1"/>
  <c r="H23" i="90" l="1"/>
  <c r="G23" i="90"/>
  <c r="G24" i="90"/>
  <c r="H24" i="90"/>
  <c r="H22" i="90"/>
  <c r="G22" i="90"/>
  <c r="F27" i="90"/>
  <c r="H9" i="90"/>
  <c r="H25" i="90"/>
  <c r="G25" i="90"/>
  <c r="H26" i="90"/>
  <c r="G26" i="90"/>
  <c r="F36" i="90"/>
  <c r="N34" i="90"/>
  <c r="N36" i="90" s="1"/>
  <c r="G31" i="18"/>
  <c r="G23" i="18"/>
  <c r="G21" i="18"/>
  <c r="G19" i="18"/>
  <c r="G29" i="18"/>
  <c r="G27" i="18"/>
  <c r="G25" i="18"/>
  <c r="H29" i="18"/>
  <c r="H21" i="18"/>
  <c r="H27" i="18"/>
  <c r="H19" i="18"/>
  <c r="H25" i="18"/>
  <c r="H31" i="18"/>
  <c r="H23" i="18"/>
  <c r="G55" i="18"/>
  <c r="F39" i="18"/>
  <c r="F45" i="18"/>
  <c r="G45" i="18" s="1"/>
  <c r="F47" i="18"/>
  <c r="G47" i="18" s="1"/>
  <c r="F49" i="18"/>
  <c r="G49" i="18" s="1"/>
  <c r="F51" i="18"/>
  <c r="G51" i="18" s="1"/>
  <c r="F53" i="18"/>
  <c r="G53" i="18" s="1"/>
  <c r="F55" i="18"/>
  <c r="F59" i="18"/>
  <c r="G59" i="18" s="1"/>
  <c r="H27" i="90" l="1"/>
  <c r="H29" i="90" s="1"/>
  <c r="P29" i="90" s="1"/>
  <c r="P27" i="90"/>
  <c r="N27" i="90"/>
  <c r="F29" i="90"/>
  <c r="G27" i="90"/>
  <c r="D62" i="18"/>
  <c r="G29" i="90" l="1"/>
  <c r="O29" i="90" s="1"/>
  <c r="O27" i="90"/>
  <c r="N29" i="90"/>
  <c r="N42" i="90" s="1"/>
  <c r="F42" i="90"/>
  <c r="K7" i="88"/>
  <c r="J10" i="90"/>
  <c r="H66" i="18"/>
  <c r="M7" i="88" l="1"/>
  <c r="N10" i="90"/>
  <c r="V10" i="90"/>
  <c r="K10" i="90"/>
  <c r="M4" i="52"/>
  <c r="W10" i="90" l="1"/>
  <c r="O10" i="90"/>
  <c r="G39" i="89" l="1"/>
  <c r="G39" i="18" l="1"/>
  <c r="H39" i="18"/>
  <c r="G13" i="90"/>
  <c r="K8" i="90"/>
  <c r="G32" i="90"/>
  <c r="G14" i="90"/>
  <c r="H32" i="90"/>
  <c r="L8" i="90"/>
  <c r="H13" i="90"/>
  <c r="H14" i="90"/>
  <c r="G57" i="89"/>
  <c r="G43" i="89"/>
  <c r="H65" i="89"/>
  <c r="G51" i="89"/>
  <c r="G44" i="89"/>
  <c r="G42" i="89"/>
  <c r="G46" i="89"/>
  <c r="G58" i="89"/>
  <c r="G53" i="89"/>
  <c r="G54" i="89"/>
  <c r="G48" i="89"/>
  <c r="G45" i="89"/>
  <c r="G56" i="89"/>
  <c r="G40" i="89"/>
  <c r="G47" i="89"/>
  <c r="G59" i="89"/>
  <c r="G50" i="89"/>
  <c r="G52" i="89"/>
  <c r="G41" i="89"/>
  <c r="H58" i="89"/>
  <c r="H50" i="89"/>
  <c r="H40" i="89"/>
  <c r="H44" i="89"/>
  <c r="H42" i="89"/>
  <c r="H46" i="89"/>
  <c r="H43" i="89"/>
  <c r="H51" i="89"/>
  <c r="H48" i="89"/>
  <c r="H54" i="89"/>
  <c r="H52" i="89"/>
  <c r="H53" i="89"/>
  <c r="H59" i="89"/>
  <c r="H45" i="89"/>
  <c r="H47" i="89"/>
  <c r="H39" i="89"/>
  <c r="H56" i="89"/>
  <c r="H57" i="89"/>
  <c r="H41" i="89"/>
  <c r="H65" i="18"/>
  <c r="H62" i="89" l="1"/>
  <c r="G62" i="89"/>
  <c r="H16" i="90"/>
  <c r="D10" i="79" s="1"/>
  <c r="G35" i="90"/>
  <c r="K32" i="90"/>
  <c r="G34" i="90"/>
  <c r="G33" i="90"/>
  <c r="T8" i="90"/>
  <c r="S8" i="90"/>
  <c r="L32" i="90"/>
  <c r="H34" i="90"/>
  <c r="H35" i="90"/>
  <c r="H33" i="90"/>
  <c r="H36" i="90" l="1"/>
  <c r="H42" i="90" s="1"/>
  <c r="D11" i="79" s="1"/>
  <c r="K22" i="88"/>
  <c r="M22" i="88" s="1"/>
  <c r="J14" i="90"/>
  <c r="K34" i="90"/>
  <c r="K35" i="90"/>
  <c r="O35" i="90" s="1"/>
  <c r="S32" i="90"/>
  <c r="T13" i="90"/>
  <c r="X8" i="90"/>
  <c r="T14" i="90"/>
  <c r="S14" i="90"/>
  <c r="W8" i="90"/>
  <c r="S13" i="90"/>
  <c r="G36" i="90"/>
  <c r="T32" i="90"/>
  <c r="L35" i="90"/>
  <c r="P35" i="90" s="1"/>
  <c r="L34" i="90"/>
  <c r="N14" i="90" l="1"/>
  <c r="V14" i="90"/>
  <c r="K14" i="90"/>
  <c r="O14" i="90" s="1"/>
  <c r="L14" i="90"/>
  <c r="P14" i="90" s="1"/>
  <c r="G42" i="90"/>
  <c r="D11" i="78" s="1"/>
  <c r="S16" i="90"/>
  <c r="T16" i="90"/>
  <c r="P34" i="90"/>
  <c r="P36" i="90" s="1"/>
  <c r="P42" i="90" s="1"/>
  <c r="L36" i="90"/>
  <c r="L42" i="90" s="1"/>
  <c r="O34" i="90"/>
  <c r="O36" i="90" s="1"/>
  <c r="O42" i="90" s="1"/>
  <c r="K36" i="90"/>
  <c r="K42" i="90" s="1"/>
  <c r="T35" i="90"/>
  <c r="X35" i="90" s="1"/>
  <c r="T34" i="90"/>
  <c r="S34" i="90"/>
  <c r="S35" i="90"/>
  <c r="W35" i="90" s="1"/>
  <c r="W14" i="90" l="1"/>
  <c r="X14" i="90"/>
  <c r="G10" i="79"/>
  <c r="G10" i="78"/>
  <c r="E11" i="78"/>
  <c r="S36" i="90"/>
  <c r="S42" i="90" s="1"/>
  <c r="G11" i="78" s="1"/>
  <c r="W34" i="90"/>
  <c r="W36" i="90" s="1"/>
  <c r="W42" i="90" s="1"/>
  <c r="X34" i="90"/>
  <c r="X36" i="90" s="1"/>
  <c r="T36" i="90"/>
  <c r="T42" i="90" s="1"/>
  <c r="G11" i="79" s="1"/>
  <c r="E11" i="79"/>
  <c r="X42" i="90" l="1"/>
  <c r="C20" i="40" l="1"/>
  <c r="C58" i="52" l="1"/>
  <c r="C60" i="52" s="1"/>
  <c r="D58" i="52"/>
  <c r="D60" i="52" s="1"/>
  <c r="E60" i="52" l="1"/>
  <c r="E61" i="52" l="1"/>
  <c r="N29" i="52"/>
  <c r="N31" i="52" s="1"/>
  <c r="M29" i="52"/>
  <c r="N5" i="52"/>
  <c r="N7" i="52" s="1"/>
  <c r="M5" i="52"/>
  <c r="M7" i="52" s="1"/>
  <c r="B5" i="50" s="1"/>
  <c r="D5" i="50" l="1"/>
  <c r="B6" i="50"/>
  <c r="D6" i="50" s="1"/>
  <c r="E6" i="50" s="1"/>
  <c r="K9" i="88" s="1"/>
  <c r="M9" i="88" s="1"/>
  <c r="N8" i="52"/>
  <c r="N9" i="52" s="1"/>
  <c r="M8" i="52"/>
  <c r="M9" i="52" s="1"/>
  <c r="O7" i="52"/>
  <c r="M31" i="52"/>
  <c r="O31" i="52" s="1"/>
  <c r="P31" i="52" s="1"/>
  <c r="N32" i="52"/>
  <c r="N33" i="52" s="1"/>
  <c r="P7" i="52" l="1"/>
  <c r="B31" i="40"/>
  <c r="B32" i="40" s="1"/>
  <c r="B9" i="50"/>
  <c r="E5" i="50"/>
  <c r="D9" i="50"/>
  <c r="O9" i="52"/>
  <c r="M32" i="52"/>
  <c r="O33" i="52" l="1"/>
  <c r="E11" i="90" s="1"/>
  <c r="M33" i="52"/>
  <c r="D11" i="50"/>
  <c r="E9" i="50"/>
  <c r="K8" i="88"/>
  <c r="J11" i="90"/>
  <c r="B23" i="50"/>
  <c r="B25" i="50" s="1"/>
  <c r="B11" i="50"/>
  <c r="F11" i="18"/>
  <c r="G11" i="90" l="1"/>
  <c r="G16" i="90" s="1"/>
  <c r="D10" i="78" s="1"/>
  <c r="E16" i="90"/>
  <c r="M8" i="88"/>
  <c r="M12" i="88" s="1"/>
  <c r="K12" i="88"/>
  <c r="V11" i="90"/>
  <c r="K11" i="90"/>
  <c r="N11" i="90"/>
  <c r="E11" i="50"/>
  <c r="H11" i="18"/>
  <c r="G11" i="18"/>
  <c r="K16" i="88"/>
  <c r="O11" i="90" l="1"/>
  <c r="W11" i="90"/>
  <c r="M16" i="88"/>
  <c r="F13" i="18"/>
  <c r="G13" i="18" l="1"/>
  <c r="H13" i="18"/>
  <c r="F15" i="18"/>
  <c r="K15" i="88"/>
  <c r="N20" i="40"/>
  <c r="M20" i="40"/>
  <c r="L20" i="40"/>
  <c r="K20" i="40"/>
  <c r="J20" i="40"/>
  <c r="I20" i="40"/>
  <c r="H20" i="40"/>
  <c r="G20" i="40"/>
  <c r="F20" i="40"/>
  <c r="D20" i="40"/>
  <c r="N10" i="40"/>
  <c r="L10" i="40"/>
  <c r="K10" i="40"/>
  <c r="J10" i="40"/>
  <c r="I10" i="40"/>
  <c r="H10" i="40"/>
  <c r="E10" i="40"/>
  <c r="D10" i="40"/>
  <c r="C10" i="40"/>
  <c r="H15" i="18" l="1"/>
  <c r="G15" i="18"/>
  <c r="M15" i="88"/>
  <c r="M17" i="88" s="1"/>
  <c r="K17" i="88"/>
  <c r="J9" i="90"/>
  <c r="F17" i="18"/>
  <c r="B20" i="40"/>
  <c r="M21" i="40"/>
  <c r="J21" i="40"/>
  <c r="K21" i="40"/>
  <c r="L21" i="40"/>
  <c r="I21" i="40"/>
  <c r="G21" i="40"/>
  <c r="C21" i="40"/>
  <c r="D21" i="40"/>
  <c r="E21" i="40"/>
  <c r="N21" i="40"/>
  <c r="F21" i="40"/>
  <c r="H21" i="40"/>
  <c r="B10" i="40"/>
  <c r="G17" i="18" l="1"/>
  <c r="H17" i="18"/>
  <c r="N9" i="90"/>
  <c r="V9" i="90"/>
  <c r="L9" i="90"/>
  <c r="B21" i="40"/>
  <c r="X9" i="90" l="1"/>
  <c r="P9" i="90"/>
  <c r="F33" i="18" l="1"/>
  <c r="F35" i="18"/>
  <c r="G35" i="18" l="1"/>
  <c r="H35" i="18"/>
  <c r="G33" i="18"/>
  <c r="H33" i="18"/>
  <c r="F41" i="18"/>
  <c r="F37" i="18"/>
  <c r="F11" i="79"/>
  <c r="F11" i="78"/>
  <c r="G41" i="18" l="1"/>
  <c r="H41" i="18"/>
  <c r="G37" i="18"/>
  <c r="H37" i="18"/>
  <c r="F62" i="18"/>
  <c r="D12" i="78"/>
  <c r="D12" i="79"/>
  <c r="D14" i="78" l="1"/>
  <c r="H11" i="78"/>
  <c r="H11" i="79"/>
  <c r="D14" i="79"/>
  <c r="H62" i="18"/>
  <c r="D15" i="78" l="1"/>
  <c r="D15" i="79"/>
  <c r="G62" i="18" l="1"/>
  <c r="D53" i="83" l="1"/>
  <c r="C18" i="50" l="1"/>
  <c r="C21" i="50"/>
  <c r="E21" i="50"/>
  <c r="B21" i="50"/>
  <c r="B22" i="50" s="1"/>
  <c r="C20" i="50" l="1"/>
  <c r="D18" i="50"/>
  <c r="D20" i="50" s="1"/>
  <c r="E18" i="50"/>
  <c r="E20" i="50" l="1"/>
  <c r="K21" i="88"/>
  <c r="J13" i="90"/>
  <c r="D22" i="50"/>
  <c r="D23" i="50"/>
  <c r="C22" i="50"/>
  <c r="C23" i="50"/>
  <c r="G12" i="78"/>
  <c r="G12" i="79"/>
  <c r="N13" i="90" l="1"/>
  <c r="N16" i="90" s="1"/>
  <c r="K13" i="90"/>
  <c r="L13" i="90"/>
  <c r="V13" i="90"/>
  <c r="V16" i="90" s="1"/>
  <c r="J16" i="90"/>
  <c r="M21" i="88"/>
  <c r="M23" i="88" s="1"/>
  <c r="M26" i="88" s="1"/>
  <c r="K23" i="88"/>
  <c r="K26" i="88" s="1"/>
  <c r="E22" i="50"/>
  <c r="E23" i="50"/>
  <c r="E25" i="50" s="1"/>
  <c r="G14" i="78"/>
  <c r="G14" i="79"/>
  <c r="P13" i="90" l="1"/>
  <c r="P16" i="90" s="1"/>
  <c r="L16" i="90"/>
  <c r="E10" i="79" s="1"/>
  <c r="X13" i="90"/>
  <c r="X16" i="90" s="1"/>
  <c r="W13" i="90"/>
  <c r="W16" i="90" s="1"/>
  <c r="O13" i="90"/>
  <c r="O16" i="90" s="1"/>
  <c r="K16" i="90"/>
  <c r="E10" i="78" s="1"/>
  <c r="G15" i="79"/>
  <c r="G15" i="78"/>
  <c r="H10" i="79" l="1"/>
  <c r="H12" i="79" s="1"/>
  <c r="F10" i="79"/>
  <c r="F12" i="79" s="1"/>
  <c r="E12" i="79"/>
  <c r="E14" i="79" s="1"/>
  <c r="F14" i="79" s="1"/>
  <c r="F10" i="78"/>
  <c r="F12" i="78" s="1"/>
  <c r="H10" i="78"/>
  <c r="H12" i="78" s="1"/>
  <c r="E12" i="78"/>
  <c r="E14" i="78" s="1"/>
  <c r="H14" i="78" s="1"/>
  <c r="E15" i="79"/>
  <c r="F14" i="78" l="1"/>
  <c r="E15" i="78"/>
  <c r="H14" i="79"/>
  <c r="F15" i="78"/>
  <c r="F15" i="79"/>
  <c r="H15" i="79"/>
  <c r="H15" i="78"/>
</calcChain>
</file>

<file path=xl/sharedStrings.xml><?xml version="1.0" encoding="utf-8"?>
<sst xmlns="http://schemas.openxmlformats.org/spreadsheetml/2006/main" count="887" uniqueCount="397">
  <si>
    <t>PROPERTY &amp; LIABILITY INSURANCE</t>
  </si>
  <si>
    <t>LINE</t>
  </si>
  <si>
    <t>NO.</t>
  </si>
  <si>
    <t>DESCRIPTION</t>
  </si>
  <si>
    <t>ACTUAL</t>
  </si>
  <si>
    <t>ADJUSTMENT</t>
  </si>
  <si>
    <t>PROPERTY INSURANCE EXPENSE</t>
  </si>
  <si>
    <t>LIABILITY INSURANCE EXPENSE</t>
  </si>
  <si>
    <t>INCREASE(DECREASE) EXPENSE</t>
  </si>
  <si>
    <t>INCREASE (DECREASE) NOI</t>
  </si>
  <si>
    <t>Premium</t>
  </si>
  <si>
    <t>Common:</t>
  </si>
  <si>
    <t>Policy</t>
  </si>
  <si>
    <t>Policy Period</t>
  </si>
  <si>
    <t>Brokerage Fees</t>
  </si>
  <si>
    <t>PSE Aircraft</t>
  </si>
  <si>
    <t>Puget Sound Energy</t>
  </si>
  <si>
    <t>Electric</t>
  </si>
  <si>
    <t>Gas</t>
  </si>
  <si>
    <t>Property Insurance Admin - Common</t>
  </si>
  <si>
    <t>Liability Insurance - Common</t>
  </si>
  <si>
    <t>Marsh Broker Insurance - Common</t>
  </si>
  <si>
    <t>Marsh Broker Liability Insurance - Common</t>
  </si>
  <si>
    <t>Property Insurance PSE Building - Common</t>
  </si>
  <si>
    <t>King Air Hull Ins - Common</t>
  </si>
  <si>
    <t>AEGIS E&amp;O</t>
  </si>
  <si>
    <t>Order</t>
  </si>
  <si>
    <t>Amount</t>
  </si>
  <si>
    <t>Types</t>
  </si>
  <si>
    <t>Order Description</t>
  </si>
  <si>
    <t>Order No.</t>
  </si>
  <si>
    <t>Common</t>
  </si>
  <si>
    <t>General Liability Insurance - Common</t>
  </si>
  <si>
    <t>Property and Liability Insurance - Charged to Income Statement</t>
  </si>
  <si>
    <t>Property Insurance Premium Costs</t>
  </si>
  <si>
    <t>Montana State Fund W/C</t>
  </si>
  <si>
    <t>Liability Insurance Premium Costs</t>
  </si>
  <si>
    <t>Subtotal</t>
  </si>
  <si>
    <t>Property Insurance All Other - Common (Both Electric Generation and Other than Generation)</t>
  </si>
  <si>
    <t>Workers Comp Insurance - Common</t>
  </si>
  <si>
    <t>Total</t>
  </si>
  <si>
    <t>WIND PRODUCTION PLANT</t>
  </si>
  <si>
    <t>WILD HORSE PLANT</t>
  </si>
  <si>
    <t>HYDRO PRODUCTION PLANT</t>
  </si>
  <si>
    <t>UPPER BAKER DAM, POWER PLANT AND TRANSMISSION PLANT</t>
  </si>
  <si>
    <t>LOWER BAKER DAM, POWER PLANT AND TRANSMISSION PLANT</t>
  </si>
  <si>
    <t>SNOQUALMIE FALLS PLANTS 1 AND 2 AND TRANSMISSION PLANT</t>
  </si>
  <si>
    <t>OTHER PRODUCTION PLANT</t>
  </si>
  <si>
    <t>CRYSTAL MOUNTAIN GENERATING PLANT</t>
  </si>
  <si>
    <t>GOLDENDALE PLANT</t>
  </si>
  <si>
    <t>WHITEHORN GENERATING STATION AND TRANSMISSION PLANT</t>
  </si>
  <si>
    <t>FREDERICKSON 1 &amp; 2 GENERATING STATION AND TRANSMISSION PLANT</t>
  </si>
  <si>
    <t>FREDONIA 1, 2, 3 AND 4 GENERATING STATION AND TRANSMISSION PLANT</t>
  </si>
  <si>
    <t>ENCOGEN POWER PLANT</t>
  </si>
  <si>
    <t>ELECTRIC</t>
  </si>
  <si>
    <t xml:space="preserve">  </t>
  </si>
  <si>
    <t>TOTAL O&amp;M</t>
  </si>
  <si>
    <t>Group</t>
  </si>
  <si>
    <t>Electric:</t>
  </si>
  <si>
    <t>to O&amp;M</t>
  </si>
  <si>
    <t>% Charged</t>
  </si>
  <si>
    <t>$ Charged</t>
  </si>
  <si>
    <t>(A)</t>
  </si>
  <si>
    <t>(B)</t>
  </si>
  <si>
    <t>(C) = (A) * (B)</t>
  </si>
  <si>
    <t>Electric Portion</t>
  </si>
  <si>
    <t>of Common</t>
  </si>
  <si>
    <t>Gas Portion</t>
  </si>
  <si>
    <t>FERC</t>
  </si>
  <si>
    <t>SUBTOTAL 925 ORDER GROUP BEFORE ALLOCATED TO O&amp;M</t>
  </si>
  <si>
    <t>SUBTOTAL 925 ORDER GROUP ALLOCATED TO O&amp;M - (1)</t>
  </si>
  <si>
    <t>SUBTOTAL 924 ORDER GROUP - (2)</t>
  </si>
  <si>
    <t>Order Group</t>
  </si>
  <si>
    <t>Invoices</t>
  </si>
  <si>
    <t>Total PSE Property Insurance (Electric, Gas, and Common) - (A)</t>
  </si>
  <si>
    <t>SUMAS GENERATION PLANT</t>
  </si>
  <si>
    <t>MINT FARM POWER PLANT</t>
  </si>
  <si>
    <t>TOTAL GAS - [C]</t>
  </si>
  <si>
    <t>TOTAL COMMON - (D) = (A) - (B) - [C]</t>
  </si>
  <si>
    <t>12 Months</t>
  </si>
  <si>
    <t>92500702  1412 - Workers Comp Insurance - Common</t>
  </si>
  <si>
    <t>Property Insurance All Other - Elec</t>
  </si>
  <si>
    <t>Property Insurance All Other - Gas</t>
  </si>
  <si>
    <t xml:space="preserve">HOPKINS RIDGE POWER PLANT </t>
  </si>
  <si>
    <t xml:space="preserve">   (includes Floating Surface Collector #1)</t>
  </si>
  <si>
    <t>Jackson Prairie plant (PSE 1/3 share)</t>
  </si>
  <si>
    <t>92400322, 92400308</t>
  </si>
  <si>
    <t>LOWER SNAKE RIVER</t>
  </si>
  <si>
    <t>FERNDALE COGENERATION PLANT</t>
  </si>
  <si>
    <t>Fiduciary Insurance - Common</t>
  </si>
  <si>
    <t>Gas in Storage (Clay Basin)</t>
  </si>
  <si>
    <t>(Note 1) Sumas Pipeline has order group 161000040 orders that settle to other generation O&amp;M 553 orders, for PSE’s share and the one 92400013 order for insurance</t>
  </si>
  <si>
    <t>Renewal Invoice</t>
  </si>
  <si>
    <t>Continuity Credit applied from prior year- (Membership Credit)</t>
  </si>
  <si>
    <t>RECONCILE</t>
  </si>
  <si>
    <t>Total Property Insurance</t>
  </si>
  <si>
    <t>Total Liability Insurance</t>
  </si>
  <si>
    <t>Total Property &amp; Liability Insurance for Test Year</t>
  </si>
  <si>
    <t xml:space="preserve">Property Insurance </t>
  </si>
  <si>
    <t xml:space="preserve">Liability Insurance </t>
  </si>
  <si>
    <t>Order #92400005</t>
  </si>
  <si>
    <t xml:space="preserve">Colstrip 1&amp;2 </t>
  </si>
  <si>
    <t xml:space="preserve">Colstrip 3&amp;4 </t>
  </si>
  <si>
    <t>Annual (12 mos)</t>
  </si>
  <si>
    <t>PSE's ownership</t>
  </si>
  <si>
    <t>PSE's share (12 mos)</t>
  </si>
  <si>
    <t xml:space="preserve">PSE's Monthly </t>
  </si>
  <si>
    <t>Colstrip 1&amp;2 and 3&amp;4</t>
  </si>
  <si>
    <t>Amort. Sch for 92400635,92400634,92400013,92400308 (w/o J. Prairie &amp; Sumas)</t>
  </si>
  <si>
    <t>AEGIS Excess GL</t>
  </si>
  <si>
    <t>EIM Excess GL</t>
  </si>
  <si>
    <t>1/1/16 - 1/1/17</t>
  </si>
  <si>
    <t>Rate Year 12 ME December 31, 2018</t>
  </si>
  <si>
    <t>GAS - 92400322 Full Amount before Share (Jackson Prairie - PSE 1/3 Share)</t>
  </si>
  <si>
    <t>ELEC - 92400013 Full Amount before Share (Sumas Pipeline - PSE 57.3% Share)</t>
  </si>
  <si>
    <t>DIFFT</t>
  </si>
  <si>
    <t>(Note 2) Jackson Prairie has order group 150 orders that settle to capital orders for PSE’s share and order group 151 orders that settle to gas underground storage orders 814 – 837.</t>
  </si>
  <si>
    <t xml:space="preserve">  The property Ins for PSE’s share bookin order 92400322.</t>
  </si>
  <si>
    <t>COLSTRIP 1&amp;2 (PSE 50% Share)</t>
  </si>
  <si>
    <t>COLSTRIP 3&amp;4 (PSE 25% Share)</t>
  </si>
  <si>
    <t>(Note 3) Colstrip 1&amp;2 and 3&amp;4 paid separately and does not include with Marsh Invoice.</t>
  </si>
  <si>
    <t>Ck</t>
  </si>
  <si>
    <t>Colstrip</t>
  </si>
  <si>
    <t>Elec</t>
  </si>
  <si>
    <t>Ins Premium per Month</t>
  </si>
  <si>
    <t>Auto Liability</t>
  </si>
  <si>
    <t>Workers Comp Ins</t>
  </si>
  <si>
    <t>General Liability</t>
  </si>
  <si>
    <t>Colstrip 1&amp;2</t>
  </si>
  <si>
    <t>Colstrip 3&amp;4</t>
  </si>
  <si>
    <t>Liability Insurance</t>
  </si>
  <si>
    <t>Property Insurance</t>
  </si>
  <si>
    <t>PSE's Test Year</t>
  </si>
  <si>
    <t>Property Insurance Admin - Elec (Colstrip 1&amp;2, 3&amp;4)</t>
  </si>
  <si>
    <t>Insurance Breakdown:</t>
  </si>
  <si>
    <t>Other:</t>
  </si>
  <si>
    <t>Automibile</t>
  </si>
  <si>
    <t>Worker's Comp</t>
  </si>
  <si>
    <t>Unbrella/Excess Liability</t>
  </si>
  <si>
    <t>Finance Charge</t>
  </si>
  <si>
    <t>Broker Fee</t>
  </si>
  <si>
    <t>Per Altlantic statement</t>
  </si>
  <si>
    <t>PER SAP (PSE's booking)</t>
  </si>
  <si>
    <t>Difference</t>
  </si>
  <si>
    <t>Property Insurance Admin - Elec (Freddy 1)</t>
  </si>
  <si>
    <t>SUBTOTAL 92500005</t>
  </si>
  <si>
    <t>Freddy 1</t>
  </si>
  <si>
    <t>(Note 4) Freddy 1 paid separately and does not include with Marsh Invoice.  The policy period is from November 1 - Ot 31.</t>
  </si>
  <si>
    <t>FREDDY 1 (PSE 49.85% Share)</t>
  </si>
  <si>
    <t>Total PSE's Invoice w/o Colstrip 1&amp;2 and 3&amp;4/ Freddy 1</t>
  </si>
  <si>
    <t>11/1/15 - 10/31/16</t>
  </si>
  <si>
    <t>Freddy 1 W/C, Liability, Auto</t>
  </si>
  <si>
    <t>Adjustment</t>
  </si>
  <si>
    <t>(a) Colstrip liability Insurance reflect PSE's share</t>
  </si>
  <si>
    <t>OTHER ELECTRIC ( substation, general plant, communication equipment, etc.)</t>
  </si>
  <si>
    <t>TOTAL ELECTRIC  - (B)</t>
  </si>
  <si>
    <t xml:space="preserve">TOTAL PRODUCTION ELECTRIC </t>
  </si>
  <si>
    <t>Colstrip1&amp;2</t>
  </si>
  <si>
    <t>Colstrip3&amp;4</t>
  </si>
  <si>
    <t>Sumas pipeline</t>
  </si>
  <si>
    <t>PROPERTY INSURANCE TEST YEAR</t>
  </si>
  <si>
    <t>LIABILITY INSURANCE TEST YEAR</t>
  </si>
  <si>
    <t>RESTATED</t>
  </si>
  <si>
    <t>Direct Allocate</t>
  </si>
  <si>
    <t xml:space="preserve">Remaining </t>
  </si>
  <si>
    <t>92400322 (Jackson Prairie)</t>
  </si>
  <si>
    <t xml:space="preserve">Other Gas (communication equipment, Storeroom inventories, Liquified Gas Plt) </t>
  </si>
  <si>
    <t>FOR THE TWELVE MONTHS ENDED DECEMBER 31, 2018</t>
  </si>
  <si>
    <t>April 1, 2018 - April 1, 2019</t>
  </si>
  <si>
    <t>April 1, 2017 - April 1, 2018</t>
  </si>
  <si>
    <t>Colstrip 1&amp;2 and 3&amp;4 Property Insurance for 4/17 - 4/18</t>
  </si>
  <si>
    <t>&lt;=Annualized policy Apr 2018 - April 2019</t>
  </si>
  <si>
    <t>Cyber Ins</t>
  </si>
  <si>
    <t>Financial Services Ins</t>
  </si>
  <si>
    <t>92400322  5040 - Property Insurance Exp - Gas</t>
  </si>
  <si>
    <t xml:space="preserve">  Date:                     2/22/2018</t>
  </si>
  <si>
    <t>92500602  1116 - Liability Insurance - Common</t>
  </si>
  <si>
    <t>12/1/17 - 12/1/18</t>
  </si>
  <si>
    <t>Chubb Excess GL</t>
  </si>
  <si>
    <t>XL/Liberty Crime</t>
  </si>
  <si>
    <t>5/1/18 - 5/1/19</t>
  </si>
  <si>
    <t>Zurich Fiduciary (primary)</t>
  </si>
  <si>
    <t>Travelers Fiduciary (excess)</t>
  </si>
  <si>
    <t>Workers comp Primary</t>
  </si>
  <si>
    <t>12/1/17 - 12/01/18</t>
  </si>
  <si>
    <t>Workers comp Statutory</t>
  </si>
  <si>
    <t>Cyber Primary (Beazley)</t>
  </si>
  <si>
    <t>Cyber Excess (AIG)</t>
  </si>
  <si>
    <t>1/1/18 - 1/1/19</t>
  </si>
  <si>
    <t>1/1/18 -12/31/18</t>
  </si>
  <si>
    <t>April 1, 2017 - April 1, 2018 Insurance premiums Actuals</t>
  </si>
  <si>
    <t>April 1, 2018 - April 1, 2019 Insurance premiums Actuals</t>
  </si>
  <si>
    <t>Insured under Cargo/STP policy</t>
  </si>
  <si>
    <t>2018-2019 Insurance Premium (including JP &amp; Sumas Pipeline premiums)</t>
  </si>
  <si>
    <t>Total @ 100%</t>
  </si>
  <si>
    <t>PSE's Share @ 49.85%</t>
  </si>
  <si>
    <t>Total Other</t>
  </si>
  <si>
    <t>Break down per Matt</t>
  </si>
  <si>
    <t>PSE's Share @ 49.85% (per Matt's)</t>
  </si>
  <si>
    <t>PSE's Share @ 50%</t>
  </si>
  <si>
    <t>Excess Liablility</t>
  </si>
  <si>
    <t>Jusristictional Inspections</t>
  </si>
  <si>
    <t>Townsite Property Tax</t>
  </si>
  <si>
    <t>Air Pollution Taxes</t>
  </si>
  <si>
    <t>TOTAL COSTS (100%)</t>
  </si>
  <si>
    <t>TOTAL COSTS PSE COSTS ( 50%, by month)</t>
  </si>
  <si>
    <t>PSE's Share @ 25%</t>
  </si>
  <si>
    <t xml:space="preserve">Townsite Property Tax </t>
  </si>
  <si>
    <t xml:space="preserve">Air Pollution Taxes </t>
  </si>
  <si>
    <t>TOTAL COSTS PSE COSTS ( 25%, by month)</t>
  </si>
  <si>
    <t>&lt;=Annualized policy Apr 2017 - April 2018</t>
  </si>
  <si>
    <t>For Twelve Months Ended December 31, 2018</t>
  </si>
  <si>
    <t>Liabilities</t>
  </si>
  <si>
    <t>2019 GENERAL RATE INCREASE</t>
  </si>
  <si>
    <t>Insurance Policy Apr 2018 - Apr 2019</t>
  </si>
  <si>
    <t>Amort. schedule insurance Apr 18- Apr 19 for orders 92400635, 92400634, 92400013, 92400308 (excluding J. Prairie and Sumas Pipeline)</t>
  </si>
  <si>
    <t>PROFORMA</t>
  </si>
  <si>
    <t>Business Interest Name</t>
  </si>
  <si>
    <t>Street Address</t>
  </si>
  <si>
    <t>City</t>
  </si>
  <si>
    <t>2014 TIV</t>
  </si>
  <si>
    <t>2014 rate</t>
  </si>
  <si>
    <t>2014 Premium</t>
  </si>
  <si>
    <t>2016 TIV</t>
  </si>
  <si>
    <t>2017rate</t>
  </si>
  <si>
    <t>2017 TIV</t>
  </si>
  <si>
    <t>2017 Premium Allocation</t>
  </si>
  <si>
    <t>2018 Rate</t>
  </si>
  <si>
    <t>2018 TIV</t>
  </si>
  <si>
    <t>2018 Premium Allocation</t>
  </si>
  <si>
    <t>Type</t>
  </si>
  <si>
    <t>PSE Office buildings</t>
  </si>
  <si>
    <t>PSE EAST building</t>
  </si>
  <si>
    <t>Communication Equipment</t>
  </si>
  <si>
    <t>2015 totals</t>
  </si>
  <si>
    <t>General Plant - Common</t>
  </si>
  <si>
    <t>Crystal Mountain</t>
  </si>
  <si>
    <t>Crystal Mountain Road</t>
  </si>
  <si>
    <t>Upper Baker Hydroelectric Project</t>
  </si>
  <si>
    <t>12 miles North of Concrete~Nation Forest Baker Lake Road</t>
  </si>
  <si>
    <t>Concrete</t>
  </si>
  <si>
    <t>Lower Baker Hydroelectric Project</t>
  </si>
  <si>
    <t>102 Main Street East and 99 Baker River Road~13 miles North of Concrete</t>
  </si>
  <si>
    <t>Snoqualmie Falls Hydroelectric Project</t>
  </si>
  <si>
    <t>37800 Southeast 69th Street</t>
  </si>
  <si>
    <t>Snoqualmie</t>
  </si>
  <si>
    <t>Hopkins Ridge Wind Facility</t>
  </si>
  <si>
    <t>5 miles Northeast of Dayton</t>
  </si>
  <si>
    <t>Dayton</t>
  </si>
  <si>
    <t>Wild Horse Wind and Solar Facility</t>
  </si>
  <si>
    <t>25901 Vantage Highway</t>
  </si>
  <si>
    <t>Ellensburg</t>
  </si>
  <si>
    <t>Lower Snake</t>
  </si>
  <si>
    <t>Glacier Battery Storage</t>
  </si>
  <si>
    <t>Substations - All</t>
  </si>
  <si>
    <t>Jackson Prairie Gas</t>
  </si>
  <si>
    <t>General Plant - Electric</t>
  </si>
  <si>
    <t>Goldendale Generating Facility</t>
  </si>
  <si>
    <t>600 Industrial Park Way</t>
  </si>
  <si>
    <t>Goldendale</t>
  </si>
  <si>
    <t>Sumas Generating Station</t>
  </si>
  <si>
    <t>601 West Front Street</t>
  </si>
  <si>
    <t>Sumas</t>
  </si>
  <si>
    <t>Sumas Pipeline</t>
  </si>
  <si>
    <t>Gas - RCL EDA</t>
  </si>
  <si>
    <t>Mint Farm Generating Station</t>
  </si>
  <si>
    <t>1200 Prudential Boulevard</t>
  </si>
  <si>
    <t>Longview</t>
  </si>
  <si>
    <t>Whitehorn Generating Station</t>
  </si>
  <si>
    <t>4570 and 4950 Brown Road</t>
  </si>
  <si>
    <t>Blaine</t>
  </si>
  <si>
    <t>Frederickson Generating Station</t>
  </si>
  <si>
    <t>4714 192nd Street East</t>
  </si>
  <si>
    <t>Spanaway</t>
  </si>
  <si>
    <t>Fredonia Generating Station</t>
  </si>
  <si>
    <t>1224 Ovenell Road and Best Road</t>
  </si>
  <si>
    <t>Mount Vernon</t>
  </si>
  <si>
    <t>Encogen Generating Station</t>
  </si>
  <si>
    <t>915 Cornwall Avenue</t>
  </si>
  <si>
    <t>Bellingham</t>
  </si>
  <si>
    <t>Ferndale Cogeneration</t>
  </si>
  <si>
    <t xml:space="preserve">Ferndale </t>
  </si>
  <si>
    <t>Gig Harbor LNG</t>
  </si>
  <si>
    <t xml:space="preserve">Swarr Station </t>
  </si>
  <si>
    <t>Other Gas Locations - Misc</t>
  </si>
  <si>
    <t>Clay Basin</t>
  </si>
  <si>
    <t>General Plant - Gas</t>
  </si>
  <si>
    <t>Jackson Prairie</t>
  </si>
  <si>
    <t>239 Zandecki Road</t>
  </si>
  <si>
    <t>Chehalis</t>
  </si>
  <si>
    <t>Gas in storage not insured on this policy</t>
  </si>
  <si>
    <t>Vernell (ICOM)</t>
  </si>
  <si>
    <t>Ardmore</t>
  </si>
  <si>
    <t>These values indicated below</t>
  </si>
  <si>
    <t>EDA RCL JP and  sumas Pipeline</t>
  </si>
  <si>
    <t>Common PSE Building</t>
  </si>
  <si>
    <t xml:space="preserve">Gas </t>
  </si>
  <si>
    <t>Total Premium</t>
  </si>
  <si>
    <t>92500636  1110 - Fiduciary Ins - Common</t>
  </si>
  <si>
    <t>92500637  1116 - General Liability Insur Common</t>
  </si>
  <si>
    <t>92500638  1116 - Marsh Insurance Broker Common</t>
  </si>
  <si>
    <t>92400631  1115 - King Air Hull Ins - Common</t>
  </si>
  <si>
    <t>92400632  1116 - Marsh Insurance Broker Common</t>
  </si>
  <si>
    <t>TY</t>
  </si>
  <si>
    <t>%'s</t>
  </si>
  <si>
    <t>(a)</t>
  </si>
  <si>
    <t>(b)</t>
  </si>
  <si>
    <t>(c)=(b)-(a)</t>
  </si>
  <si>
    <t>(d)</t>
  </si>
  <si>
    <t>(e)=(d)-(b)</t>
  </si>
  <si>
    <t xml:space="preserve">INCREASE (DECREASE) FIT </t>
  </si>
  <si>
    <t>92400308  1116 - Property Insurance Others - Gas</t>
  </si>
  <si>
    <t>92400013  1116 - Property Insurance Others - Electric</t>
  </si>
  <si>
    <t>92400634  1116 - Property Insurance Others - Common</t>
  </si>
  <si>
    <t>92400635  1116 - Property Insurance PSE Bldg -Common</t>
  </si>
  <si>
    <t>Automobile</t>
  </si>
  <si>
    <t>per month</t>
  </si>
  <si>
    <t>4/18-4/19</t>
  </si>
  <si>
    <t>1&amp;2</t>
  </si>
  <si>
    <t>3&amp;4</t>
  </si>
  <si>
    <t>Jan 19 - Mar 19 (3 mos.)</t>
  </si>
  <si>
    <t>Jan 18 - Mar 18 (3 mos.)</t>
  </si>
  <si>
    <t>PSE's monthly</t>
  </si>
  <si>
    <t>PSE's 50% share</t>
  </si>
  <si>
    <t>April 2018 Annualize</t>
  </si>
  <si>
    <t>Remove 2/3rd's Jackson Prairie</t>
  </si>
  <si>
    <t>apr 17-apr 18</t>
  </si>
  <si>
    <t>jan 18 - mar 18</t>
  </si>
  <si>
    <t>apr 18 - dec 18</t>
  </si>
  <si>
    <t># months</t>
  </si>
  <si>
    <t>Apr 18 - Dec 18 (9 mos.)</t>
  </si>
  <si>
    <t>11/1/2018 - 10/31/2019</t>
  </si>
  <si>
    <t>Per Month</t>
  </si>
  <si>
    <t>2019 Rate</t>
  </si>
  <si>
    <t>2019 TIV</t>
  </si>
  <si>
    <t>2019 Premium Allocation</t>
  </si>
  <si>
    <t>April 1, 2019 - April 1, 2020 Insurance premiums Actuals</t>
  </si>
  <si>
    <t>Amortizaiton Schedule</t>
  </si>
  <si>
    <t>2019 - 2020</t>
  </si>
  <si>
    <t>.1/3</t>
  </si>
  <si>
    <t>Monthly Amort.</t>
  </si>
  <si>
    <t>PSE Bldg - Common</t>
  </si>
  <si>
    <t>Restated Total</t>
  </si>
  <si>
    <t>Insurance Policy Apr 2019 - Apr 2020</t>
  </si>
  <si>
    <t>Other - Common</t>
  </si>
  <si>
    <t>CE</t>
  </si>
  <si>
    <t>CC</t>
  </si>
  <si>
    <t>Rate Year 12 ME December 31, 2019</t>
  </si>
  <si>
    <t>12/1/18 - 12/1/19</t>
  </si>
  <si>
    <t>12/1/18 - 12/01/19</t>
  </si>
  <si>
    <t>1/1/19 - 1/1/20</t>
  </si>
  <si>
    <t>Included in labor rates</t>
  </si>
  <si>
    <t>(b) Colstrip liability Insurance reflect PSE's share and includes Excess, GL, Cyber, and FINPRO</t>
  </si>
  <si>
    <t>PRO FORMA</t>
  </si>
  <si>
    <t xml:space="preserve"> 925 Orders are transferred to Balance Sheet.  Therefore, this order group needs to be allocated to O&amp;M</t>
  </si>
  <si>
    <t xml:space="preserve"> Policy Period</t>
  </si>
  <si>
    <t>Policy Premium</t>
  </si>
  <si>
    <t xml:space="preserve">Total PSE Property Insurance (Electric, Gas, and Common) </t>
  </si>
  <si>
    <t>4/1/18 - 4/1/19</t>
  </si>
  <si>
    <t>Less:</t>
  </si>
  <si>
    <t>PSE Gas</t>
  </si>
  <si>
    <t>PSE Production Plant - Reclass to Electric Section Below</t>
  </si>
  <si>
    <t>Total PSE Property other than generation plants - Common</t>
  </si>
  <si>
    <t>(R1)</t>
  </si>
  <si>
    <t>Common Allocated</t>
  </si>
  <si>
    <t>(R2) = (R1) * 60.81%</t>
  </si>
  <si>
    <t>(R3) = (R1) * 39.19%</t>
  </si>
  <si>
    <t>Electric Only:</t>
  </si>
  <si>
    <t xml:space="preserve">PSE Property Electric generation plants </t>
  </si>
  <si>
    <t>4/1/16 - 4/1/17</t>
  </si>
  <si>
    <t>(R4)</t>
  </si>
  <si>
    <t>Electric portion of Common</t>
  </si>
  <si>
    <t>(R2)</t>
  </si>
  <si>
    <t>Total Electric Property Insurance</t>
  </si>
  <si>
    <t>(R5) = (R2) + (R4)</t>
  </si>
  <si>
    <t>Gas only:</t>
  </si>
  <si>
    <t>(R6)</t>
  </si>
  <si>
    <t>Gas portion of Common</t>
  </si>
  <si>
    <t>(R8)</t>
  </si>
  <si>
    <t>Total Gas Property Insurance</t>
  </si>
  <si>
    <t>(R9) =(R6)+(R7)+(R8)</t>
  </si>
  <si>
    <t>PSE no longer has MT employees</t>
  </si>
  <si>
    <t>1/3 Ownership</t>
  </si>
  <si>
    <t>&lt;&lt;&lt;=ck</t>
  </si>
  <si>
    <t>HPP Fiduciary (not renewed)</t>
  </si>
  <si>
    <r>
      <t xml:space="preserve">Colstrip 1&amp;2 GL </t>
    </r>
    <r>
      <rPr>
        <b/>
        <i/>
        <sz val="10"/>
        <color theme="1"/>
        <rFont val="Arial"/>
        <family val="2"/>
      </rPr>
      <t>(b)</t>
    </r>
  </si>
  <si>
    <r>
      <t xml:space="preserve">Colstrip 1&amp;2 Auto </t>
    </r>
    <r>
      <rPr>
        <b/>
        <i/>
        <sz val="10"/>
        <color theme="1"/>
        <rFont val="Arial"/>
        <family val="2"/>
      </rPr>
      <t>(b)</t>
    </r>
  </si>
  <si>
    <r>
      <t>Colstrip 1&amp;2 W/C</t>
    </r>
    <r>
      <rPr>
        <b/>
        <i/>
        <sz val="10"/>
        <color theme="1"/>
        <rFont val="Arial"/>
        <family val="2"/>
      </rPr>
      <t xml:space="preserve"> (b)</t>
    </r>
  </si>
  <si>
    <r>
      <t xml:space="preserve">Colstrip 3&amp;4 GL </t>
    </r>
    <r>
      <rPr>
        <b/>
        <i/>
        <sz val="10"/>
        <color theme="1"/>
        <rFont val="Arial"/>
        <family val="2"/>
      </rPr>
      <t>(b)</t>
    </r>
  </si>
  <si>
    <r>
      <t>Colstrip 3&amp;4 Auto</t>
    </r>
    <r>
      <rPr>
        <b/>
        <i/>
        <sz val="10"/>
        <color theme="1"/>
        <rFont val="Arial"/>
        <family val="2"/>
      </rPr>
      <t xml:space="preserve"> (b)</t>
    </r>
  </si>
  <si>
    <r>
      <t xml:space="preserve">Colstrip 3&amp;4 W/C </t>
    </r>
    <r>
      <rPr>
        <b/>
        <i/>
        <sz val="10"/>
        <color theme="1"/>
        <rFont val="Arial"/>
        <family val="2"/>
      </rPr>
      <t>(b)</t>
    </r>
  </si>
  <si>
    <r>
      <t>COLSTRIP 1&amp;2 (PSE 50% Share)</t>
    </r>
    <r>
      <rPr>
        <sz val="8"/>
        <color theme="1"/>
        <rFont val="Calibri"/>
        <family val="2"/>
      </rPr>
      <t xml:space="preserve"> (Note 3)</t>
    </r>
  </si>
  <si>
    <r>
      <t xml:space="preserve">COLSTRIP 3&amp;4 (PSE 25% Share) </t>
    </r>
    <r>
      <rPr>
        <sz val="8"/>
        <color theme="1"/>
        <rFont val="Calibri"/>
        <family val="2"/>
      </rPr>
      <t>(Note 3)</t>
    </r>
  </si>
  <si>
    <r>
      <t xml:space="preserve">FREDDY 1 (PSE 49.85% Share) </t>
    </r>
    <r>
      <rPr>
        <sz val="8"/>
        <color theme="1"/>
        <rFont val="Calibri"/>
        <family val="2"/>
      </rPr>
      <t>(Note 4)</t>
    </r>
  </si>
  <si>
    <r>
      <t>SUMAS PIPELINE (PSE 57.3% share)</t>
    </r>
    <r>
      <rPr>
        <sz val="8"/>
        <color theme="1"/>
        <rFont val="Calibri"/>
        <family val="2"/>
      </rPr>
      <t xml:space="preserve"> (Note 1) book in order 92400013</t>
    </r>
  </si>
  <si>
    <r>
      <t>GAS</t>
    </r>
    <r>
      <rPr>
        <b/>
        <sz val="11"/>
        <color theme="1"/>
        <rFont val="Calibri"/>
        <family val="2"/>
      </rPr>
      <t xml:space="preserve"> </t>
    </r>
  </si>
  <si>
    <r>
      <t>Gas In storage (Jackson Prairie) (PSE 1/3 share)</t>
    </r>
    <r>
      <rPr>
        <sz val="8"/>
        <color theme="1"/>
        <rFont val="Calibri"/>
        <family val="2"/>
      </rPr>
      <t xml:space="preserve"> (Note 2) book in order 92400322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</si>
</sst>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_(&quot;$&quot;* #,##0_);_(&quot;$&quot;* \(#,##0\);_(&quot;$&quot;* &quot;-&quot;??_);_(@_)"/>
    <numFmt numFmtId="167" formatCode="#,##0;[Red]#,##0"/>
    <numFmt numFmtId="168" formatCode="#,##0.0000"/>
    <numFmt numFmtId="169" formatCode="_(&quot;$&quot;* #,##0.0000_);_(&quot;$&quot;* \(#,##0.0000\);_(&quot;$&quot;* &quot;-&quot;??_);_(@_)"/>
    <numFmt numFmtId="170" formatCode="&quot;$&quot;#,##0"/>
    <numFmt numFmtId="171" formatCode="_(* #,##0.0_);_(* \(#,##0.0\);_(* &quot;-&quot;??_);_(@_)"/>
    <numFmt numFmtId="172" formatCode="_(* #,##0.0000_);_(* \(#,##0.0000\);_(* &quot;-&quot;??_);_(@_)"/>
    <numFmt numFmtId="173" formatCode="_(* #,##0.0_);_(* \(#,##0.0\);_(* &quot;-&quot;?_);_(@_)"/>
    <numFmt numFmtId="174" formatCode="0.0000"/>
    <numFmt numFmtId="175" formatCode="0.0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</font>
    <font>
      <u/>
      <sz val="10"/>
      <color theme="1"/>
      <name val="Arial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sz val="18"/>
      <color theme="1"/>
      <name val="Calibri"/>
      <family val="2"/>
      <scheme val="minor"/>
    </font>
    <font>
      <b/>
      <sz val="8"/>
      <color theme="1"/>
      <name val="Calibri"/>
      <family val="2"/>
    </font>
    <font>
      <u val="double"/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</font>
    <font>
      <b/>
      <u/>
      <sz val="11"/>
      <color theme="1"/>
      <name val="Calibri"/>
      <family val="2"/>
    </font>
    <font>
      <u/>
      <sz val="11"/>
      <color theme="1"/>
      <name val="Calibri"/>
      <family val="2"/>
    </font>
    <font>
      <sz val="12"/>
      <color theme="1"/>
      <name val="Arial"/>
      <family val="2"/>
    </font>
    <font>
      <u val="singleAccounting"/>
      <sz val="10"/>
      <color theme="1"/>
      <name val="Arial"/>
      <family val="2"/>
    </font>
    <font>
      <b/>
      <u val="doubleAccounting"/>
      <sz val="10"/>
      <color theme="1"/>
      <name val="Arial"/>
      <family val="2"/>
    </font>
    <font>
      <b/>
      <u val="singleAccounting"/>
      <sz val="9"/>
      <color theme="1"/>
      <name val="Arial"/>
      <family val="2"/>
    </font>
    <font>
      <u val="singleAccounting"/>
      <sz val="9"/>
      <color theme="1"/>
      <name val="Arial"/>
      <family val="2"/>
    </font>
    <font>
      <b/>
      <u val="singleAccounting"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6">
    <xf numFmtId="0" fontId="0" fillId="0" borderId="0" xfId="0"/>
    <xf numFmtId="0" fontId="3" fillId="0" borderId="0" xfId="0" applyFont="1" applyFill="1"/>
    <xf numFmtId="0" fontId="4" fillId="0" borderId="15" xfId="0" applyFont="1" applyFill="1" applyBorder="1"/>
    <xf numFmtId="0" fontId="5" fillId="0" borderId="11" xfId="0" applyFont="1" applyFill="1" applyBorder="1" applyAlignment="1">
      <alignment horizontal="center"/>
    </xf>
    <xf numFmtId="0" fontId="3" fillId="0" borderId="10" xfId="0" applyFont="1" applyFill="1" applyBorder="1"/>
    <xf numFmtId="164" fontId="3" fillId="0" borderId="5" xfId="0" applyNumberFormat="1" applyFont="1" applyFill="1" applyBorder="1"/>
    <xf numFmtId="164" fontId="3" fillId="0" borderId="24" xfId="0" applyNumberFormat="1" applyFont="1" applyFill="1" applyBorder="1"/>
    <xf numFmtId="43" fontId="7" fillId="0" borderId="0" xfId="0" applyNumberFormat="1" applyFont="1" applyFill="1"/>
    <xf numFmtId="43" fontId="6" fillId="0" borderId="0" xfId="0" applyNumberFormat="1" applyFont="1" applyFill="1" applyAlignment="1">
      <alignment vertical="top"/>
    </xf>
    <xf numFmtId="43" fontId="7" fillId="0" borderId="0" xfId="0" applyNumberFormat="1" applyFont="1" applyFill="1" applyAlignment="1">
      <alignment vertical="top"/>
    </xf>
    <xf numFmtId="43" fontId="7" fillId="0" borderId="0" xfId="0" applyNumberFormat="1" applyFont="1" applyFill="1" applyBorder="1"/>
    <xf numFmtId="43" fontId="7" fillId="0" borderId="0" xfId="0" applyNumberFormat="1" applyFont="1" applyFill="1" applyAlignment="1">
      <alignment horizontal="center"/>
    </xf>
    <xf numFmtId="0" fontId="6" fillId="0" borderId="0" xfId="0" applyFont="1" applyFill="1"/>
    <xf numFmtId="43" fontId="6" fillId="0" borderId="5" xfId="0" applyNumberFormat="1" applyFont="1" applyFill="1" applyBorder="1" applyAlignment="1">
      <alignment vertical="top"/>
    </xf>
    <xf numFmtId="43" fontId="6" fillId="0" borderId="0" xfId="0" applyNumberFormat="1" applyFont="1" applyFill="1" applyBorder="1" applyAlignment="1">
      <alignment vertical="top"/>
    </xf>
    <xf numFmtId="0" fontId="6" fillId="0" borderId="0" xfId="0" applyFont="1" applyFill="1" applyAlignment="1"/>
    <xf numFmtId="0" fontId="7" fillId="0" borderId="0" xfId="0" applyFont="1" applyFill="1"/>
    <xf numFmtId="43" fontId="6" fillId="0" borderId="0" xfId="0" applyNumberFormat="1" applyFont="1" applyFill="1"/>
    <xf numFmtId="0" fontId="5" fillId="0" borderId="31" xfId="0" applyFont="1" applyFill="1" applyBorder="1" applyAlignment="1">
      <alignment horizontal="center"/>
    </xf>
    <xf numFmtId="164" fontId="7" fillId="0" borderId="0" xfId="0" applyNumberFormat="1" applyFont="1" applyFill="1" applyBorder="1"/>
    <xf numFmtId="0" fontId="3" fillId="0" borderId="4" xfId="0" applyFont="1" applyFill="1" applyBorder="1"/>
    <xf numFmtId="164" fontId="3" fillId="0" borderId="35" xfId="0" applyNumberFormat="1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6" fillId="0" borderId="2" xfId="0" applyFont="1" applyFill="1" applyBorder="1" applyAlignment="1">
      <alignment vertical="top"/>
    </xf>
    <xf numFmtId="165" fontId="6" fillId="0" borderId="2" xfId="0" applyNumberFormat="1" applyFont="1" applyFill="1" applyBorder="1" applyAlignment="1">
      <alignment horizontal="center" vertical="top"/>
    </xf>
    <xf numFmtId="0" fontId="7" fillId="0" borderId="0" xfId="0" applyFont="1" applyFill="1" applyAlignment="1"/>
    <xf numFmtId="43" fontId="6" fillId="0" borderId="5" xfId="0" applyNumberFormat="1" applyFont="1" applyFill="1" applyBorder="1"/>
    <xf numFmtId="171" fontId="7" fillId="0" borderId="0" xfId="0" applyNumberFormat="1" applyFont="1" applyFill="1"/>
    <xf numFmtId="164" fontId="7" fillId="0" borderId="11" xfId="0" applyNumberFormat="1" applyFont="1" applyFill="1" applyBorder="1"/>
    <xf numFmtId="164" fontId="7" fillId="0" borderId="12" xfId="0" applyNumberFormat="1" applyFont="1" applyFill="1" applyBorder="1"/>
    <xf numFmtId="164" fontId="7" fillId="0" borderId="3" xfId="0" applyNumberFormat="1" applyFont="1" applyFill="1" applyBorder="1"/>
    <xf numFmtId="164" fontId="7" fillId="0" borderId="16" xfId="0" applyNumberFormat="1" applyFont="1" applyFill="1" applyBorder="1"/>
    <xf numFmtId="43" fontId="3" fillId="0" borderId="4" xfId="0" applyNumberFormat="1" applyFont="1" applyFill="1" applyBorder="1"/>
    <xf numFmtId="165" fontId="3" fillId="0" borderId="4" xfId="0" applyNumberFormat="1" applyFont="1" applyFill="1" applyBorder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" vertical="center"/>
    </xf>
    <xf numFmtId="0" fontId="7" fillId="0" borderId="17" xfId="0" applyFont="1" applyFill="1" applyBorder="1" applyAlignment="1">
      <alignment horizontal="centerContinuous" vertical="center"/>
    </xf>
    <xf numFmtId="0" fontId="9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Continuous" vertical="center"/>
    </xf>
    <xf numFmtId="0" fontId="6" fillId="0" borderId="17" xfId="0" applyFont="1" applyFill="1" applyBorder="1" applyAlignment="1">
      <alignment horizontal="centerContinuous" vertical="center"/>
    </xf>
    <xf numFmtId="0" fontId="6" fillId="0" borderId="18" xfId="0" applyFont="1" applyFill="1" applyBorder="1" applyAlignment="1">
      <alignment horizontal="centerContinuous" vertical="center"/>
    </xf>
    <xf numFmtId="0" fontId="6" fillId="0" borderId="19" xfId="0" applyFont="1" applyFill="1" applyBorder="1" applyAlignment="1">
      <alignment horizontal="centerContinuous" vertical="center"/>
    </xf>
    <xf numFmtId="0" fontId="7" fillId="0" borderId="17" xfId="0" applyFont="1" applyFill="1" applyBorder="1"/>
    <xf numFmtId="0" fontId="7" fillId="0" borderId="19" xfId="0" applyFont="1" applyFill="1" applyBorder="1"/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13" xfId="0" applyFont="1" applyFill="1" applyBorder="1" applyAlignment="1">
      <alignment horizontal="centerContinuous" vertical="center"/>
    </xf>
    <xf numFmtId="0" fontId="7" fillId="0" borderId="1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13" xfId="0" applyFont="1" applyFill="1" applyBorder="1" applyAlignment="1">
      <alignment horizontal="centerContinuous" vertical="center"/>
    </xf>
    <xf numFmtId="0" fontId="7" fillId="0" borderId="10" xfId="0" applyFont="1" applyFill="1" applyBorder="1"/>
    <xf numFmtId="0" fontId="7" fillId="0" borderId="0" xfId="0" applyFont="1" applyFill="1" applyBorder="1"/>
    <xf numFmtId="0" fontId="7" fillId="0" borderId="13" xfId="0" applyFont="1" applyFill="1" applyBorder="1"/>
    <xf numFmtId="0" fontId="6" fillId="0" borderId="2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0" fontId="6" fillId="0" borderId="6" xfId="0" applyNumberFormat="1" applyFont="1" applyFill="1" applyBorder="1" applyAlignment="1">
      <alignment horizontal="center" vertical="center"/>
    </xf>
    <xf numFmtId="10" fontId="6" fillId="0" borderId="23" xfId="0" applyNumberFormat="1" applyFont="1" applyFill="1" applyBorder="1" applyAlignment="1">
      <alignment horizontal="center" vertical="center"/>
    </xf>
    <xf numFmtId="0" fontId="6" fillId="0" borderId="25" xfId="0" applyFont="1" applyFill="1" applyBorder="1"/>
    <xf numFmtId="10" fontId="6" fillId="0" borderId="6" xfId="0" applyNumberFormat="1" applyFont="1" applyFill="1" applyBorder="1" applyAlignment="1">
      <alignment horizontal="center"/>
    </xf>
    <xf numFmtId="10" fontId="6" fillId="0" borderId="23" xfId="0" applyNumberFormat="1" applyFont="1" applyFill="1" applyBorder="1" applyAlignment="1">
      <alignment horizontal="center"/>
    </xf>
    <xf numFmtId="0" fontId="7" fillId="0" borderId="25" xfId="0" applyFont="1" applyFill="1" applyBorder="1"/>
    <xf numFmtId="10" fontId="7" fillId="0" borderId="6" xfId="0" applyNumberFormat="1" applyFont="1" applyFill="1" applyBorder="1" applyAlignment="1">
      <alignment horizontal="center"/>
    </xf>
    <xf numFmtId="10" fontId="7" fillId="0" borderId="23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Continuous" vertic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3" xfId="0" applyNumberFormat="1" applyFont="1" applyFill="1" applyBorder="1"/>
    <xf numFmtId="42" fontId="7" fillId="0" borderId="1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2" fontId="7" fillId="0" borderId="13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7" fillId="0" borderId="10" xfId="0" applyNumberFormat="1" applyFont="1" applyFill="1" applyBorder="1"/>
    <xf numFmtId="41" fontId="7" fillId="0" borderId="1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13" xfId="0" applyNumberFormat="1" applyFont="1" applyFill="1" applyBorder="1" applyAlignment="1">
      <alignment vertical="center"/>
    </xf>
    <xf numFmtId="171" fontId="7" fillId="0" borderId="13" xfId="0" applyNumberFormat="1" applyFont="1" applyFill="1" applyBorder="1" applyAlignment="1">
      <alignment horizontal="right"/>
    </xf>
    <xf numFmtId="164" fontId="7" fillId="0" borderId="10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Continuous" vertical="center"/>
    </xf>
    <xf numFmtId="164" fontId="6" fillId="0" borderId="2" xfId="0" applyNumberFormat="1" applyFont="1" applyFill="1" applyBorder="1" applyAlignment="1">
      <alignment horizontal="left" vertical="center"/>
    </xf>
    <xf numFmtId="164" fontId="6" fillId="0" borderId="26" xfId="0" applyNumberFormat="1" applyFont="1" applyFill="1" applyBorder="1" applyAlignment="1">
      <alignment horizontal="left" vertical="center"/>
    </xf>
    <xf numFmtId="41" fontId="6" fillId="0" borderId="40" xfId="0" applyNumberFormat="1" applyFont="1" applyFill="1" applyBorder="1" applyAlignment="1">
      <alignment vertical="center"/>
    </xf>
    <xf numFmtId="41" fontId="6" fillId="0" borderId="5" xfId="0" applyNumberFormat="1" applyFont="1" applyFill="1" applyBorder="1" applyAlignment="1">
      <alignment vertical="center"/>
    </xf>
    <xf numFmtId="41" fontId="6" fillId="0" borderId="24" xfId="0" applyNumberFormat="1" applyFont="1" applyFill="1" applyBorder="1" applyAlignment="1">
      <alignment vertical="center"/>
    </xf>
    <xf numFmtId="164" fontId="6" fillId="0" borderId="40" xfId="0" applyNumberFormat="1" applyFont="1" applyFill="1" applyBorder="1"/>
    <xf numFmtId="164" fontId="6" fillId="0" borderId="5" xfId="0" applyNumberFormat="1" applyFont="1" applyFill="1" applyBorder="1"/>
    <xf numFmtId="164" fontId="6" fillId="0" borderId="24" xfId="0" applyNumberFormat="1" applyFont="1" applyFill="1" applyBorder="1"/>
    <xf numFmtId="0" fontId="7" fillId="0" borderId="1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44" fontId="6" fillId="0" borderId="3" xfId="0" applyNumberFormat="1" applyFont="1" applyFill="1" applyBorder="1" applyAlignment="1">
      <alignment horizontal="centerContinuous" vertical="center"/>
    </xf>
    <xf numFmtId="10" fontId="6" fillId="0" borderId="3" xfId="0" applyNumberFormat="1" applyFont="1" applyFill="1" applyBorder="1" applyAlignment="1">
      <alignment horizontal="right" vertical="center"/>
    </xf>
    <xf numFmtId="10" fontId="6" fillId="0" borderId="16" xfId="0" applyNumberFormat="1" applyFont="1" applyFill="1" applyBorder="1" applyAlignment="1">
      <alignment horizontal="right" vertical="center"/>
    </xf>
    <xf numFmtId="164" fontId="7" fillId="0" borderId="14" xfId="0" applyNumberFormat="1" applyFont="1" applyFill="1" applyBorder="1"/>
    <xf numFmtId="10" fontId="6" fillId="0" borderId="54" xfId="0" applyNumberFormat="1" applyFont="1" applyFill="1" applyBorder="1" applyAlignment="1">
      <alignment horizontal="right" vertical="center"/>
    </xf>
    <xf numFmtId="10" fontId="6" fillId="0" borderId="55" xfId="0" applyNumberFormat="1" applyFont="1" applyFill="1" applyBorder="1" applyAlignment="1">
      <alignment horizontal="right" vertical="center"/>
    </xf>
    <xf numFmtId="0" fontId="7" fillId="0" borderId="14" xfId="0" applyFont="1" applyFill="1" applyBorder="1"/>
    <xf numFmtId="0" fontId="7" fillId="0" borderId="3" xfId="0" applyFont="1" applyFill="1" applyBorder="1"/>
    <xf numFmtId="0" fontId="7" fillId="0" borderId="16" xfId="0" applyFont="1" applyFill="1" applyBorder="1"/>
    <xf numFmtId="167" fontId="10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15" xfId="0" applyFont="1" applyFill="1" applyBorder="1"/>
    <xf numFmtId="41" fontId="7" fillId="0" borderId="11" xfId="0" applyNumberFormat="1" applyFont="1" applyFill="1" applyBorder="1"/>
    <xf numFmtId="0" fontId="7" fillId="0" borderId="12" xfId="0" applyFont="1" applyFill="1" applyBorder="1"/>
    <xf numFmtId="0" fontId="6" fillId="0" borderId="18" xfId="0" applyFont="1" applyFill="1" applyBorder="1"/>
    <xf numFmtId="164" fontId="7" fillId="0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7" fillId="0" borderId="13" xfId="0" applyFont="1" applyFill="1" applyBorder="1" applyAlignment="1"/>
    <xf numFmtId="164" fontId="7" fillId="0" borderId="6" xfId="0" applyNumberFormat="1" applyFont="1" applyFill="1" applyBorder="1" applyAlignment="1">
      <alignment horizontal="centerContinuous" vertical="center"/>
    </xf>
    <xf numFmtId="0" fontId="7" fillId="0" borderId="6" xfId="0" applyFont="1" applyFill="1" applyBorder="1"/>
    <xf numFmtId="0" fontId="7" fillId="0" borderId="23" xfId="0" applyFont="1" applyFill="1" applyBorder="1"/>
    <xf numFmtId="164" fontId="6" fillId="0" borderId="0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Continuous" vertical="center"/>
    </xf>
    <xf numFmtId="164" fontId="6" fillId="0" borderId="21" xfId="0" applyNumberFormat="1" applyFont="1" applyFill="1" applyBorder="1" applyAlignment="1">
      <alignment horizontal="centerContinuous" vertical="center"/>
    </xf>
    <xf numFmtId="43" fontId="7" fillId="0" borderId="0" xfId="0" applyNumberFormat="1" applyFont="1" applyFill="1" applyAlignment="1">
      <alignment horizontal="left" vertical="center"/>
    </xf>
    <xf numFmtId="41" fontId="7" fillId="0" borderId="41" xfId="0" applyNumberFormat="1" applyFont="1" applyFill="1" applyBorder="1" applyAlignment="1">
      <alignment vertical="center"/>
    </xf>
    <xf numFmtId="41" fontId="7" fillId="0" borderId="7" xfId="0" applyNumberFormat="1" applyFont="1" applyFill="1" applyBorder="1" applyAlignment="1">
      <alignment vertical="center"/>
    </xf>
    <xf numFmtId="41" fontId="7" fillId="0" borderId="21" xfId="0" applyNumberFormat="1" applyFont="1" applyFill="1" applyBorder="1" applyAlignment="1">
      <alignment vertical="center"/>
    </xf>
    <xf numFmtId="41" fontId="7" fillId="0" borderId="10" xfId="0" applyNumberFormat="1" applyFont="1" applyFill="1" applyBorder="1"/>
    <xf numFmtId="0" fontId="10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Continuous" vertical="center"/>
    </xf>
    <xf numFmtId="0" fontId="7" fillId="0" borderId="6" xfId="0" applyFont="1" applyFill="1" applyBorder="1" applyAlignment="1">
      <alignment horizontal="right" vertical="center"/>
    </xf>
    <xf numFmtId="10" fontId="6" fillId="0" borderId="0" xfId="0" applyNumberFormat="1" applyFont="1" applyFill="1" applyBorder="1"/>
    <xf numFmtId="10" fontId="6" fillId="0" borderId="6" xfId="0" applyNumberFormat="1" applyFont="1" applyFill="1" applyBorder="1" applyAlignment="1">
      <alignment horizontal="right" vertical="center"/>
    </xf>
    <xf numFmtId="10" fontId="6" fillId="0" borderId="23" xfId="0" applyNumberFormat="1" applyFont="1" applyFill="1" applyBorder="1" applyAlignment="1">
      <alignment horizontal="right" vertical="center"/>
    </xf>
    <xf numFmtId="10" fontId="6" fillId="0" borderId="10" xfId="0" applyNumberFormat="1" applyFont="1" applyFill="1" applyBorder="1" applyAlignment="1">
      <alignment vertical="center"/>
    </xf>
    <xf numFmtId="10" fontId="6" fillId="0" borderId="0" xfId="0" applyNumberFormat="1" applyFont="1" applyFill="1" applyBorder="1" applyAlignment="1">
      <alignment vertical="center"/>
    </xf>
    <xf numFmtId="10" fontId="6" fillId="0" borderId="13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0" fontId="6" fillId="0" borderId="25" xfId="0" applyNumberFormat="1" applyFont="1" applyFill="1" applyBorder="1" applyAlignment="1">
      <alignment vertical="center"/>
    </xf>
    <xf numFmtId="10" fontId="6" fillId="0" borderId="6" xfId="0" applyNumberFormat="1" applyFont="1" applyFill="1" applyBorder="1" applyAlignment="1">
      <alignment vertical="center"/>
    </xf>
    <xf numFmtId="10" fontId="6" fillId="0" borderId="23" xfId="0" applyNumberFormat="1" applyFont="1" applyFill="1" applyBorder="1" applyAlignment="1">
      <alignment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>
      <alignment horizontal="center" vertical="center"/>
    </xf>
    <xf numFmtId="43" fontId="7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10" fontId="6" fillId="0" borderId="13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right" vertical="center"/>
    </xf>
    <xf numFmtId="10" fontId="6" fillId="0" borderId="13" xfId="0" applyNumberFormat="1" applyFont="1" applyFill="1" applyBorder="1" applyAlignment="1">
      <alignment horizontal="right" vertical="center"/>
    </xf>
    <xf numFmtId="164" fontId="7" fillId="0" borderId="0" xfId="0" applyNumberFormat="1" applyFont="1" applyFill="1"/>
    <xf numFmtId="0" fontId="7" fillId="0" borderId="10" xfId="0" applyFont="1" applyFill="1" applyBorder="1" applyAlignment="1"/>
    <xf numFmtId="43" fontId="7" fillId="0" borderId="13" xfId="0" applyNumberFormat="1" applyFont="1" applyFill="1" applyBorder="1"/>
    <xf numFmtId="164" fontId="7" fillId="0" borderId="6" xfId="0" applyNumberFormat="1" applyFont="1" applyFill="1" applyBorder="1" applyAlignment="1">
      <alignment horizontal="center" vertical="center"/>
    </xf>
    <xf numFmtId="164" fontId="7" fillId="0" borderId="23" xfId="0" applyNumberFormat="1" applyFont="1" applyFill="1" applyBorder="1" applyAlignment="1">
      <alignment vertical="center"/>
    </xf>
    <xf numFmtId="43" fontId="7" fillId="0" borderId="6" xfId="0" applyNumberFormat="1" applyFont="1" applyFill="1" applyBorder="1"/>
    <xf numFmtId="43" fontId="7" fillId="0" borderId="23" xfId="0" applyNumberFormat="1" applyFont="1" applyFill="1" applyBorder="1"/>
    <xf numFmtId="164" fontId="6" fillId="0" borderId="0" xfId="0" applyNumberFormat="1" applyFont="1" applyFill="1" applyBorder="1" applyAlignment="1">
      <alignment horizontal="centerContinuous" vertical="center"/>
    </xf>
    <xf numFmtId="164" fontId="6" fillId="0" borderId="0" xfId="0" applyNumberFormat="1" applyFont="1" applyFill="1" applyBorder="1"/>
    <xf numFmtId="164" fontId="6" fillId="0" borderId="13" xfId="0" applyNumberFormat="1" applyFont="1" applyFill="1" applyBorder="1" applyAlignment="1">
      <alignment horizontal="centerContinuous" vertical="center"/>
    </xf>
    <xf numFmtId="0" fontId="7" fillId="0" borderId="13" xfId="0" applyFont="1" applyFill="1" applyBorder="1" applyAlignment="1">
      <alignment vertical="center"/>
    </xf>
    <xf numFmtId="0" fontId="1" fillId="0" borderId="0" xfId="0" applyFont="1" applyFill="1" applyBorder="1"/>
    <xf numFmtId="164" fontId="7" fillId="0" borderId="6" xfId="0" applyNumberFormat="1" applyFont="1" applyFill="1" applyBorder="1"/>
    <xf numFmtId="164" fontId="6" fillId="0" borderId="23" xfId="0" applyNumberFormat="1" applyFont="1" applyFill="1" applyBorder="1" applyAlignment="1">
      <alignment horizontal="center" vertical="center"/>
    </xf>
    <xf numFmtId="164" fontId="7" fillId="0" borderId="53" xfId="0" applyNumberFormat="1" applyFont="1" applyFill="1" applyBorder="1"/>
    <xf numFmtId="164" fontId="7" fillId="0" borderId="2" xfId="0" applyNumberFormat="1" applyFont="1" applyFill="1" applyBorder="1"/>
    <xf numFmtId="0" fontId="7" fillId="0" borderId="26" xfId="0" applyFont="1" applyFill="1" applyBorder="1"/>
    <xf numFmtId="43" fontId="6" fillId="0" borderId="0" xfId="0" applyNumberFormat="1" applyFont="1" applyFill="1" applyBorder="1" applyAlignment="1">
      <alignment horizontal="centerContinuous" vertical="center"/>
    </xf>
    <xf numFmtId="0" fontId="7" fillId="0" borderId="41" xfId="0" applyFont="1" applyFill="1" applyBorder="1" applyAlignment="1">
      <alignment vertical="center"/>
    </xf>
    <xf numFmtId="10" fontId="6" fillId="0" borderId="7" xfId="0" applyNumberFormat="1" applyFont="1" applyFill="1" applyBorder="1" applyAlignment="1">
      <alignment horizontal="right" vertical="center"/>
    </xf>
    <xf numFmtId="10" fontId="6" fillId="0" borderId="21" xfId="0" applyNumberFormat="1" applyFont="1" applyFill="1" applyBorder="1" applyAlignment="1">
      <alignment horizontal="right" vertical="center"/>
    </xf>
    <xf numFmtId="166" fontId="6" fillId="0" borderId="5" xfId="0" applyNumberFormat="1" applyFont="1" applyFill="1" applyBorder="1" applyAlignment="1">
      <alignment horizontal="centerContinuous" vertical="center"/>
    </xf>
    <xf numFmtId="166" fontId="6" fillId="0" borderId="24" xfId="0" applyNumberFormat="1" applyFont="1" applyFill="1" applyBorder="1" applyAlignment="1">
      <alignment horizontal="centerContinuous" vertical="center"/>
    </xf>
    <xf numFmtId="166" fontId="7" fillId="0" borderId="0" xfId="0" applyNumberFormat="1" applyFont="1" applyFill="1" applyAlignment="1">
      <alignment horizontal="left" vertical="center"/>
    </xf>
    <xf numFmtId="166" fontId="6" fillId="0" borderId="40" xfId="0" applyNumberFormat="1" applyFont="1" applyFill="1" applyBorder="1" applyAlignment="1">
      <alignment horizontal="centerContinuous" vertical="center"/>
    </xf>
    <xf numFmtId="0" fontId="7" fillId="0" borderId="14" xfId="0" applyFont="1" applyFill="1" applyBorder="1" applyAlignment="1">
      <alignment horizontal="centerContinuous"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16" xfId="0" applyFont="1" applyFill="1" applyBorder="1" applyAlignment="1">
      <alignment horizontal="centerContinuous" vertical="center"/>
    </xf>
    <xf numFmtId="167" fontId="7" fillId="0" borderId="14" xfId="0" applyNumberFormat="1" applyFont="1" applyFill="1" applyBorder="1" applyAlignment="1">
      <alignment vertical="center"/>
    </xf>
    <xf numFmtId="167" fontId="7" fillId="0" borderId="3" xfId="0" applyNumberFormat="1" applyFont="1" applyFill="1" applyBorder="1" applyAlignment="1">
      <alignment vertical="center"/>
    </xf>
    <xf numFmtId="167" fontId="7" fillId="0" borderId="16" xfId="0" applyNumberFormat="1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167" fontId="10" fillId="0" borderId="3" xfId="0" applyNumberFormat="1" applyFont="1" applyFill="1" applyBorder="1" applyAlignment="1">
      <alignment vertical="center"/>
    </xf>
    <xf numFmtId="167" fontId="10" fillId="0" borderId="16" xfId="0" applyNumberFormat="1" applyFont="1" applyFill="1" applyBorder="1" applyAlignment="1">
      <alignment vertical="center"/>
    </xf>
    <xf numFmtId="43" fontId="12" fillId="0" borderId="0" xfId="0" applyNumberFormat="1" applyFont="1" applyFill="1"/>
    <xf numFmtId="43" fontId="12" fillId="0" borderId="0" xfId="0" applyNumberFormat="1" applyFont="1" applyFill="1" applyAlignment="1">
      <alignment horizontal="right"/>
    </xf>
    <xf numFmtId="0" fontId="6" fillId="0" borderId="5" xfId="0" applyFont="1" applyFill="1" applyBorder="1" applyAlignment="1">
      <alignment horizontal="right"/>
    </xf>
    <xf numFmtId="9" fontId="13" fillId="0" borderId="0" xfId="0" applyNumberFormat="1" applyFont="1" applyFill="1" applyAlignment="1">
      <alignment horizontal="center"/>
    </xf>
    <xf numFmtId="0" fontId="6" fillId="0" borderId="14" xfId="0" applyFont="1" applyFill="1" applyBorder="1"/>
    <xf numFmtId="16" fontId="7" fillId="0" borderId="42" xfId="0" applyNumberFormat="1" applyFont="1" applyFill="1" applyBorder="1" applyAlignment="1">
      <alignment horizontal="right"/>
    </xf>
    <xf numFmtId="175" fontId="7" fillId="0" borderId="37" xfId="0" applyNumberFormat="1" applyFont="1" applyFill="1" applyBorder="1"/>
    <xf numFmtId="43" fontId="1" fillId="0" borderId="4" xfId="0" applyNumberFormat="1" applyFont="1" applyFill="1" applyBorder="1"/>
    <xf numFmtId="43" fontId="7" fillId="0" borderId="4" xfId="0" applyNumberFormat="1" applyFont="1" applyFill="1" applyBorder="1"/>
    <xf numFmtId="41" fontId="6" fillId="0" borderId="18" xfId="0" applyNumberFormat="1" applyFont="1" applyFill="1" applyBorder="1" applyAlignment="1">
      <alignment horizontal="center" wrapText="1"/>
    </xf>
    <xf numFmtId="42" fontId="6" fillId="0" borderId="18" xfId="0" applyNumberFormat="1" applyFont="1" applyFill="1" applyBorder="1" applyAlignment="1">
      <alignment wrapText="1"/>
    </xf>
    <xf numFmtId="0" fontId="6" fillId="0" borderId="19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41" fontId="6" fillId="0" borderId="0" xfId="0" applyNumberFormat="1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left"/>
    </xf>
    <xf numFmtId="164" fontId="12" fillId="0" borderId="0" xfId="0" applyNumberFormat="1" applyFont="1" applyFill="1" applyBorder="1"/>
    <xf numFmtId="164" fontId="12" fillId="0" borderId="13" xfId="0" applyNumberFormat="1" applyFont="1" applyFill="1" applyBorder="1"/>
    <xf numFmtId="43" fontId="1" fillId="0" borderId="0" xfId="0" applyNumberFormat="1" applyFont="1" applyFill="1"/>
    <xf numFmtId="43" fontId="6" fillId="0" borderId="51" xfId="0" applyNumberFormat="1" applyFont="1" applyFill="1" applyBorder="1"/>
    <xf numFmtId="164" fontId="12" fillId="0" borderId="6" xfId="0" applyNumberFormat="1" applyFont="1" applyFill="1" applyBorder="1"/>
    <xf numFmtId="164" fontId="12" fillId="0" borderId="23" xfId="0" applyNumberFormat="1" applyFont="1" applyFill="1" applyBorder="1"/>
    <xf numFmtId="0" fontId="7" fillId="0" borderId="4" xfId="0" applyFont="1" applyFill="1" applyBorder="1"/>
    <xf numFmtId="0" fontId="6" fillId="0" borderId="10" xfId="0" applyFont="1" applyFill="1" applyBorder="1"/>
    <xf numFmtId="164" fontId="6" fillId="0" borderId="13" xfId="0" applyNumberFormat="1" applyFont="1" applyFill="1" applyBorder="1"/>
    <xf numFmtId="0" fontId="10" fillId="0" borderId="10" xfId="0" applyFont="1" applyFill="1" applyBorder="1" applyAlignment="1">
      <alignment horizontal="right"/>
    </xf>
    <xf numFmtId="39" fontId="12" fillId="0" borderId="4" xfId="0" applyNumberFormat="1" applyFont="1" applyFill="1" applyBorder="1"/>
    <xf numFmtId="43" fontId="12" fillId="0" borderId="4" xfId="0" applyNumberFormat="1" applyFont="1" applyFill="1" applyBorder="1"/>
    <xf numFmtId="164" fontId="6" fillId="0" borderId="3" xfId="0" applyNumberFormat="1" applyFont="1" applyFill="1" applyBorder="1"/>
    <xf numFmtId="164" fontId="6" fillId="0" borderId="16" xfId="0" applyNumberFormat="1" applyFont="1" applyFill="1" applyBorder="1"/>
    <xf numFmtId="165" fontId="7" fillId="0" borderId="4" xfId="0" applyNumberFormat="1" applyFont="1" applyFill="1" applyBorder="1"/>
    <xf numFmtId="41" fontId="7" fillId="0" borderId="0" xfId="0" applyNumberFormat="1" applyFont="1" applyFill="1"/>
    <xf numFmtId="0" fontId="10" fillId="0" borderId="0" xfId="0" applyFont="1" applyFill="1"/>
    <xf numFmtId="0" fontId="1" fillId="0" borderId="0" xfId="0" applyFont="1" applyFill="1"/>
    <xf numFmtId="0" fontId="6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right"/>
    </xf>
    <xf numFmtId="3" fontId="15" fillId="0" borderId="4" xfId="0" applyNumberFormat="1" applyFont="1" applyFill="1" applyBorder="1" applyAlignment="1">
      <alignment horizontal="right"/>
    </xf>
    <xf numFmtId="168" fontId="15" fillId="0" borderId="4" xfId="0" applyNumberFormat="1" applyFont="1" applyFill="1" applyBorder="1" applyAlignment="1">
      <alignment horizontal="right"/>
    </xf>
    <xf numFmtId="3" fontId="15" fillId="0" borderId="4" xfId="0" applyNumberFormat="1" applyFont="1" applyFill="1" applyBorder="1"/>
    <xf numFmtId="168" fontId="15" fillId="0" borderId="4" xfId="0" applyNumberFormat="1" applyFont="1" applyFill="1" applyBorder="1"/>
    <xf numFmtId="44" fontId="15" fillId="0" borderId="4" xfId="0" applyNumberFormat="1" applyFont="1" applyFill="1" applyBorder="1"/>
    <xf numFmtId="169" fontId="15" fillId="0" borderId="4" xfId="0" applyNumberFormat="1" applyFont="1" applyFill="1" applyBorder="1"/>
    <xf numFmtId="166" fontId="15" fillId="0" borderId="4" xfId="0" applyNumberFormat="1" applyFont="1" applyFill="1" applyBorder="1"/>
    <xf numFmtId="0" fontId="16" fillId="0" borderId="4" xfId="0" applyFont="1" applyFill="1" applyBorder="1"/>
    <xf numFmtId="0" fontId="10" fillId="0" borderId="4" xfId="0" applyFont="1" applyFill="1" applyBorder="1"/>
    <xf numFmtId="3" fontId="7" fillId="0" borderId="4" xfId="0" applyNumberFormat="1" applyFont="1" applyFill="1" applyBorder="1"/>
    <xf numFmtId="4" fontId="15" fillId="0" borderId="4" xfId="0" applyNumberFormat="1" applyFont="1" applyFill="1" applyBorder="1"/>
    <xf numFmtId="164" fontId="15" fillId="0" borderId="4" xfId="0" applyNumberFormat="1" applyFont="1" applyFill="1" applyBorder="1"/>
    <xf numFmtId="164" fontId="17" fillId="0" borderId="0" xfId="0" applyNumberFormat="1" applyFont="1" applyFill="1" applyBorder="1" applyAlignment="1">
      <alignment horizontal="center" vertical="top"/>
    </xf>
    <xf numFmtId="43" fontId="17" fillId="0" borderId="0" xfId="0" applyNumberFormat="1" applyFont="1" applyFill="1" applyBorder="1" applyAlignment="1">
      <alignment horizontal="center" vertical="top"/>
    </xf>
    <xf numFmtId="4" fontId="15" fillId="0" borderId="4" xfId="0" applyNumberFormat="1" applyFont="1" applyFill="1" applyBorder="1" applyAlignment="1"/>
    <xf numFmtId="164" fontId="17" fillId="0" borderId="0" xfId="0" applyNumberFormat="1" applyFont="1" applyFill="1" applyBorder="1" applyAlignment="1">
      <alignment horizontal="right" vertical="top"/>
    </xf>
    <xf numFmtId="43" fontId="17" fillId="0" borderId="0" xfId="0" applyNumberFormat="1" applyFont="1" applyFill="1" applyBorder="1" applyAlignment="1">
      <alignment horizontal="right" vertical="top"/>
    </xf>
    <xf numFmtId="164" fontId="17" fillId="0" borderId="0" xfId="0" applyNumberFormat="1" applyFont="1" applyFill="1" applyBorder="1" applyAlignment="1">
      <alignment vertical="top"/>
    </xf>
    <xf numFmtId="43" fontId="17" fillId="0" borderId="0" xfId="0" applyNumberFormat="1" applyFont="1" applyFill="1" applyBorder="1" applyAlignment="1">
      <alignment vertical="top"/>
    </xf>
    <xf numFmtId="170" fontId="15" fillId="0" borderId="4" xfId="0" applyNumberFormat="1" applyFont="1" applyFill="1" applyBorder="1"/>
    <xf numFmtId="168" fontId="10" fillId="0" borderId="4" xfId="0" applyNumberFormat="1" applyFont="1" applyFill="1" applyBorder="1"/>
    <xf numFmtId="0" fontId="7" fillId="0" borderId="4" xfId="0" applyFont="1" applyFill="1" applyBorder="1" applyAlignment="1">
      <alignment wrapText="1"/>
    </xf>
    <xf numFmtId="166" fontId="14" fillId="0" borderId="4" xfId="0" applyNumberFormat="1" applyFont="1" applyFill="1" applyBorder="1"/>
    <xf numFmtId="0" fontId="6" fillId="0" borderId="4" xfId="0" applyFont="1" applyFill="1" applyBorder="1"/>
    <xf numFmtId="166" fontId="7" fillId="0" borderId="0" xfId="0" applyNumberFormat="1" applyFont="1" applyFill="1"/>
    <xf numFmtId="166" fontId="1" fillId="0" borderId="0" xfId="0" applyNumberFormat="1" applyFont="1" applyFill="1"/>
    <xf numFmtId="44" fontId="7" fillId="0" borderId="4" xfId="0" applyNumberFormat="1" applyFont="1" applyFill="1" applyBorder="1"/>
    <xf numFmtId="166" fontId="7" fillId="0" borderId="4" xfId="0" applyNumberFormat="1" applyFont="1" applyFill="1" applyBorder="1"/>
    <xf numFmtId="0" fontId="7" fillId="0" borderId="52" xfId="0" applyFont="1" applyFill="1" applyBorder="1"/>
    <xf numFmtId="43" fontId="7" fillId="0" borderId="43" xfId="0" applyNumberFormat="1" applyFont="1" applyFill="1" applyBorder="1"/>
    <xf numFmtId="43" fontId="6" fillId="0" borderId="44" xfId="0" applyNumberFormat="1" applyFont="1" applyFill="1" applyBorder="1"/>
    <xf numFmtId="43" fontId="6" fillId="0" borderId="4" xfId="0" applyNumberFormat="1" applyFont="1" applyFill="1" applyBorder="1"/>
    <xf numFmtId="44" fontId="6" fillId="0" borderId="4" xfId="0" applyNumberFormat="1" applyFont="1" applyFill="1" applyBorder="1"/>
    <xf numFmtId="166" fontId="6" fillId="0" borderId="4" xfId="0" applyNumberFormat="1" applyFont="1" applyFill="1" applyBorder="1"/>
    <xf numFmtId="43" fontId="6" fillId="0" borderId="45" xfId="0" applyNumberFormat="1" applyFont="1" applyFill="1" applyBorder="1"/>
    <xf numFmtId="44" fontId="7" fillId="0" borderId="0" xfId="0" applyNumberFormat="1" applyFont="1" applyFill="1"/>
    <xf numFmtId="0" fontId="9" fillId="0" borderId="0" xfId="0" applyFont="1" applyFill="1"/>
    <xf numFmtId="0" fontId="12" fillId="0" borderId="0" xfId="0" applyFont="1" applyFill="1"/>
    <xf numFmtId="0" fontId="11" fillId="0" borderId="0" xfId="0" applyFont="1" applyFill="1"/>
    <xf numFmtId="0" fontId="7" fillId="0" borderId="0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10" fontId="6" fillId="0" borderId="29" xfId="0" applyNumberFormat="1" applyFont="1" applyFill="1" applyBorder="1" applyAlignment="1">
      <alignment horizontal="center"/>
    </xf>
    <xf numFmtId="10" fontId="6" fillId="0" borderId="28" xfId="0" applyNumberFormat="1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10" fontId="6" fillId="0" borderId="34" xfId="0" applyNumberFormat="1" applyFont="1" applyFill="1" applyBorder="1" applyAlignment="1">
      <alignment horizontal="center"/>
    </xf>
    <xf numFmtId="10" fontId="6" fillId="0" borderId="22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Continuous" vertical="center"/>
    </xf>
    <xf numFmtId="41" fontId="7" fillId="0" borderId="0" xfId="0" applyNumberFormat="1" applyFont="1" applyFill="1" applyBorder="1" applyAlignment="1">
      <alignment horizontal="center"/>
    </xf>
    <xf numFmtId="10" fontId="7" fillId="0" borderId="0" xfId="0" applyNumberFormat="1" applyFont="1" applyFill="1"/>
    <xf numFmtId="41" fontId="7" fillId="0" borderId="0" xfId="0" applyNumberFormat="1" applyFont="1" applyFill="1" applyAlignment="1">
      <alignment horizontal="centerContinuous"/>
    </xf>
    <xf numFmtId="0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Continuous"/>
    </xf>
    <xf numFmtId="42" fontId="6" fillId="0" borderId="5" xfId="0" applyNumberFormat="1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10" fontId="7" fillId="0" borderId="0" xfId="0" applyNumberFormat="1" applyFont="1" applyFill="1" applyBorder="1"/>
    <xf numFmtId="10" fontId="7" fillId="0" borderId="13" xfId="0" applyNumberFormat="1" applyFont="1" applyFill="1" applyBorder="1"/>
    <xf numFmtId="164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0" fontId="7" fillId="0" borderId="3" xfId="0" applyNumberFormat="1" applyFont="1" applyFill="1" applyBorder="1"/>
    <xf numFmtId="10" fontId="7" fillId="0" borderId="16" xfId="0" applyNumberFormat="1" applyFont="1" applyFill="1" applyBorder="1"/>
    <xf numFmtId="0" fontId="21" fillId="0" borderId="0" xfId="0" applyFont="1" applyFill="1"/>
    <xf numFmtId="0" fontId="1" fillId="0" borderId="0" xfId="0" applyFont="1" applyFill="1" applyBorder="1" applyAlignment="1">
      <alignment vertical="top"/>
    </xf>
    <xf numFmtId="0" fontId="22" fillId="0" borderId="0" xfId="0" applyFont="1" applyFill="1" applyBorder="1" applyAlignment="1">
      <alignment horizontal="center" vertical="top"/>
    </xf>
    <xf numFmtId="0" fontId="22" fillId="0" borderId="3" xfId="0" applyFont="1" applyFill="1" applyBorder="1" applyAlignment="1">
      <alignment horizontal="center" vertical="top"/>
    </xf>
    <xf numFmtId="14" fontId="23" fillId="0" borderId="42" xfId="0" applyNumberFormat="1" applyFont="1" applyFill="1" applyBorder="1" applyAlignment="1">
      <alignment vertical="top"/>
    </xf>
    <xf numFmtId="164" fontId="17" fillId="0" borderId="50" xfId="0" applyNumberFormat="1" applyFont="1" applyFill="1" applyBorder="1" applyAlignment="1">
      <alignment horizontal="center" vertical="top" wrapText="1"/>
    </xf>
    <xf numFmtId="0" fontId="17" fillId="0" borderId="15" xfId="0" applyFont="1" applyFill="1" applyBorder="1" applyAlignment="1">
      <alignment horizontal="center" vertical="top" wrapText="1"/>
    </xf>
    <xf numFmtId="0" fontId="17" fillId="0" borderId="42" xfId="0" applyFont="1" applyFill="1" applyBorder="1" applyAlignment="1">
      <alignment horizontal="center" vertical="top" wrapText="1"/>
    </xf>
    <xf numFmtId="0" fontId="24" fillId="0" borderId="9" xfId="0" applyFont="1" applyFill="1" applyBorder="1" applyAlignment="1">
      <alignment vertical="top"/>
    </xf>
    <xf numFmtId="164" fontId="1" fillId="0" borderId="0" xfId="0" applyNumberFormat="1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25" fillId="0" borderId="9" xfId="0" applyFont="1" applyFill="1" applyBorder="1" applyAlignment="1">
      <alignment vertical="top"/>
    </xf>
    <xf numFmtId="164" fontId="25" fillId="0" borderId="0" xfId="0" applyNumberFormat="1" applyFont="1" applyFill="1" applyBorder="1" applyAlignment="1">
      <alignment horizontal="center" vertical="top"/>
    </xf>
    <xf numFmtId="164" fontId="1" fillId="0" borderId="10" xfId="0" applyNumberFormat="1" applyFont="1" applyFill="1" applyBorder="1" applyAlignment="1">
      <alignment vertical="top"/>
    </xf>
    <xf numFmtId="164" fontId="25" fillId="0" borderId="6" xfId="0" applyNumberFormat="1" applyFont="1" applyFill="1" applyBorder="1" applyAlignment="1">
      <alignment horizontal="center" vertical="top"/>
    </xf>
    <xf numFmtId="41" fontId="1" fillId="0" borderId="25" xfId="0" applyNumberFormat="1" applyFont="1" applyFill="1" applyBorder="1" applyAlignment="1">
      <alignment vertical="top"/>
    </xf>
    <xf numFmtId="164" fontId="17" fillId="0" borderId="2" xfId="0" applyNumberFormat="1" applyFont="1" applyFill="1" applyBorder="1" applyAlignment="1">
      <alignment horizontal="center" vertical="top"/>
    </xf>
    <xf numFmtId="41" fontId="17" fillId="0" borderId="2" xfId="0" applyNumberFormat="1" applyFont="1" applyFill="1" applyBorder="1" applyAlignment="1">
      <alignment horizontal="center" vertical="top"/>
    </xf>
    <xf numFmtId="0" fontId="25" fillId="0" borderId="0" xfId="0" applyFont="1" applyFill="1" applyBorder="1" applyAlignment="1">
      <alignment vertical="top"/>
    </xf>
    <xf numFmtId="41" fontId="1" fillId="0" borderId="10" xfId="0" applyNumberFormat="1" applyFont="1" applyFill="1" applyBorder="1" applyAlignment="1">
      <alignment vertical="top"/>
    </xf>
    <xf numFmtId="164" fontId="1" fillId="0" borderId="9" xfId="0" applyNumberFormat="1" applyFont="1" applyFill="1" applyBorder="1" applyAlignment="1">
      <alignment vertical="top"/>
    </xf>
    <xf numFmtId="173" fontId="1" fillId="0" borderId="0" xfId="0" applyNumberFormat="1" applyFont="1" applyFill="1" applyBorder="1" applyAlignment="1">
      <alignment vertical="top"/>
    </xf>
    <xf numFmtId="41" fontId="17" fillId="0" borderId="20" xfId="0" applyNumberFormat="1" applyFont="1" applyFill="1" applyBorder="1" applyAlignment="1">
      <alignment vertical="top"/>
    </xf>
    <xf numFmtId="41" fontId="17" fillId="0" borderId="36" xfId="0" applyNumberFormat="1" applyFont="1" applyFill="1" applyBorder="1" applyAlignment="1">
      <alignment vertical="top"/>
    </xf>
    <xf numFmtId="41" fontId="1" fillId="0" borderId="0" xfId="0" applyNumberFormat="1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27" fillId="0" borderId="9" xfId="0" applyFont="1" applyFill="1" applyBorder="1" applyAlignment="1">
      <alignment vertical="top"/>
    </xf>
    <xf numFmtId="0" fontId="28" fillId="0" borderId="9" xfId="0" applyFont="1" applyFill="1" applyBorder="1" applyAlignment="1">
      <alignment vertical="top"/>
    </xf>
    <xf numFmtId="164" fontId="1" fillId="0" borderId="38" xfId="0" applyNumberFormat="1" applyFont="1" applyFill="1" applyBorder="1" applyAlignment="1">
      <alignment vertical="top"/>
    </xf>
    <xf numFmtId="164" fontId="25" fillId="0" borderId="0" xfId="0" applyNumberFormat="1" applyFont="1" applyFill="1" applyBorder="1" applyAlignment="1">
      <alignment vertical="top"/>
    </xf>
    <xf numFmtId="41" fontId="1" fillId="0" borderId="9" xfId="0" applyNumberFormat="1" applyFont="1" applyFill="1" applyBorder="1" applyAlignment="1">
      <alignment vertical="top"/>
    </xf>
    <xf numFmtId="164" fontId="25" fillId="0" borderId="6" xfId="0" applyNumberFormat="1" applyFont="1" applyFill="1" applyBorder="1" applyAlignment="1">
      <alignment vertical="top"/>
    </xf>
    <xf numFmtId="164" fontId="17" fillId="0" borderId="13" xfId="0" applyNumberFormat="1" applyFont="1" applyFill="1" applyBorder="1" applyAlignment="1">
      <alignment vertical="top"/>
    </xf>
    <xf numFmtId="41" fontId="17" fillId="0" borderId="10" xfId="0" applyNumberFormat="1" applyFont="1" applyFill="1" applyBorder="1" applyAlignment="1">
      <alignment vertical="top"/>
    </xf>
    <xf numFmtId="41" fontId="17" fillId="0" borderId="9" xfId="0" applyNumberFormat="1" applyFont="1" applyFill="1" applyBorder="1" applyAlignment="1">
      <alignment vertical="top"/>
    </xf>
    <xf numFmtId="164" fontId="26" fillId="0" borderId="0" xfId="0" applyNumberFormat="1" applyFont="1" applyFill="1" applyBorder="1" applyAlignment="1">
      <alignment vertical="top"/>
    </xf>
    <xf numFmtId="44" fontId="1" fillId="0" borderId="0" xfId="0" applyNumberFormat="1" applyFont="1" applyFill="1" applyBorder="1" applyAlignment="1">
      <alignment vertical="top"/>
    </xf>
    <xf numFmtId="0" fontId="1" fillId="0" borderId="9" xfId="0" applyFont="1" applyFill="1" applyBorder="1"/>
    <xf numFmtId="0" fontId="17" fillId="0" borderId="9" xfId="0" applyFont="1" applyFill="1" applyBorder="1" applyAlignment="1">
      <alignment vertical="top"/>
    </xf>
    <xf numFmtId="164" fontId="17" fillId="0" borderId="26" xfId="0" applyNumberFormat="1" applyFont="1" applyFill="1" applyBorder="1" applyAlignment="1">
      <alignment vertical="top"/>
    </xf>
    <xf numFmtId="41" fontId="17" fillId="0" borderId="53" xfId="0" applyNumberFormat="1" applyFont="1" applyFill="1" applyBorder="1" applyAlignment="1">
      <alignment vertical="top"/>
    </xf>
    <xf numFmtId="41" fontId="17" fillId="0" borderId="35" xfId="0" applyNumberFormat="1" applyFont="1" applyFill="1" applyBorder="1" applyAlignment="1">
      <alignment vertical="top"/>
    </xf>
    <xf numFmtId="164" fontId="17" fillId="0" borderId="23" xfId="0" applyNumberFormat="1" applyFont="1" applyFill="1" applyBorder="1" applyAlignment="1">
      <alignment vertical="top"/>
    </xf>
    <xf numFmtId="41" fontId="17" fillId="0" borderId="25" xfId="0" applyNumberFormat="1" applyFont="1" applyFill="1" applyBorder="1" applyAlignment="1">
      <alignment vertical="top"/>
    </xf>
    <xf numFmtId="41" fontId="17" fillId="0" borderId="38" xfId="0" applyNumberFormat="1" applyFont="1" applyFill="1" applyBorder="1" applyAlignment="1">
      <alignment vertical="top"/>
    </xf>
    <xf numFmtId="0" fontId="1" fillId="0" borderId="20" xfId="0" applyFont="1" applyFill="1" applyBorder="1" applyAlignment="1">
      <alignment vertical="top"/>
    </xf>
    <xf numFmtId="164" fontId="25" fillId="0" borderId="3" xfId="0" applyNumberFormat="1" applyFont="1" applyFill="1" applyBorder="1" applyAlignment="1">
      <alignment horizontal="right" vertical="top"/>
    </xf>
    <xf numFmtId="0" fontId="1" fillId="0" borderId="14" xfId="0" applyFont="1" applyFill="1" applyBorder="1" applyAlignment="1">
      <alignment vertical="top"/>
    </xf>
    <xf numFmtId="0" fontId="1" fillId="0" borderId="37" xfId="0" applyFont="1" applyFill="1" applyBorder="1" applyAlignment="1">
      <alignment vertical="top"/>
    </xf>
    <xf numFmtId="0" fontId="26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vertical="top"/>
    </xf>
    <xf numFmtId="0" fontId="6" fillId="0" borderId="0" xfId="0" quotePrefix="1" applyFont="1" applyFill="1"/>
    <xf numFmtId="0" fontId="6" fillId="0" borderId="17" xfId="0" applyFont="1" applyFill="1" applyBorder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56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2" fontId="7" fillId="0" borderId="13" xfId="0" applyNumberFormat="1" applyFont="1" applyFill="1" applyBorder="1"/>
    <xf numFmtId="42" fontId="7" fillId="0" borderId="9" xfId="0" applyNumberFormat="1" applyFont="1" applyFill="1" applyBorder="1"/>
    <xf numFmtId="0" fontId="19" fillId="0" borderId="10" xfId="0" applyFont="1" applyFill="1" applyBorder="1" applyAlignment="1"/>
    <xf numFmtId="0" fontId="7" fillId="0" borderId="9" xfId="0" applyFont="1" applyFill="1" applyBorder="1" applyAlignment="1"/>
    <xf numFmtId="164" fontId="7" fillId="0" borderId="13" xfId="0" applyNumberFormat="1" applyFont="1" applyFill="1" applyBorder="1" applyAlignment="1"/>
    <xf numFmtId="164" fontId="7" fillId="0" borderId="9" xfId="0" applyNumberFormat="1" applyFont="1" applyFill="1" applyBorder="1" applyAlignment="1"/>
    <xf numFmtId="0" fontId="7" fillId="0" borderId="25" xfId="0" applyFont="1" applyFill="1" applyBorder="1" applyAlignment="1"/>
    <xf numFmtId="0" fontId="7" fillId="0" borderId="6" xfId="0" applyFont="1" applyFill="1" applyBorder="1" applyAlignment="1"/>
    <xf numFmtId="164" fontId="7" fillId="0" borderId="23" xfId="0" applyNumberFormat="1" applyFont="1" applyFill="1" applyBorder="1" applyAlignment="1"/>
    <xf numFmtId="0" fontId="10" fillId="0" borderId="0" xfId="0" applyFont="1" applyFill="1" applyBorder="1" applyAlignment="1">
      <alignment horizontal="center"/>
    </xf>
    <xf numFmtId="164" fontId="7" fillId="0" borderId="38" xfId="0" applyNumberFormat="1" applyFont="1" applyFill="1" applyBorder="1" applyAlignment="1"/>
    <xf numFmtId="0" fontId="29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9" fillId="0" borderId="10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41" fontId="7" fillId="0" borderId="23" xfId="0" applyNumberFormat="1" applyFont="1" applyFill="1" applyBorder="1"/>
    <xf numFmtId="41" fontId="7" fillId="0" borderId="38" xfId="0" applyNumberFormat="1" applyFont="1" applyFill="1" applyBorder="1"/>
    <xf numFmtId="10" fontId="7" fillId="0" borderId="3" xfId="0" applyNumberFormat="1" applyFont="1" applyFill="1" applyBorder="1" applyAlignment="1">
      <alignment horizontal="center"/>
    </xf>
    <xf numFmtId="0" fontId="29" fillId="0" borderId="3" xfId="0" applyFont="1" applyFill="1" applyBorder="1" applyAlignment="1">
      <alignment horizontal="center"/>
    </xf>
    <xf numFmtId="42" fontId="7" fillId="0" borderId="16" xfId="0" applyNumberFormat="1" applyFont="1" applyFill="1" applyBorder="1"/>
    <xf numFmtId="42" fontId="7" fillId="0" borderId="37" xfId="0" applyNumberFormat="1" applyFont="1" applyFill="1" applyBorder="1"/>
    <xf numFmtId="0" fontId="6" fillId="0" borderId="0" xfId="0" applyFont="1" applyFill="1" applyBorder="1"/>
    <xf numFmtId="42" fontId="7" fillId="0" borderId="42" xfId="0" applyNumberFormat="1" applyFont="1" applyFill="1" applyBorder="1"/>
    <xf numFmtId="166" fontId="7" fillId="0" borderId="13" xfId="0" applyNumberFormat="1" applyFont="1" applyFill="1" applyBorder="1"/>
    <xf numFmtId="42" fontId="10" fillId="0" borderId="0" xfId="0" applyNumberFormat="1" applyFont="1" applyFill="1"/>
    <xf numFmtId="166" fontId="7" fillId="0" borderId="9" xfId="0" applyNumberFormat="1" applyFont="1" applyFill="1" applyBorder="1"/>
    <xf numFmtId="41" fontId="7" fillId="0" borderId="13" xfId="0" applyNumberFormat="1" applyFont="1" applyFill="1" applyBorder="1" applyAlignment="1">
      <alignment horizontal="center"/>
    </xf>
    <xf numFmtId="42" fontId="7" fillId="0" borderId="9" xfId="0" applyNumberFormat="1" applyFont="1" applyFill="1" applyBorder="1" applyAlignment="1"/>
    <xf numFmtId="0" fontId="10" fillId="0" borderId="0" xfId="0" applyFont="1" applyFill="1" applyAlignment="1">
      <alignment horizontal="center"/>
    </xf>
    <xf numFmtId="42" fontId="6" fillId="0" borderId="24" xfId="0" applyNumberFormat="1" applyFont="1" applyFill="1" applyBorder="1"/>
    <xf numFmtId="42" fontId="6" fillId="0" borderId="13" xfId="0" applyNumberFormat="1" applyFont="1" applyFill="1" applyBorder="1"/>
    <xf numFmtId="42" fontId="6" fillId="0" borderId="9" xfId="0" applyNumberFormat="1" applyFont="1" applyFill="1" applyBorder="1"/>
    <xf numFmtId="0" fontId="10" fillId="0" borderId="0" xfId="0" quotePrefix="1" applyFont="1" applyFill="1"/>
    <xf numFmtId="41" fontId="7" fillId="0" borderId="13" xfId="0" applyNumberFormat="1" applyFont="1" applyFill="1" applyBorder="1"/>
    <xf numFmtId="41" fontId="7" fillId="0" borderId="9" xfId="0" applyNumberFormat="1" applyFont="1" applyFill="1" applyBorder="1"/>
    <xf numFmtId="42" fontId="6" fillId="0" borderId="57" xfId="0" applyNumberFormat="1" applyFont="1" applyFill="1" applyBorder="1"/>
    <xf numFmtId="0" fontId="7" fillId="0" borderId="37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64" fontId="12" fillId="0" borderId="0" xfId="0" applyNumberFormat="1" applyFont="1" applyFill="1"/>
    <xf numFmtId="164" fontId="30" fillId="0" borderId="0" xfId="0" applyNumberFormat="1" applyFont="1" applyFill="1" applyBorder="1"/>
    <xf numFmtId="9" fontId="7" fillId="0" borderId="0" xfId="0" applyNumberFormat="1" applyFont="1" applyFill="1" applyAlignment="1">
      <alignment horizontal="center"/>
    </xf>
    <xf numFmtId="164" fontId="6" fillId="0" borderId="8" xfId="0" applyNumberFormat="1" applyFont="1" applyFill="1" applyBorder="1"/>
    <xf numFmtId="41" fontId="10" fillId="0" borderId="0" xfId="0" applyNumberFormat="1" applyFont="1" applyFill="1"/>
    <xf numFmtId="43" fontId="6" fillId="0" borderId="0" xfId="0" applyNumberFormat="1" applyFont="1" applyFill="1" applyBorder="1"/>
    <xf numFmtId="43" fontId="6" fillId="0" borderId="13" xfId="0" applyNumberFormat="1" applyFont="1" applyFill="1" applyBorder="1"/>
    <xf numFmtId="164" fontId="6" fillId="0" borderId="42" xfId="0" applyNumberFormat="1" applyFont="1" applyFill="1" applyBorder="1"/>
    <xf numFmtId="43" fontId="6" fillId="0" borderId="3" xfId="0" applyNumberFormat="1" applyFont="1" applyFill="1" applyBorder="1"/>
    <xf numFmtId="43" fontId="6" fillId="0" borderId="16" xfId="0" applyNumberFormat="1" applyFont="1" applyFill="1" applyBorder="1"/>
    <xf numFmtId="9" fontId="7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3" fillId="0" borderId="0" xfId="0" applyFont="1" applyFill="1"/>
    <xf numFmtId="165" fontId="7" fillId="0" borderId="0" xfId="0" applyNumberFormat="1" applyFont="1" applyFill="1"/>
    <xf numFmtId="164" fontId="30" fillId="0" borderId="0" xfId="0" applyNumberFormat="1" applyFont="1" applyFill="1"/>
    <xf numFmtId="164" fontId="31" fillId="0" borderId="0" xfId="0" applyNumberFormat="1" applyFont="1" applyFill="1"/>
    <xf numFmtId="9" fontId="7" fillId="0" borderId="0" xfId="0" applyNumberFormat="1" applyFont="1" applyFill="1"/>
    <xf numFmtId="0" fontId="8" fillId="0" borderId="0" xfId="0" applyFont="1" applyFill="1" applyAlignment="1">
      <alignment vertical="top"/>
    </xf>
    <xf numFmtId="43" fontId="12" fillId="0" borderId="0" xfId="0" applyNumberFormat="1" applyFont="1" applyFill="1" applyAlignment="1">
      <alignment vertical="top"/>
    </xf>
    <xf numFmtId="0" fontId="19" fillId="0" borderId="0" xfId="0" applyFont="1" applyFill="1" applyAlignment="1">
      <alignment vertical="top"/>
    </xf>
    <xf numFmtId="0" fontId="6" fillId="0" borderId="0" xfId="0" applyFont="1" applyFill="1" applyAlignment="1">
      <alignment horizontal="left" vertical="top"/>
    </xf>
    <xf numFmtId="43" fontId="6" fillId="0" borderId="2" xfId="0" applyNumberFormat="1" applyFont="1" applyFill="1" applyBorder="1" applyAlignment="1">
      <alignment vertical="top"/>
    </xf>
    <xf numFmtId="165" fontId="6" fillId="0" borderId="2" xfId="0" applyNumberFormat="1" applyFont="1" applyFill="1" applyBorder="1" applyAlignment="1">
      <alignment horizontal="left" vertical="top"/>
    </xf>
    <xf numFmtId="164" fontId="7" fillId="0" borderId="0" xfId="0" applyNumberFormat="1" applyFont="1" applyFill="1" applyAlignment="1">
      <alignment vertical="top"/>
    </xf>
    <xf numFmtId="164" fontId="6" fillId="0" borderId="0" xfId="0" applyNumberFormat="1" applyFont="1" applyFill="1" applyAlignment="1">
      <alignment vertical="top"/>
    </xf>
    <xf numFmtId="165" fontId="6" fillId="0" borderId="0" xfId="0" applyNumberFormat="1" applyFont="1" applyFill="1" applyBorder="1" applyAlignment="1">
      <alignment horizontal="center" vertical="top"/>
    </xf>
    <xf numFmtId="0" fontId="7" fillId="0" borderId="0" xfId="0" quotePrefix="1" applyFont="1" applyFill="1" applyAlignment="1">
      <alignment vertical="top"/>
    </xf>
    <xf numFmtId="0" fontId="19" fillId="0" borderId="0" xfId="0" quotePrefix="1" applyFont="1" applyFill="1" applyAlignment="1">
      <alignment vertical="top"/>
    </xf>
    <xf numFmtId="168" fontId="7" fillId="0" borderId="0" xfId="0" applyNumberFormat="1" applyFont="1" applyFill="1" applyBorder="1"/>
    <xf numFmtId="164" fontId="17" fillId="0" borderId="1" xfId="0" applyNumberFormat="1" applyFont="1" applyFill="1" applyBorder="1" applyAlignment="1">
      <alignment horizontal="center" vertical="top" wrapText="1"/>
    </xf>
    <xf numFmtId="0" fontId="1" fillId="0" borderId="42" xfId="0" applyFont="1" applyFill="1" applyBorder="1" applyAlignment="1">
      <alignment vertical="top"/>
    </xf>
    <xf numFmtId="41" fontId="1" fillId="0" borderId="38" xfId="0" applyNumberFormat="1" applyFont="1" applyFill="1" applyBorder="1" applyAlignment="1">
      <alignment vertical="top"/>
    </xf>
    <xf numFmtId="41" fontId="17" fillId="0" borderId="35" xfId="0" applyNumberFormat="1" applyFont="1" applyFill="1" applyBorder="1" applyAlignment="1">
      <alignment horizontal="center" vertical="top"/>
    </xf>
    <xf numFmtId="43" fontId="1" fillId="0" borderId="0" xfId="0" applyNumberFormat="1" applyFont="1" applyFill="1" applyBorder="1" applyAlignment="1">
      <alignment vertical="top"/>
    </xf>
    <xf numFmtId="0" fontId="12" fillId="0" borderId="15" xfId="0" applyFont="1" applyFill="1" applyBorder="1"/>
    <xf numFmtId="41" fontId="6" fillId="0" borderId="18" xfId="0" applyNumberFormat="1" applyFont="1" applyFill="1" applyBorder="1" applyAlignment="1">
      <alignment horizontal="center"/>
    </xf>
    <xf numFmtId="0" fontId="12" fillId="0" borderId="12" xfId="0" applyFont="1" applyFill="1" applyBorder="1"/>
    <xf numFmtId="0" fontId="12" fillId="0" borderId="0" xfId="0" applyFont="1" applyFill="1" applyBorder="1"/>
    <xf numFmtId="0" fontId="12" fillId="0" borderId="10" xfId="0" applyFont="1" applyFill="1" applyBorder="1" applyAlignment="1">
      <alignment horizontal="left"/>
    </xf>
    <xf numFmtId="41" fontId="12" fillId="0" borderId="0" xfId="0" applyNumberFormat="1" applyFont="1" applyFill="1" applyBorder="1"/>
    <xf numFmtId="0" fontId="12" fillId="0" borderId="13" xfId="0" applyFont="1" applyFill="1" applyBorder="1"/>
    <xf numFmtId="43" fontId="12" fillId="0" borderId="0" xfId="0" applyNumberFormat="1" applyFont="1" applyFill="1" applyBorder="1"/>
    <xf numFmtId="0" fontId="12" fillId="0" borderId="10" xfId="0" applyFont="1" applyFill="1" applyBorder="1"/>
    <xf numFmtId="41" fontId="7" fillId="0" borderId="6" xfId="0" applyNumberFormat="1" applyFont="1" applyFill="1" applyBorder="1"/>
    <xf numFmtId="41" fontId="12" fillId="0" borderId="6" xfId="0" applyNumberFormat="1" applyFont="1" applyFill="1" applyBorder="1"/>
    <xf numFmtId="41" fontId="6" fillId="0" borderId="0" xfId="0" applyNumberFormat="1" applyFont="1" applyFill="1" applyBorder="1"/>
    <xf numFmtId="0" fontId="6" fillId="0" borderId="13" xfId="0" applyFont="1" applyFill="1" applyBorder="1"/>
    <xf numFmtId="172" fontId="12" fillId="0" borderId="0" xfId="0" applyNumberFormat="1" applyFont="1" applyFill="1" applyBorder="1"/>
    <xf numFmtId="164" fontId="32" fillId="0" borderId="0" xfId="0" applyNumberFormat="1" applyFont="1" applyFill="1" applyBorder="1"/>
    <xf numFmtId="164" fontId="33" fillId="0" borderId="0" xfId="0" applyNumberFormat="1" applyFont="1" applyFill="1" applyBorder="1"/>
    <xf numFmtId="164" fontId="34" fillId="0" borderId="0" xfId="0" applyNumberFormat="1" applyFont="1" applyFill="1" applyBorder="1"/>
    <xf numFmtId="164" fontId="10" fillId="0" borderId="0" xfId="0" applyNumberFormat="1" applyFont="1" applyFill="1" applyBorder="1"/>
    <xf numFmtId="41" fontId="7" fillId="0" borderId="0" xfId="0" applyNumberFormat="1" applyFont="1" applyFill="1" applyBorder="1"/>
    <xf numFmtId="4" fontId="12" fillId="0" borderId="0" xfId="0" applyNumberFormat="1" applyFont="1" applyFill="1" applyBorder="1"/>
    <xf numFmtId="41" fontId="12" fillId="0" borderId="13" xfId="0" applyNumberFormat="1" applyFont="1" applyFill="1" applyBorder="1"/>
    <xf numFmtId="0" fontId="12" fillId="0" borderId="16" xfId="0" applyFont="1" applyFill="1" applyBorder="1"/>
    <xf numFmtId="41" fontId="10" fillId="0" borderId="0" xfId="0" applyNumberFormat="1" applyFont="1" applyFill="1" applyBorder="1"/>
    <xf numFmtId="41" fontId="12" fillId="0" borderId="0" xfId="0" applyNumberFormat="1" applyFont="1" applyFill="1"/>
    <xf numFmtId="164" fontId="10" fillId="0" borderId="0" xfId="0" applyNumberFormat="1" applyFont="1" applyFill="1"/>
    <xf numFmtId="10" fontId="12" fillId="0" borderId="0" xfId="0" applyNumberFormat="1" applyFont="1" applyFill="1"/>
    <xf numFmtId="0" fontId="35" fillId="0" borderId="0" xfId="0" applyFont="1" applyFill="1"/>
    <xf numFmtId="17" fontId="5" fillId="0" borderId="11" xfId="0" applyNumberFormat="1" applyFont="1" applyFill="1" applyBorder="1"/>
    <xf numFmtId="17" fontId="5" fillId="0" borderId="12" xfId="0" applyNumberFormat="1" applyFont="1" applyFill="1" applyBorder="1"/>
    <xf numFmtId="49" fontId="12" fillId="0" borderId="31" xfId="0" applyNumberFormat="1" applyFont="1" applyFill="1" applyBorder="1" applyAlignment="1">
      <alignment horizontal="left"/>
    </xf>
    <xf numFmtId="164" fontId="1" fillId="0" borderId="0" xfId="0" applyNumberFormat="1" applyFont="1" applyFill="1" applyBorder="1"/>
    <xf numFmtId="164" fontId="12" fillId="0" borderId="31" xfId="0" applyNumberFormat="1" applyFont="1" applyFill="1" applyBorder="1"/>
    <xf numFmtId="164" fontId="7" fillId="0" borderId="31" xfId="0" applyNumberFormat="1" applyFont="1" applyFill="1" applyBorder="1"/>
    <xf numFmtId="164" fontId="1" fillId="0" borderId="47" xfId="0" applyNumberFormat="1" applyFont="1" applyFill="1" applyBorder="1"/>
    <xf numFmtId="164" fontId="12" fillId="0" borderId="46" xfId="0" applyNumberFormat="1" applyFont="1" applyFill="1" applyBorder="1"/>
    <xf numFmtId="0" fontId="1" fillId="0" borderId="14" xfId="0" applyFont="1" applyFill="1" applyBorder="1"/>
    <xf numFmtId="164" fontId="1" fillId="0" borderId="3" xfId="0" applyNumberFormat="1" applyFont="1" applyFill="1" applyBorder="1"/>
    <xf numFmtId="164" fontId="1" fillId="0" borderId="16" xfId="0" applyNumberFormat="1" applyFont="1" applyFill="1" applyBorder="1"/>
    <xf numFmtId="164" fontId="1" fillId="0" borderId="49" xfId="0" applyNumberFormat="1" applyFont="1" applyFill="1" applyBorder="1"/>
    <xf numFmtId="164" fontId="1" fillId="0" borderId="13" xfId="0" applyNumberFormat="1" applyFont="1" applyFill="1" applyBorder="1"/>
    <xf numFmtId="49" fontId="12" fillId="0" borderId="48" xfId="0" applyNumberFormat="1" applyFont="1" applyFill="1" applyBorder="1" applyAlignment="1">
      <alignment horizontal="left"/>
    </xf>
    <xf numFmtId="164" fontId="1" fillId="0" borderId="31" xfId="0" applyNumberFormat="1" applyFont="1" applyFill="1" applyBorder="1"/>
    <xf numFmtId="0" fontId="1" fillId="0" borderId="10" xfId="0" applyFont="1" applyFill="1" applyBorder="1"/>
    <xf numFmtId="164" fontId="1" fillId="0" borderId="46" xfId="0" applyNumberFormat="1" applyFont="1" applyFill="1" applyBorder="1"/>
    <xf numFmtId="0" fontId="12" fillId="0" borderId="14" xfId="0" applyFont="1" applyFill="1" applyBorder="1"/>
    <xf numFmtId="43" fontId="12" fillId="0" borderId="3" xfId="0" applyNumberFormat="1" applyFont="1" applyFill="1" applyBorder="1"/>
    <xf numFmtId="43" fontId="12" fillId="0" borderId="16" xfId="0" applyNumberFormat="1" applyFont="1" applyFill="1" applyBorder="1"/>
    <xf numFmtId="0" fontId="19" fillId="0" borderId="15" xfId="0" applyFont="1" applyFill="1" applyBorder="1" applyAlignment="1">
      <alignment horizontal="right"/>
    </xf>
    <xf numFmtId="0" fontId="19" fillId="0" borderId="12" xfId="0" applyFont="1" applyFill="1" applyBorder="1" applyAlignment="1">
      <alignment horizontal="right"/>
    </xf>
    <xf numFmtId="0" fontId="36" fillId="0" borderId="0" xfId="0" applyFont="1" applyFill="1"/>
    <xf numFmtId="164" fontId="37" fillId="0" borderId="13" xfId="0" applyNumberFormat="1" applyFont="1" applyFill="1" applyBorder="1"/>
    <xf numFmtId="174" fontId="7" fillId="0" borderId="1" xfId="0" applyNumberFormat="1" applyFont="1" applyFill="1" applyBorder="1"/>
    <xf numFmtId="164" fontId="12" fillId="0" borderId="50" xfId="0" applyNumberFormat="1" applyFont="1" applyFill="1" applyBorder="1"/>
    <xf numFmtId="0" fontId="10" fillId="0" borderId="14" xfId="0" applyFont="1" applyFill="1" applyBorder="1" applyAlignment="1">
      <alignment horizontal="right"/>
    </xf>
    <xf numFmtId="164" fontId="6" fillId="0" borderId="39" xfId="0" applyNumberFormat="1" applyFont="1" applyFill="1" applyBorder="1"/>
    <xf numFmtId="0" fontId="12" fillId="0" borderId="0" xfId="0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0" fontId="38" fillId="0" borderId="0" xfId="0" applyFont="1" applyFill="1" applyAlignment="1" applyProtection="1">
      <alignment horizontal="centerContinuous"/>
      <protection locked="0"/>
    </xf>
    <xf numFmtId="0" fontId="38" fillId="0" borderId="0" xfId="0" quotePrefix="1" applyFont="1" applyFill="1" applyAlignment="1">
      <alignment horizontal="centerContinuous"/>
    </xf>
    <xf numFmtId="0" fontId="38" fillId="0" borderId="0" xfId="0" applyFont="1" applyFill="1" applyAlignment="1">
      <alignment horizontal="centerContinuous"/>
    </xf>
    <xf numFmtId="0" fontId="12" fillId="0" borderId="0" xfId="0" applyFont="1" applyFill="1" applyAlignment="1">
      <alignment horizontal="centerContinuous"/>
    </xf>
    <xf numFmtId="15" fontId="38" fillId="0" borderId="0" xfId="0" quotePrefix="1" applyNumberFormat="1" applyFont="1" applyFill="1" applyAlignment="1">
      <alignment horizontal="centerContinuous"/>
    </xf>
    <xf numFmtId="15" fontId="38" fillId="0" borderId="0" xfId="0" applyNumberFormat="1" applyFont="1" applyFill="1" applyAlignment="1">
      <alignment horizontal="centerContinuous"/>
    </xf>
    <xf numFmtId="18" fontId="38" fillId="0" borderId="0" xfId="0" quotePrefix="1" applyNumberFormat="1" applyFont="1" applyFill="1" applyAlignment="1">
      <alignment horizontal="centerContinuous"/>
    </xf>
    <xf numFmtId="18" fontId="38" fillId="0" borderId="0" xfId="0" applyNumberFormat="1" applyFont="1" applyFill="1" applyAlignment="1">
      <alignment horizontal="centerContinuous"/>
    </xf>
    <xf numFmtId="0" fontId="39" fillId="0" borderId="0" xfId="0" applyFont="1" applyFill="1" applyAlignment="1">
      <alignment horizontal="left"/>
    </xf>
    <xf numFmtId="0" fontId="39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9" fillId="0" borderId="6" xfId="0" applyFont="1" applyFill="1" applyBorder="1" applyAlignment="1">
      <alignment horizontal="center"/>
    </xf>
    <xf numFmtId="0" fontId="40" fillId="0" borderId="6" xfId="0" applyFont="1" applyFill="1" applyBorder="1" applyAlignment="1">
      <alignment horizontal="center"/>
    </xf>
    <xf numFmtId="0" fontId="41" fillId="0" borderId="0" xfId="0" applyFont="1" applyFill="1" applyAlignment="1"/>
    <xf numFmtId="0" fontId="41" fillId="0" borderId="0" xfId="0" applyFont="1" applyFill="1" applyAlignment="1">
      <alignment horizontal="center"/>
    </xf>
    <xf numFmtId="42" fontId="41" fillId="0" borderId="0" xfId="0" applyNumberFormat="1" applyFont="1" applyFill="1" applyBorder="1" applyAlignment="1" applyProtection="1">
      <protection locked="0"/>
    </xf>
    <xf numFmtId="164" fontId="41" fillId="0" borderId="0" xfId="0" applyNumberFormat="1" applyFont="1" applyFill="1" applyBorder="1" applyAlignment="1" applyProtection="1">
      <protection locked="0"/>
    </xf>
    <xf numFmtId="37" fontId="41" fillId="0" borderId="0" xfId="0" applyNumberFormat="1" applyFont="1" applyFill="1" applyBorder="1" applyAlignment="1" applyProtection="1">
      <protection locked="0"/>
    </xf>
    <xf numFmtId="0" fontId="41" fillId="0" borderId="0" xfId="0" applyFont="1" applyFill="1" applyAlignment="1">
      <alignment horizontal="left"/>
    </xf>
    <xf numFmtId="42" fontId="41" fillId="0" borderId="2" xfId="0" applyNumberFormat="1" applyFont="1" applyFill="1" applyBorder="1" applyAlignment="1" applyProtection="1">
      <protection locked="0"/>
    </xf>
    <xf numFmtId="164" fontId="41" fillId="0" borderId="2" xfId="0" applyNumberFormat="1" applyFont="1" applyFill="1" applyBorder="1" applyAlignment="1" applyProtection="1">
      <protection locked="0"/>
    </xf>
    <xf numFmtId="164" fontId="12" fillId="0" borderId="2" xfId="0" applyNumberFormat="1" applyFont="1" applyFill="1" applyBorder="1"/>
    <xf numFmtId="0" fontId="41" fillId="0" borderId="0" xfId="0" applyFont="1" applyFill="1" applyBorder="1" applyAlignment="1"/>
    <xf numFmtId="0" fontId="42" fillId="0" borderId="0" xfId="0" applyFont="1" applyFill="1" applyBorder="1" applyAlignment="1"/>
    <xf numFmtId="41" fontId="42" fillId="0" borderId="0" xfId="0" applyNumberFormat="1" applyFont="1" applyFill="1" applyBorder="1" applyAlignment="1"/>
    <xf numFmtId="9" fontId="41" fillId="0" borderId="0" xfId="0" applyNumberFormat="1" applyFont="1" applyFill="1" applyAlignment="1">
      <alignment horizontal="left"/>
    </xf>
    <xf numFmtId="41" fontId="41" fillId="0" borderId="0" xfId="0" applyNumberFormat="1" applyFont="1" applyFill="1" applyBorder="1" applyAlignment="1" applyProtection="1">
      <protection locked="0"/>
    </xf>
    <xf numFmtId="164" fontId="38" fillId="0" borderId="5" xfId="0" applyNumberFormat="1" applyFont="1" applyFill="1" applyBorder="1" applyAlignment="1"/>
    <xf numFmtId="9" fontId="41" fillId="0" borderId="0" xfId="0" applyNumberFormat="1" applyFont="1" applyFill="1" applyAlignment="1">
      <alignment horizontal="center"/>
    </xf>
    <xf numFmtId="42" fontId="38" fillId="0" borderId="5" xfId="0" applyNumberFormat="1" applyFont="1" applyFill="1" applyBorder="1" applyAlignment="1"/>
    <xf numFmtId="0" fontId="8" fillId="0" borderId="1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left" vertical="top"/>
    </xf>
    <xf numFmtId="9" fontId="6" fillId="0" borderId="0" xfId="0" applyNumberFormat="1" applyFont="1" applyFill="1" applyAlignment="1">
      <alignment horizontal="center"/>
    </xf>
    <xf numFmtId="0" fontId="19" fillId="0" borderId="15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FF66FF"/>
      <color rgb="FF66FF99"/>
      <color rgb="FFBF9FFF"/>
      <color rgb="FF11079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557871</xdr:colOff>
      <xdr:row>25</xdr:row>
      <xdr:rowOff>124092</xdr:rowOff>
    </xdr:from>
    <xdr:to>
      <xdr:col>13</xdr:col>
      <xdr:colOff>18586</xdr:colOff>
      <xdr:row>53</xdr:row>
      <xdr:rowOff>18891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46115" y="4603165"/>
          <a:ext cx="6987788" cy="46619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2</xdr:row>
      <xdr:rowOff>23763</xdr:rowOff>
    </xdr:from>
    <xdr:to>
      <xdr:col>8</xdr:col>
      <xdr:colOff>64770</xdr:colOff>
      <xdr:row>21</xdr:row>
      <xdr:rowOff>145077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" y="359043"/>
          <a:ext cx="5920740" cy="33598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167639</xdr:rowOff>
    </xdr:from>
    <xdr:to>
      <xdr:col>8</xdr:col>
      <xdr:colOff>521969</xdr:colOff>
      <xdr:row>43</xdr:row>
      <xdr:rowOff>17648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60519"/>
          <a:ext cx="6576059" cy="3058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B38" sqref="B38"/>
    </sheetView>
  </sheetViews>
  <sheetFormatPr defaultColWidth="9.109375" defaultRowHeight="13.2" x14ac:dyDescent="0.25"/>
  <cols>
    <col min="1" max="1" width="7.6640625" style="263" customWidth="1"/>
    <col min="2" max="2" width="30.33203125" style="263" bestFit="1" customWidth="1"/>
    <col min="3" max="3" width="6.33203125" style="263" customWidth="1"/>
    <col min="4" max="5" width="13.6640625" style="263" bestFit="1" customWidth="1"/>
    <col min="6" max="6" width="14.6640625" style="263" bestFit="1" customWidth="1"/>
    <col min="7" max="7" width="13.6640625" style="263" bestFit="1" customWidth="1"/>
    <col min="8" max="8" width="14.6640625" style="263" bestFit="1" customWidth="1"/>
    <col min="9" max="16384" width="9.109375" style="263"/>
  </cols>
  <sheetData>
    <row r="1" spans="1:9" x14ac:dyDescent="0.25">
      <c r="A1" s="481"/>
      <c r="B1" s="482"/>
      <c r="C1" s="482"/>
      <c r="D1" s="483"/>
      <c r="E1" s="483"/>
      <c r="F1" s="483"/>
      <c r="G1" s="484"/>
      <c r="H1" s="484"/>
    </row>
    <row r="2" spans="1:9" x14ac:dyDescent="0.25">
      <c r="A2" s="481" t="s">
        <v>0</v>
      </c>
      <c r="B2" s="485"/>
      <c r="C2" s="485"/>
      <c r="D2" s="486"/>
      <c r="E2" s="486"/>
      <c r="F2" s="486"/>
      <c r="G2" s="484"/>
      <c r="H2" s="484"/>
    </row>
    <row r="3" spans="1:9" x14ac:dyDescent="0.25">
      <c r="A3" s="483" t="s">
        <v>167</v>
      </c>
      <c r="B3" s="487"/>
      <c r="C3" s="487"/>
      <c r="D3" s="488"/>
      <c r="E3" s="488"/>
      <c r="F3" s="488"/>
      <c r="G3" s="484"/>
      <c r="H3" s="484"/>
    </row>
    <row r="4" spans="1:9" x14ac:dyDescent="0.25">
      <c r="A4" s="481" t="s">
        <v>213</v>
      </c>
      <c r="B4" s="482"/>
      <c r="C4" s="482"/>
      <c r="D4" s="483"/>
      <c r="E4" s="483"/>
      <c r="F4" s="483"/>
      <c r="G4" s="484"/>
      <c r="H4" s="484"/>
    </row>
    <row r="5" spans="1:9" x14ac:dyDescent="0.25">
      <c r="A5" s="481"/>
      <c r="B5" s="482"/>
      <c r="C5" s="482"/>
      <c r="D5" s="483"/>
      <c r="E5" s="483"/>
      <c r="F5" s="483"/>
    </row>
    <row r="6" spans="1:9" ht="13.8" x14ac:dyDescent="0.25">
      <c r="A6" s="489"/>
      <c r="B6" s="489"/>
      <c r="C6" s="489"/>
      <c r="D6" s="490" t="s">
        <v>303</v>
      </c>
      <c r="E6" s="490"/>
      <c r="F6" s="490" t="s">
        <v>162</v>
      </c>
      <c r="G6" s="490"/>
      <c r="H6" s="490" t="s">
        <v>216</v>
      </c>
    </row>
    <row r="7" spans="1:9" ht="13.8" x14ac:dyDescent="0.25">
      <c r="A7" s="490" t="s">
        <v>1</v>
      </c>
      <c r="B7" s="490"/>
      <c r="C7" s="490"/>
      <c r="D7" s="491" t="s">
        <v>4</v>
      </c>
      <c r="E7" s="491" t="s">
        <v>162</v>
      </c>
      <c r="F7" s="491" t="s">
        <v>5</v>
      </c>
      <c r="G7" s="491" t="s">
        <v>216</v>
      </c>
      <c r="H7" s="491" t="s">
        <v>5</v>
      </c>
    </row>
    <row r="8" spans="1:9" ht="13.8" x14ac:dyDescent="0.25">
      <c r="A8" s="492" t="s">
        <v>2</v>
      </c>
      <c r="B8" s="492" t="s">
        <v>3</v>
      </c>
      <c r="C8" s="492" t="s">
        <v>304</v>
      </c>
      <c r="D8" s="493" t="s">
        <v>305</v>
      </c>
      <c r="E8" s="493" t="s">
        <v>306</v>
      </c>
      <c r="F8" s="493" t="s">
        <v>307</v>
      </c>
      <c r="G8" s="493" t="s">
        <v>308</v>
      </c>
      <c r="H8" s="493" t="s">
        <v>309</v>
      </c>
    </row>
    <row r="9" spans="1:9" ht="13.8" x14ac:dyDescent="0.25">
      <c r="A9" s="494"/>
      <c r="B9" s="494"/>
      <c r="C9" s="494"/>
      <c r="D9" s="491"/>
      <c r="E9" s="491"/>
      <c r="F9" s="491"/>
      <c r="G9" s="491"/>
      <c r="H9" s="491"/>
    </row>
    <row r="10" spans="1:9" x14ac:dyDescent="0.25">
      <c r="A10" s="495">
        <v>1</v>
      </c>
      <c r="B10" s="494" t="s">
        <v>6</v>
      </c>
      <c r="C10" s="494"/>
      <c r="D10" s="497">
        <f>'Summary Prop &amp; Liab Ins'!G16</f>
        <v>3672711.9291196666</v>
      </c>
      <c r="E10" s="497">
        <f>'Summary Prop &amp; Liab Ins'!K16</f>
        <v>3488881.3959241672</v>
      </c>
      <c r="F10" s="497">
        <f>E10-D10</f>
        <v>-183830.53319549933</v>
      </c>
      <c r="G10" s="390">
        <f>'Summary Prop &amp; Liab Ins'!S16</f>
        <v>4009178.2935778066</v>
      </c>
      <c r="H10" s="390">
        <f>G10-E10</f>
        <v>520296.89765363932</v>
      </c>
    </row>
    <row r="11" spans="1:9" x14ac:dyDescent="0.25">
      <c r="A11" s="495">
        <f>A10+1</f>
        <v>2</v>
      </c>
      <c r="B11" s="494" t="s">
        <v>7</v>
      </c>
      <c r="C11" s="494"/>
      <c r="D11" s="497">
        <f>'Summary Prop &amp; Liab Ins'!G42</f>
        <v>2115323.8108910434</v>
      </c>
      <c r="E11" s="497">
        <f>'Summary Prop &amp; Liab Ins'!K42</f>
        <v>1894152.5850881652</v>
      </c>
      <c r="F11" s="497">
        <f>E11-D11</f>
        <v>-221171.22580287815</v>
      </c>
      <c r="G11" s="390">
        <f>'Summary Prop &amp; Liab Ins'!S42</f>
        <v>1934093.6637685676</v>
      </c>
      <c r="H11" s="390">
        <f>G11-E11</f>
        <v>39941.078680402366</v>
      </c>
      <c r="I11" s="16"/>
    </row>
    <row r="12" spans="1:9" x14ac:dyDescent="0.25">
      <c r="A12" s="495">
        <f>A11+1</f>
        <v>3</v>
      </c>
      <c r="B12" s="499" t="s">
        <v>8</v>
      </c>
      <c r="C12" s="499"/>
      <c r="D12" s="500">
        <f>SUM(D10:D11)</f>
        <v>5788035.7400107104</v>
      </c>
      <c r="E12" s="500">
        <f>SUM(E10:E11)</f>
        <v>5383033.9810123323</v>
      </c>
      <c r="F12" s="500">
        <f>SUM(F10:F11)</f>
        <v>-405001.75899837748</v>
      </c>
      <c r="G12" s="500">
        <f>SUM(G10:G11)</f>
        <v>5943271.9573463742</v>
      </c>
      <c r="H12" s="500">
        <f>SUM(H10:H11)</f>
        <v>560237.97633404168</v>
      </c>
    </row>
    <row r="13" spans="1:9" ht="13.8" x14ac:dyDescent="0.3">
      <c r="A13" s="495">
        <f>A12+1</f>
        <v>4</v>
      </c>
      <c r="B13" s="499"/>
      <c r="C13" s="499"/>
      <c r="D13" s="503"/>
      <c r="E13" s="504"/>
      <c r="F13" s="505"/>
    </row>
    <row r="14" spans="1:9" x14ac:dyDescent="0.25">
      <c r="A14" s="495">
        <f>A13+1</f>
        <v>5</v>
      </c>
      <c r="B14" s="499" t="s">
        <v>310</v>
      </c>
      <c r="C14" s="509">
        <v>0.21</v>
      </c>
      <c r="D14" s="507">
        <f t="shared" ref="D14:E14" si="0">-D12*$C$14</f>
        <v>-1215487.5054022491</v>
      </c>
      <c r="E14" s="507">
        <f t="shared" si="0"/>
        <v>-1130437.1360125898</v>
      </c>
      <c r="F14" s="497">
        <f>E14-D14</f>
        <v>85050.369389659259</v>
      </c>
      <c r="G14" s="390">
        <f>-G12*C14</f>
        <v>-1248087.1110427384</v>
      </c>
      <c r="H14" s="390">
        <f>G14-E14</f>
        <v>-117649.97503014863</v>
      </c>
    </row>
    <row r="15" spans="1:9" ht="13.8" thickBot="1" x14ac:dyDescent="0.3">
      <c r="A15" s="495">
        <f>A14+1</f>
        <v>6</v>
      </c>
      <c r="B15" s="499" t="s">
        <v>9</v>
      </c>
      <c r="C15" s="499"/>
      <c r="D15" s="510">
        <f t="shared" ref="D15:E15" si="1">-D12-D14</f>
        <v>-4572548.2346084611</v>
      </c>
      <c r="E15" s="510">
        <f t="shared" si="1"/>
        <v>-4252596.8449997427</v>
      </c>
      <c r="F15" s="510">
        <f>-F12-F14</f>
        <v>319951.38960871822</v>
      </c>
      <c r="G15" s="510">
        <f t="shared" ref="G15:H15" si="2">-G12-G14</f>
        <v>-4695184.8463036362</v>
      </c>
      <c r="H15" s="510">
        <f t="shared" si="2"/>
        <v>-442588.00130389305</v>
      </c>
    </row>
    <row r="16" spans="1:9" ht="13.8" thickTop="1" x14ac:dyDescent="0.25">
      <c r="D16" s="427"/>
      <c r="E16" s="427"/>
      <c r="F16" s="427"/>
    </row>
    <row r="18" spans="1:8" x14ac:dyDescent="0.25">
      <c r="A18" s="481"/>
      <c r="B18" s="482"/>
      <c r="C18" s="482"/>
      <c r="D18" s="483"/>
      <c r="E18" s="483"/>
      <c r="F18" s="483"/>
      <c r="G18" s="16"/>
      <c r="H18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zoomScale="80" zoomScaleNormal="80" workbookViewId="0">
      <selection sqref="A1:XFD1048576"/>
    </sheetView>
  </sheetViews>
  <sheetFormatPr defaultColWidth="8.88671875" defaultRowHeight="13.2" x14ac:dyDescent="0.25"/>
  <cols>
    <col min="1" max="1" width="21.44140625" style="23" bestFit="1" customWidth="1"/>
    <col min="2" max="2" width="11.88671875" style="23" customWidth="1"/>
    <col min="3" max="3" width="12.33203125" style="23" customWidth="1"/>
    <col min="4" max="4" width="13.5546875" style="23" customWidth="1"/>
    <col min="5" max="5" width="12" style="23" bestFit="1" customWidth="1"/>
    <col min="6" max="6" width="12.44140625" style="23" customWidth="1"/>
    <col min="7" max="7" width="10.44140625" style="23" bestFit="1" customWidth="1"/>
    <col min="8" max="8" width="12" style="23" customWidth="1"/>
    <col min="9" max="9" width="11.88671875" style="23" customWidth="1"/>
    <col min="10" max="13" width="12.5546875" style="23" customWidth="1"/>
    <col min="14" max="14" width="13.109375" style="23" bestFit="1" customWidth="1"/>
    <col min="15" max="15" width="21.44140625" style="23" bestFit="1" customWidth="1"/>
    <col min="16" max="16" width="8.88671875" style="23"/>
    <col min="17" max="17" width="10.44140625" style="23" bestFit="1" customWidth="1"/>
    <col min="18" max="18" width="13.109375" style="23" bestFit="1" customWidth="1"/>
    <col min="19" max="16384" width="8.88671875" style="23"/>
  </cols>
  <sheetData>
    <row r="1" spans="1:18" ht="15.6" x14ac:dyDescent="0.25">
      <c r="A1" s="407"/>
    </row>
    <row r="4" spans="1:18" x14ac:dyDescent="0.25">
      <c r="A4" s="24" t="s">
        <v>134</v>
      </c>
      <c r="B4" s="25">
        <v>43434</v>
      </c>
      <c r="C4" s="25">
        <v>43465</v>
      </c>
      <c r="D4" s="25">
        <f t="shared" ref="D4:M4" si="0">EOMONTH(C4,1)</f>
        <v>43496</v>
      </c>
      <c r="E4" s="25">
        <f t="shared" si="0"/>
        <v>43524</v>
      </c>
      <c r="F4" s="25">
        <f t="shared" si="0"/>
        <v>43555</v>
      </c>
      <c r="G4" s="25">
        <f t="shared" si="0"/>
        <v>43585</v>
      </c>
      <c r="H4" s="25">
        <f t="shared" si="0"/>
        <v>43616</v>
      </c>
      <c r="I4" s="25">
        <f t="shared" si="0"/>
        <v>43646</v>
      </c>
      <c r="J4" s="25">
        <f t="shared" si="0"/>
        <v>43677</v>
      </c>
      <c r="K4" s="25">
        <f t="shared" si="0"/>
        <v>43708</v>
      </c>
      <c r="L4" s="25">
        <f t="shared" si="0"/>
        <v>43738</v>
      </c>
      <c r="M4" s="25">
        <f t="shared" si="0"/>
        <v>43769</v>
      </c>
      <c r="N4" s="25" t="s">
        <v>194</v>
      </c>
      <c r="O4" s="25" t="s">
        <v>195</v>
      </c>
      <c r="Q4" s="22" t="s">
        <v>316</v>
      </c>
      <c r="R4" s="22" t="s">
        <v>317</v>
      </c>
    </row>
    <row r="5" spans="1:18" x14ac:dyDescent="0.25">
      <c r="A5" s="23" t="s">
        <v>131</v>
      </c>
      <c r="B5" s="408">
        <v>25380.721666666668</v>
      </c>
      <c r="C5" s="408">
        <v>25380.721666666668</v>
      </c>
      <c r="D5" s="408">
        <v>25380.721666666668</v>
      </c>
      <c r="E5" s="408">
        <v>25380.721666666668</v>
      </c>
      <c r="F5" s="408">
        <v>25380.721666666668</v>
      </c>
      <c r="G5" s="408">
        <v>25380.721666666668</v>
      </c>
      <c r="H5" s="408">
        <v>25380.721666666668</v>
      </c>
      <c r="I5" s="408">
        <v>25380.721666666668</v>
      </c>
      <c r="J5" s="408">
        <v>25380.721666666668</v>
      </c>
      <c r="K5" s="408">
        <v>25380.721666666668</v>
      </c>
      <c r="L5" s="408">
        <v>25380.721666666668</v>
      </c>
      <c r="M5" s="408">
        <v>25380.721666666668</v>
      </c>
      <c r="N5" s="14">
        <f>SUM(B5:M5)</f>
        <v>304568.66000000009</v>
      </c>
      <c r="O5" s="8">
        <f>N5*49.85%</f>
        <v>151827.47701000003</v>
      </c>
      <c r="Q5" s="9">
        <f>O5/12</f>
        <v>12652.289750833335</v>
      </c>
      <c r="R5" s="9">
        <f>Q5*12</f>
        <v>151827.47701000003</v>
      </c>
    </row>
    <row r="6" spans="1:18" x14ac:dyDescent="0.25">
      <c r="B6" s="408"/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</row>
    <row r="7" spans="1:18" x14ac:dyDescent="0.25">
      <c r="A7" s="409" t="s">
        <v>135</v>
      </c>
      <c r="B7" s="408"/>
      <c r="C7" s="408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</row>
    <row r="8" spans="1:18" x14ac:dyDescent="0.25">
      <c r="A8" s="23" t="s">
        <v>127</v>
      </c>
      <c r="B8" s="408">
        <v>720.59083333333331</v>
      </c>
      <c r="C8" s="408">
        <v>720.59083333333331</v>
      </c>
      <c r="D8" s="408">
        <v>720.59083333333331</v>
      </c>
      <c r="E8" s="408">
        <v>720.59083333333331</v>
      </c>
      <c r="F8" s="408">
        <v>720.59083333333331</v>
      </c>
      <c r="G8" s="408">
        <v>720.59083333333331</v>
      </c>
      <c r="H8" s="408">
        <v>720.59083333333331</v>
      </c>
      <c r="I8" s="408">
        <v>720.59083333333331</v>
      </c>
      <c r="J8" s="408">
        <v>720.59083333333331</v>
      </c>
      <c r="K8" s="408">
        <v>720.59083333333331</v>
      </c>
      <c r="L8" s="408">
        <v>720.59083333333331</v>
      </c>
      <c r="M8" s="408">
        <v>720.59083333333331</v>
      </c>
      <c r="N8" s="9">
        <f t="shared" ref="N8:N13" si="1">SUM(B8:M8)</f>
        <v>8647.090000000002</v>
      </c>
    </row>
    <row r="9" spans="1:18" x14ac:dyDescent="0.25">
      <c r="A9" s="23" t="s">
        <v>315</v>
      </c>
      <c r="B9" s="408">
        <v>630.78416666666669</v>
      </c>
      <c r="C9" s="408">
        <v>630.78416666666669</v>
      </c>
      <c r="D9" s="408">
        <v>630.78416666666669</v>
      </c>
      <c r="E9" s="408">
        <v>630.78416666666669</v>
      </c>
      <c r="F9" s="408">
        <v>630.78416666666669</v>
      </c>
      <c r="G9" s="408">
        <v>630.78416666666669</v>
      </c>
      <c r="H9" s="408">
        <v>630.78416666666669</v>
      </c>
      <c r="I9" s="408">
        <v>630.78416666666669</v>
      </c>
      <c r="J9" s="408">
        <v>630.78416666666669</v>
      </c>
      <c r="K9" s="408">
        <v>630.78416666666669</v>
      </c>
      <c r="L9" s="408">
        <v>630.78416666666669</v>
      </c>
      <c r="M9" s="408">
        <v>630.78416666666669</v>
      </c>
      <c r="N9" s="9">
        <f t="shared" si="1"/>
        <v>7569.4099999999989</v>
      </c>
    </row>
    <row r="10" spans="1:18" x14ac:dyDescent="0.25">
      <c r="A10" s="23" t="s">
        <v>137</v>
      </c>
      <c r="B10" s="408">
        <v>67.5</v>
      </c>
      <c r="C10" s="408">
        <v>67.5</v>
      </c>
      <c r="D10" s="408">
        <v>67.5</v>
      </c>
      <c r="E10" s="408">
        <v>67.5</v>
      </c>
      <c r="F10" s="408">
        <v>67.5</v>
      </c>
      <c r="G10" s="408">
        <v>67.5</v>
      </c>
      <c r="H10" s="408">
        <v>67.5</v>
      </c>
      <c r="I10" s="408">
        <v>67.5</v>
      </c>
      <c r="J10" s="408">
        <v>67.5</v>
      </c>
      <c r="K10" s="408">
        <v>67.5</v>
      </c>
      <c r="L10" s="408">
        <v>67.5</v>
      </c>
      <c r="M10" s="408">
        <v>67.5</v>
      </c>
      <c r="N10" s="9">
        <f t="shared" si="1"/>
        <v>810</v>
      </c>
    </row>
    <row r="11" spans="1:18" x14ac:dyDescent="0.25">
      <c r="A11" s="23" t="s">
        <v>138</v>
      </c>
      <c r="B11" s="408">
        <v>1175.0358333333334</v>
      </c>
      <c r="C11" s="408">
        <v>1175.0358333333334</v>
      </c>
      <c r="D11" s="408">
        <v>1175.0358333333334</v>
      </c>
      <c r="E11" s="408">
        <v>1175.0358333333334</v>
      </c>
      <c r="F11" s="408">
        <v>1175.0358333333334</v>
      </c>
      <c r="G11" s="408">
        <v>1175.0358333333334</v>
      </c>
      <c r="H11" s="408">
        <v>1175.0358333333334</v>
      </c>
      <c r="I11" s="408">
        <v>1175.0358333333334</v>
      </c>
      <c r="J11" s="408">
        <v>1175.0358333333334</v>
      </c>
      <c r="K11" s="408">
        <v>1175.0358333333334</v>
      </c>
      <c r="L11" s="408">
        <v>1175.0358333333334</v>
      </c>
      <c r="M11" s="408">
        <v>1175.0358333333334</v>
      </c>
      <c r="N11" s="9">
        <f t="shared" si="1"/>
        <v>14100.43</v>
      </c>
    </row>
    <row r="12" spans="1:18" x14ac:dyDescent="0.25">
      <c r="A12" s="23" t="s">
        <v>139</v>
      </c>
      <c r="B12" s="408">
        <v>631.58083333333332</v>
      </c>
      <c r="C12" s="408">
        <v>631.58083333333332</v>
      </c>
      <c r="D12" s="408">
        <v>631.58083333333332</v>
      </c>
      <c r="E12" s="408">
        <v>631.58083333333332</v>
      </c>
      <c r="F12" s="408">
        <v>631.58083333333332</v>
      </c>
      <c r="G12" s="408">
        <v>631.58083333333332</v>
      </c>
      <c r="H12" s="408">
        <v>631.58083333333332</v>
      </c>
      <c r="I12" s="408">
        <v>631.58083333333332</v>
      </c>
      <c r="J12" s="408">
        <v>631.58083333333332</v>
      </c>
      <c r="K12" s="408">
        <v>631.58083333333332</v>
      </c>
      <c r="L12" s="408">
        <v>631.58083333333332</v>
      </c>
      <c r="M12" s="408">
        <v>631.58083333333332</v>
      </c>
      <c r="N12" s="9">
        <f t="shared" si="1"/>
        <v>7578.97</v>
      </c>
    </row>
    <row r="13" spans="1:18" x14ac:dyDescent="0.25">
      <c r="A13" s="23" t="s">
        <v>140</v>
      </c>
      <c r="B13" s="408">
        <v>5814.0991666666669</v>
      </c>
      <c r="C13" s="408">
        <v>5814.0991666666669</v>
      </c>
      <c r="D13" s="408">
        <v>5814.0991666666669</v>
      </c>
      <c r="E13" s="408">
        <v>5814.0991666666669</v>
      </c>
      <c r="F13" s="408">
        <v>5814.0991666666669</v>
      </c>
      <c r="G13" s="408">
        <v>5814.0991666666669</v>
      </c>
      <c r="H13" s="408">
        <v>5814.0991666666669</v>
      </c>
      <c r="I13" s="408">
        <v>5814.0991666666669</v>
      </c>
      <c r="J13" s="408">
        <v>5814.0991666666669</v>
      </c>
      <c r="K13" s="408">
        <v>5814.0991666666669</v>
      </c>
      <c r="L13" s="408">
        <v>5814.0991666666669</v>
      </c>
      <c r="M13" s="408">
        <v>5814.0991666666669</v>
      </c>
      <c r="N13" s="9">
        <f t="shared" si="1"/>
        <v>69769.19</v>
      </c>
    </row>
    <row r="14" spans="1:18" x14ac:dyDescent="0.25">
      <c r="A14" s="410" t="s">
        <v>196</v>
      </c>
      <c r="B14" s="411">
        <f>SUM(B8:B13)</f>
        <v>9039.5908333333336</v>
      </c>
      <c r="C14" s="411">
        <f t="shared" ref="C14:M14" si="2">SUM(C8:C13)</f>
        <v>9039.5908333333336</v>
      </c>
      <c r="D14" s="411">
        <f t="shared" si="2"/>
        <v>9039.5908333333336</v>
      </c>
      <c r="E14" s="411">
        <f t="shared" si="2"/>
        <v>9039.5908333333336</v>
      </c>
      <c r="F14" s="411">
        <f t="shared" si="2"/>
        <v>9039.5908333333336</v>
      </c>
      <c r="G14" s="411">
        <f t="shared" si="2"/>
        <v>9039.5908333333336</v>
      </c>
      <c r="H14" s="411">
        <f t="shared" si="2"/>
        <v>9039.5908333333336</v>
      </c>
      <c r="I14" s="411">
        <f t="shared" si="2"/>
        <v>9039.5908333333336</v>
      </c>
      <c r="J14" s="411">
        <f t="shared" si="2"/>
        <v>9039.5908333333336</v>
      </c>
      <c r="K14" s="411">
        <f t="shared" si="2"/>
        <v>9039.5908333333336</v>
      </c>
      <c r="L14" s="411">
        <f t="shared" si="2"/>
        <v>9039.5908333333336</v>
      </c>
      <c r="M14" s="411">
        <f t="shared" si="2"/>
        <v>9039.5908333333336</v>
      </c>
      <c r="N14" s="411">
        <f>SUM(N8:N13)</f>
        <v>108475.09</v>
      </c>
      <c r="O14" s="8">
        <f>N14*49.85%</f>
        <v>54074.832364999995</v>
      </c>
    </row>
    <row r="15" spans="1:18" x14ac:dyDescent="0.25">
      <c r="B15" s="408"/>
      <c r="C15" s="408"/>
      <c r="D15" s="408"/>
      <c r="E15" s="408"/>
      <c r="F15" s="408"/>
      <c r="G15" s="408"/>
      <c r="H15" s="408"/>
      <c r="I15" s="408"/>
      <c r="J15" s="408"/>
      <c r="K15" s="408"/>
      <c r="L15" s="408"/>
      <c r="M15" s="408"/>
      <c r="N15" s="408"/>
    </row>
    <row r="16" spans="1:18" ht="13.8" thickBot="1" x14ac:dyDescent="0.3">
      <c r="A16" s="22" t="s">
        <v>40</v>
      </c>
      <c r="B16" s="411">
        <f>SUM(B5:B13)</f>
        <v>34420.3125</v>
      </c>
      <c r="C16" s="411">
        <f>SUM(C5:C13)</f>
        <v>34420.3125</v>
      </c>
      <c r="D16" s="411">
        <f t="shared" ref="D16:M16" si="3">SUM(D5:D13)</f>
        <v>34420.3125</v>
      </c>
      <c r="E16" s="411">
        <f t="shared" si="3"/>
        <v>34420.3125</v>
      </c>
      <c r="F16" s="411">
        <f t="shared" si="3"/>
        <v>34420.3125</v>
      </c>
      <c r="G16" s="411">
        <f t="shared" si="3"/>
        <v>34420.3125</v>
      </c>
      <c r="H16" s="411">
        <f t="shared" si="3"/>
        <v>34420.3125</v>
      </c>
      <c r="I16" s="411">
        <f t="shared" si="3"/>
        <v>34420.3125</v>
      </c>
      <c r="J16" s="411">
        <f t="shared" si="3"/>
        <v>34420.3125</v>
      </c>
      <c r="K16" s="411">
        <f t="shared" si="3"/>
        <v>34420.3125</v>
      </c>
      <c r="L16" s="411">
        <f t="shared" si="3"/>
        <v>34420.3125</v>
      </c>
      <c r="M16" s="411">
        <f t="shared" si="3"/>
        <v>34420.3125</v>
      </c>
      <c r="N16" s="13">
        <f>SUM(B16:M16)</f>
        <v>413043.75</v>
      </c>
      <c r="O16" s="13">
        <f>O5+O14</f>
        <v>205902.30937500001</v>
      </c>
    </row>
    <row r="17" spans="1:14" ht="13.8" thickTop="1" x14ac:dyDescent="0.25"/>
    <row r="18" spans="1:14" x14ac:dyDescent="0.25">
      <c r="A18" s="22" t="s">
        <v>195</v>
      </c>
      <c r="B18" s="9">
        <f t="shared" ref="B18:M18" si="4">B16*49.85%</f>
        <v>17158.525781249999</v>
      </c>
      <c r="C18" s="9">
        <f t="shared" si="4"/>
        <v>17158.525781249999</v>
      </c>
      <c r="D18" s="9">
        <f t="shared" si="4"/>
        <v>17158.525781249999</v>
      </c>
      <c r="E18" s="9">
        <f t="shared" si="4"/>
        <v>17158.525781249999</v>
      </c>
      <c r="F18" s="9">
        <f t="shared" si="4"/>
        <v>17158.525781249999</v>
      </c>
      <c r="G18" s="9">
        <f t="shared" si="4"/>
        <v>17158.525781249999</v>
      </c>
      <c r="H18" s="9">
        <f t="shared" si="4"/>
        <v>17158.525781249999</v>
      </c>
      <c r="I18" s="9">
        <f t="shared" si="4"/>
        <v>17158.525781249999</v>
      </c>
      <c r="J18" s="9">
        <f t="shared" si="4"/>
        <v>17158.525781249999</v>
      </c>
      <c r="K18" s="9">
        <f t="shared" si="4"/>
        <v>17158.525781249999</v>
      </c>
      <c r="L18" s="9">
        <f t="shared" si="4"/>
        <v>17158.525781249999</v>
      </c>
      <c r="M18" s="9">
        <f t="shared" si="4"/>
        <v>17158.525781249999</v>
      </c>
      <c r="N18" s="411">
        <f>SUM(B18:M18)</f>
        <v>205902.30937500004</v>
      </c>
    </row>
    <row r="19" spans="1:14" x14ac:dyDescent="0.25">
      <c r="A19" s="22"/>
      <c r="C19" s="9"/>
    </row>
    <row r="23" spans="1:14" x14ac:dyDescent="0.25">
      <c r="F23" s="412" t="s">
        <v>195</v>
      </c>
      <c r="G23" s="412" t="s">
        <v>332</v>
      </c>
    </row>
    <row r="24" spans="1:14" x14ac:dyDescent="0.25">
      <c r="D24" s="412" t="s">
        <v>331</v>
      </c>
      <c r="F24" s="413">
        <f>O5</f>
        <v>151827.47701000003</v>
      </c>
      <c r="G24" s="9">
        <f>F24/12</f>
        <v>12652.289750833335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zoomScale="80" zoomScaleNormal="80" workbookViewId="0">
      <selection sqref="A1:XFD1048576"/>
    </sheetView>
  </sheetViews>
  <sheetFormatPr defaultColWidth="8.88671875" defaultRowHeight="13.2" x14ac:dyDescent="0.25"/>
  <cols>
    <col min="1" max="1" width="8.88671875" style="16"/>
    <col min="2" max="2" width="15.33203125" style="16" bestFit="1" customWidth="1"/>
    <col min="3" max="3" width="11.44140625" style="16" bestFit="1" customWidth="1"/>
    <col min="4" max="4" width="10.88671875" style="16" bestFit="1" customWidth="1"/>
    <col min="5" max="5" width="11.44140625" style="16" bestFit="1" customWidth="1"/>
    <col min="6" max="6" width="11" style="16" bestFit="1" customWidth="1"/>
    <col min="7" max="7" width="10.44140625" style="16" bestFit="1" customWidth="1"/>
    <col min="8" max="10" width="8.88671875" style="16"/>
    <col min="11" max="11" width="7.33203125" style="16" customWidth="1"/>
    <col min="12" max="12" width="22" style="16" customWidth="1"/>
    <col min="13" max="13" width="12.44140625" style="16" bestFit="1" customWidth="1"/>
    <col min="14" max="14" width="13.33203125" style="16" bestFit="1" customWidth="1"/>
    <col min="15" max="15" width="11.44140625" style="16" bestFit="1" customWidth="1"/>
    <col min="16" max="16" width="7.6640625" style="16" bestFit="1" customWidth="1"/>
    <col min="17" max="17" width="8.88671875" style="16"/>
    <col min="18" max="18" width="12.109375" style="16" bestFit="1" customWidth="1"/>
    <col min="19" max="16384" width="8.88671875" style="16"/>
  </cols>
  <sheetData>
    <row r="1" spans="1:18" x14ac:dyDescent="0.25">
      <c r="A1" s="517"/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15"/>
    </row>
    <row r="2" spans="1:18" x14ac:dyDescent="0.25">
      <c r="A2" s="517" t="s">
        <v>100</v>
      </c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9" t="s">
        <v>168</v>
      </c>
      <c r="M2" s="519"/>
      <c r="N2" s="519"/>
    </row>
    <row r="3" spans="1:18" x14ac:dyDescent="0.25">
      <c r="M3" s="389" t="s">
        <v>101</v>
      </c>
      <c r="N3" s="389" t="s">
        <v>102</v>
      </c>
    </row>
    <row r="4" spans="1:18" x14ac:dyDescent="0.25">
      <c r="L4" s="16" t="s">
        <v>124</v>
      </c>
      <c r="M4" s="390">
        <f>61167.51</f>
        <v>61167.51</v>
      </c>
      <c r="N4" s="390">
        <v>129980.95</v>
      </c>
    </row>
    <row r="5" spans="1:18" ht="15" x14ac:dyDescent="0.4">
      <c r="L5" s="16" t="s">
        <v>103</v>
      </c>
      <c r="M5" s="391">
        <f>M4*12</f>
        <v>734010.12</v>
      </c>
      <c r="N5" s="391">
        <f>N4*12</f>
        <v>1559771.4</v>
      </c>
    </row>
    <row r="6" spans="1:18" ht="13.8" thickBot="1" x14ac:dyDescent="0.3">
      <c r="L6" s="16" t="s">
        <v>104</v>
      </c>
      <c r="M6" s="392">
        <v>0.5</v>
      </c>
      <c r="N6" s="392">
        <v>0.25</v>
      </c>
      <c r="P6" s="380" t="s">
        <v>121</v>
      </c>
    </row>
    <row r="7" spans="1:18" ht="13.8" thickBot="1" x14ac:dyDescent="0.3">
      <c r="L7" s="114" t="s">
        <v>105</v>
      </c>
      <c r="M7" s="29">
        <f>M5*M6</f>
        <v>367005.06</v>
      </c>
      <c r="N7" s="30">
        <f>N5*N6</f>
        <v>389942.85</v>
      </c>
      <c r="O7" s="393">
        <f>SUM(M7:N7)</f>
        <v>756947.90999999992</v>
      </c>
      <c r="P7" s="394">
        <f>'Prop Ins - RYupdated'!D9+'Prop Ins - RYupdated'!D10-'Colstrip Ins '!O7</f>
        <v>1.090000000083819</v>
      </c>
      <c r="Q7" s="218" t="s">
        <v>171</v>
      </c>
    </row>
    <row r="8" spans="1:18" ht="13.8" thickBot="1" x14ac:dyDescent="0.3">
      <c r="L8" s="57" t="s">
        <v>106</v>
      </c>
      <c r="M8" s="19">
        <f>M7/12</f>
        <v>30583.755000000001</v>
      </c>
      <c r="N8" s="75">
        <f>N7/12</f>
        <v>32495.237499999999</v>
      </c>
    </row>
    <row r="9" spans="1:18" x14ac:dyDescent="0.25">
      <c r="L9" s="209" t="s">
        <v>330</v>
      </c>
      <c r="M9" s="395">
        <f>M8*K21</f>
        <v>275253.79499999998</v>
      </c>
      <c r="N9" s="396">
        <f>N8*K21</f>
        <v>292457.13750000001</v>
      </c>
      <c r="O9" s="397">
        <f>SUM(M9:N9)</f>
        <v>567710.9325</v>
      </c>
      <c r="P9" s="16" t="s">
        <v>40</v>
      </c>
    </row>
    <row r="10" spans="1:18" x14ac:dyDescent="0.25">
      <c r="L10" s="58"/>
      <c r="M10" s="58"/>
      <c r="N10" s="58"/>
      <c r="O10" s="58"/>
    </row>
    <row r="11" spans="1:18" x14ac:dyDescent="0.25">
      <c r="L11" s="58"/>
      <c r="M11" s="58"/>
      <c r="N11" s="58"/>
      <c r="O11" s="58"/>
    </row>
    <row r="12" spans="1:18" x14ac:dyDescent="0.25">
      <c r="L12" s="58"/>
      <c r="M12" s="19"/>
      <c r="N12" s="19"/>
      <c r="O12" s="161"/>
      <c r="R12" s="7"/>
    </row>
    <row r="13" spans="1:18" x14ac:dyDescent="0.25">
      <c r="L13" s="58"/>
      <c r="M13" s="19"/>
      <c r="N13" s="19"/>
      <c r="O13" s="58"/>
      <c r="R13" s="7"/>
    </row>
    <row r="14" spans="1:18" x14ac:dyDescent="0.25">
      <c r="L14" s="373"/>
      <c r="M14" s="19"/>
      <c r="N14" s="19"/>
      <c r="O14" s="161"/>
    </row>
    <row r="15" spans="1:18" x14ac:dyDescent="0.25">
      <c r="L15" s="58"/>
      <c r="M15" s="19"/>
      <c r="N15" s="19"/>
      <c r="O15" s="58"/>
    </row>
    <row r="16" spans="1:18" x14ac:dyDescent="0.25">
      <c r="L16" s="58"/>
      <c r="M16" s="19"/>
      <c r="N16" s="19"/>
      <c r="O16" s="19"/>
    </row>
    <row r="17" spans="1:17" x14ac:dyDescent="0.25">
      <c r="L17" s="58"/>
      <c r="M17" s="19"/>
      <c r="N17" s="19"/>
      <c r="O17" s="161"/>
    </row>
    <row r="18" spans="1:17" x14ac:dyDescent="0.25">
      <c r="L18" s="58"/>
      <c r="M18" s="19"/>
      <c r="N18" s="19"/>
      <c r="O18" s="161"/>
    </row>
    <row r="19" spans="1:17" x14ac:dyDescent="0.25">
      <c r="K19" s="373" t="s">
        <v>329</v>
      </c>
      <c r="L19" s="373" t="s">
        <v>326</v>
      </c>
      <c r="M19" s="161"/>
      <c r="N19" s="161"/>
      <c r="O19" s="19"/>
    </row>
    <row r="20" spans="1:17" x14ac:dyDescent="0.25">
      <c r="K20" s="35">
        <v>3</v>
      </c>
      <c r="L20" s="16" t="s">
        <v>327</v>
      </c>
    </row>
    <row r="21" spans="1:17" x14ac:dyDescent="0.25">
      <c r="K21" s="35">
        <v>9</v>
      </c>
      <c r="L21" s="16" t="s">
        <v>328</v>
      </c>
    </row>
    <row r="23" spans="1:17" ht="6.6" customHeight="1" x14ac:dyDescent="0.25"/>
    <row r="24" spans="1:17" x14ac:dyDescent="0.25">
      <c r="A24" s="517" t="s">
        <v>170</v>
      </c>
      <c r="B24" s="517"/>
      <c r="C24" s="517"/>
      <c r="D24" s="517"/>
      <c r="E24" s="517"/>
      <c r="F24" s="517"/>
      <c r="G24" s="517"/>
      <c r="H24" s="517"/>
      <c r="I24" s="517"/>
      <c r="J24" s="517"/>
      <c r="K24" s="517"/>
      <c r="L24" s="15"/>
    </row>
    <row r="25" spans="1:17" x14ac:dyDescent="0.25">
      <c r="A25" s="517" t="s">
        <v>100</v>
      </c>
      <c r="B25" s="517"/>
      <c r="C25" s="517"/>
      <c r="D25" s="517"/>
      <c r="E25" s="517"/>
      <c r="F25" s="517"/>
      <c r="G25" s="517"/>
      <c r="H25" s="517"/>
      <c r="I25" s="517"/>
      <c r="J25" s="517"/>
      <c r="K25" s="517"/>
      <c r="L25" s="15"/>
    </row>
    <row r="26" spans="1:17" x14ac:dyDescent="0.25">
      <c r="L26" s="519" t="s">
        <v>169</v>
      </c>
      <c r="M26" s="519"/>
      <c r="N26" s="519"/>
    </row>
    <row r="27" spans="1:17" x14ac:dyDescent="0.25">
      <c r="M27" s="389" t="s">
        <v>101</v>
      </c>
      <c r="N27" s="389" t="s">
        <v>102</v>
      </c>
    </row>
    <row r="28" spans="1:17" x14ac:dyDescent="0.25">
      <c r="L28" s="16" t="s">
        <v>124</v>
      </c>
      <c r="M28" s="390">
        <v>69830.64</v>
      </c>
      <c r="N28" s="390">
        <v>148390.1</v>
      </c>
    </row>
    <row r="29" spans="1:17" x14ac:dyDescent="0.25">
      <c r="L29" s="16" t="s">
        <v>103</v>
      </c>
      <c r="M29" s="202">
        <f>M28*12</f>
        <v>837967.67999999993</v>
      </c>
      <c r="N29" s="202">
        <f>N28*12</f>
        <v>1780681.2000000002</v>
      </c>
    </row>
    <row r="30" spans="1:17" ht="13.8" thickBot="1" x14ac:dyDescent="0.3">
      <c r="L30" s="16" t="s">
        <v>104</v>
      </c>
      <c r="M30" s="392">
        <v>0.5</v>
      </c>
      <c r="N30" s="392">
        <v>0.25</v>
      </c>
      <c r="P30" s="380" t="s">
        <v>121</v>
      </c>
    </row>
    <row r="31" spans="1:17" ht="13.8" thickBot="1" x14ac:dyDescent="0.3">
      <c r="L31" s="114" t="s">
        <v>105</v>
      </c>
      <c r="M31" s="29">
        <f>M29*M30</f>
        <v>418983.83999999997</v>
      </c>
      <c r="N31" s="30">
        <f>N29*N30</f>
        <v>445170.30000000005</v>
      </c>
      <c r="O31" s="393">
        <f>SUM(M31:N31)</f>
        <v>864154.14</v>
      </c>
      <c r="P31" s="394">
        <f>'Prop Ins - RYupdated'!C9+'Prop Ins - RYupdated'!C10-'Colstrip Ins '!O31</f>
        <v>-0.14000000001396984</v>
      </c>
      <c r="Q31" s="218" t="s">
        <v>210</v>
      </c>
    </row>
    <row r="32" spans="1:17" ht="13.8" thickBot="1" x14ac:dyDescent="0.3">
      <c r="L32" s="57" t="s">
        <v>106</v>
      </c>
      <c r="M32" s="19">
        <f>M31/12</f>
        <v>34915.32</v>
      </c>
      <c r="N32" s="75">
        <f>N31/12</f>
        <v>37097.525000000001</v>
      </c>
    </row>
    <row r="33" spans="2:17" ht="13.8" thickBot="1" x14ac:dyDescent="0.3">
      <c r="L33" s="191" t="s">
        <v>321</v>
      </c>
      <c r="M33" s="398">
        <f>M32*K20</f>
        <v>104745.95999999999</v>
      </c>
      <c r="N33" s="399">
        <f>N32*K20</f>
        <v>111292.57500000001</v>
      </c>
      <c r="O33" s="393">
        <f>SUM(M33:N33)</f>
        <v>216038.535</v>
      </c>
      <c r="P33" s="16" t="s">
        <v>40</v>
      </c>
    </row>
    <row r="34" spans="2:17" x14ac:dyDescent="0.25">
      <c r="M34" s="7"/>
    </row>
    <row r="35" spans="2:17" x14ac:dyDescent="0.25">
      <c r="L35" s="58"/>
      <c r="M35" s="58"/>
      <c r="N35" s="58"/>
      <c r="O35" s="58"/>
    </row>
    <row r="36" spans="2:17" x14ac:dyDescent="0.25">
      <c r="L36" s="58"/>
      <c r="M36" s="19"/>
      <c r="N36" s="19"/>
      <c r="O36" s="19"/>
      <c r="P36" s="58"/>
      <c r="Q36" s="58"/>
    </row>
    <row r="37" spans="2:17" x14ac:dyDescent="0.25">
      <c r="L37" s="58"/>
      <c r="M37" s="19"/>
      <c r="N37" s="19"/>
      <c r="O37" s="161"/>
      <c r="P37" s="58"/>
      <c r="Q37" s="58"/>
    </row>
    <row r="38" spans="2:17" x14ac:dyDescent="0.25">
      <c r="L38" s="58"/>
      <c r="M38" s="19"/>
      <c r="N38" s="19"/>
      <c r="O38" s="161"/>
      <c r="P38" s="58"/>
      <c r="Q38" s="58"/>
    </row>
    <row r="39" spans="2:17" x14ac:dyDescent="0.25">
      <c r="L39" s="58"/>
      <c r="M39" s="400"/>
      <c r="N39" s="400"/>
      <c r="O39" s="19"/>
      <c r="P39" s="58"/>
      <c r="Q39" s="58"/>
    </row>
    <row r="40" spans="2:17" x14ac:dyDescent="0.25">
      <c r="L40" s="58"/>
      <c r="M40" s="19"/>
      <c r="N40" s="19"/>
      <c r="O40" s="161"/>
      <c r="P40" s="58"/>
      <c r="Q40" s="58"/>
    </row>
    <row r="41" spans="2:17" x14ac:dyDescent="0.25">
      <c r="L41" s="58"/>
      <c r="M41" s="19"/>
      <c r="N41" s="19"/>
      <c r="O41" s="58"/>
    </row>
    <row r="42" spans="2:17" x14ac:dyDescent="0.25">
      <c r="L42" s="373"/>
      <c r="M42" s="395"/>
      <c r="N42" s="395"/>
      <c r="O42" s="161"/>
    </row>
    <row r="43" spans="2:17" x14ac:dyDescent="0.25">
      <c r="C43" s="517" t="s">
        <v>130</v>
      </c>
      <c r="D43" s="517"/>
      <c r="F43" s="263"/>
      <c r="G43" s="263"/>
      <c r="H43" s="263"/>
      <c r="L43" s="58"/>
      <c r="M43" s="58"/>
      <c r="N43" s="58"/>
      <c r="O43" s="58"/>
    </row>
    <row r="44" spans="2:17" x14ac:dyDescent="0.25">
      <c r="C44" s="401"/>
      <c r="D44" s="401"/>
      <c r="F44" s="263"/>
      <c r="G44" s="263"/>
      <c r="H44" s="263"/>
      <c r="L44" s="58"/>
      <c r="M44" s="58"/>
      <c r="N44" s="58"/>
      <c r="O44" s="58"/>
    </row>
    <row r="45" spans="2:17" x14ac:dyDescent="0.25">
      <c r="B45" s="12" t="s">
        <v>100</v>
      </c>
      <c r="C45" s="402" t="s">
        <v>128</v>
      </c>
      <c r="D45" s="402" t="s">
        <v>129</v>
      </c>
      <c r="F45" s="263"/>
      <c r="G45" s="263"/>
      <c r="H45" s="263"/>
    </row>
    <row r="46" spans="2:17" x14ac:dyDescent="0.25">
      <c r="B46" s="403">
        <v>43118</v>
      </c>
      <c r="C46" s="153">
        <f>'Colstrip 1&amp;2 2018 '!B21</f>
        <v>49231.509999999995</v>
      </c>
      <c r="D46" s="153">
        <f>'Colstrip 3&amp;4 2018'!B21</f>
        <v>62035.540000000008</v>
      </c>
      <c r="F46" s="263"/>
      <c r="G46" s="263"/>
      <c r="H46" s="263"/>
    </row>
    <row r="47" spans="2:17" x14ac:dyDescent="0.25">
      <c r="B47" s="403">
        <v>43149</v>
      </c>
      <c r="C47" s="153">
        <f>'Colstrip 1&amp;2 2018 '!C21</f>
        <v>49160.509999999995</v>
      </c>
      <c r="D47" s="153">
        <f>'Colstrip 3&amp;4 2018'!C21</f>
        <v>62384.540000000008</v>
      </c>
      <c r="F47" s="263"/>
      <c r="G47" s="263"/>
      <c r="H47" s="263"/>
    </row>
    <row r="48" spans="2:17" x14ac:dyDescent="0.25">
      <c r="B48" s="403">
        <v>43177</v>
      </c>
      <c r="C48" s="153">
        <f>'Colstrip 1&amp;2 2018 '!D21</f>
        <v>49160.739999999991</v>
      </c>
      <c r="D48" s="153">
        <f>'Colstrip 3&amp;4 2018'!D21</f>
        <v>62407.64</v>
      </c>
      <c r="F48" s="263"/>
      <c r="G48" s="263"/>
      <c r="H48" s="263"/>
    </row>
    <row r="49" spans="2:8" x14ac:dyDescent="0.25">
      <c r="B49" s="403">
        <v>43208</v>
      </c>
      <c r="C49" s="153">
        <f>'Colstrip 1&amp;2 2018 '!E21</f>
        <v>57018.35</v>
      </c>
      <c r="D49" s="153">
        <f>'Colstrip 3&amp;4 2018'!E21</f>
        <v>70061.960000000006</v>
      </c>
      <c r="F49" s="263"/>
      <c r="G49" s="263"/>
      <c r="H49" s="263"/>
    </row>
    <row r="50" spans="2:8" x14ac:dyDescent="0.25">
      <c r="B50" s="403">
        <v>43238</v>
      </c>
      <c r="C50" s="153">
        <f>'Colstrip 1&amp;2 2018 '!F21</f>
        <v>59212.67</v>
      </c>
      <c r="D50" s="153">
        <f>'Colstrip 3&amp;4 2018'!F21</f>
        <v>72729.320000000007</v>
      </c>
      <c r="F50" s="263"/>
      <c r="G50" s="263"/>
      <c r="H50" s="263"/>
    </row>
    <row r="51" spans="2:8" x14ac:dyDescent="0.25">
      <c r="B51" s="403">
        <v>43269</v>
      </c>
      <c r="C51" s="153">
        <f>'Colstrip 1&amp;2 2018 '!G21</f>
        <v>75786.100000000006</v>
      </c>
      <c r="D51" s="153">
        <f>'Colstrip 3&amp;4 2018'!G21</f>
        <v>91018.010000000009</v>
      </c>
      <c r="F51" s="263"/>
      <c r="G51" s="263"/>
      <c r="H51" s="263"/>
    </row>
    <row r="52" spans="2:8" x14ac:dyDescent="0.25">
      <c r="B52" s="403">
        <v>43299</v>
      </c>
      <c r="C52" s="153">
        <f>'Colstrip 1&amp;2 2018 '!H21</f>
        <v>96293.81</v>
      </c>
      <c r="D52" s="153">
        <f>'Colstrip 3&amp;4 2018'!H21</f>
        <v>109146.25</v>
      </c>
      <c r="F52" s="263"/>
      <c r="G52" s="263"/>
      <c r="H52" s="263"/>
    </row>
    <row r="53" spans="2:8" x14ac:dyDescent="0.25">
      <c r="B53" s="403">
        <v>43330</v>
      </c>
      <c r="C53" s="153">
        <f>'Colstrip 1&amp;2 2018 '!I21</f>
        <v>50211.289999999994</v>
      </c>
      <c r="D53" s="153">
        <f>'Colstrip 3&amp;4 2018'!I21</f>
        <v>63063.740000000005</v>
      </c>
      <c r="F53" s="263"/>
      <c r="G53" s="263"/>
      <c r="H53" s="263"/>
    </row>
    <row r="54" spans="2:8" x14ac:dyDescent="0.25">
      <c r="B54" s="403">
        <v>43361</v>
      </c>
      <c r="C54" s="153">
        <f>'Colstrip 1&amp;2 2018 '!J21</f>
        <v>50211.289999999994</v>
      </c>
      <c r="D54" s="153">
        <f>'Colstrip 3&amp;4 2018'!J21</f>
        <v>63063.740000000005</v>
      </c>
      <c r="F54" s="263"/>
      <c r="G54" s="263"/>
      <c r="H54" s="263"/>
    </row>
    <row r="55" spans="2:8" x14ac:dyDescent="0.25">
      <c r="B55" s="403">
        <v>43391</v>
      </c>
      <c r="C55" s="153">
        <f>'Colstrip 1&amp;2 2018 '!K21</f>
        <v>50211.289999999994</v>
      </c>
      <c r="D55" s="153">
        <f>'Colstrip 3&amp;4 2018'!K21</f>
        <v>63063.740000000005</v>
      </c>
      <c r="F55" s="263"/>
      <c r="G55" s="263"/>
      <c r="H55" s="263"/>
    </row>
    <row r="56" spans="2:8" x14ac:dyDescent="0.25">
      <c r="B56" s="403">
        <v>43422</v>
      </c>
      <c r="C56" s="153">
        <f>'Colstrip 1&amp;2 2018 '!L21</f>
        <v>50211.289999999994</v>
      </c>
      <c r="D56" s="153">
        <f>'Colstrip 3&amp;4 2018'!L21</f>
        <v>63063.740000000005</v>
      </c>
      <c r="F56" s="263"/>
      <c r="G56" s="263"/>
      <c r="H56" s="263"/>
    </row>
    <row r="57" spans="2:8" ht="15" x14ac:dyDescent="0.4">
      <c r="B57" s="403">
        <v>43452</v>
      </c>
      <c r="C57" s="404">
        <f>'Colstrip 1&amp;2 2018 '!M21</f>
        <v>63174.520000000004</v>
      </c>
      <c r="D57" s="404">
        <f>'Colstrip 3&amp;4 2018'!M21</f>
        <v>80459.360000000001</v>
      </c>
      <c r="F57" s="263"/>
      <c r="G57" s="263"/>
      <c r="H57" s="263"/>
    </row>
    <row r="58" spans="2:8" x14ac:dyDescent="0.25">
      <c r="B58" s="16" t="s">
        <v>103</v>
      </c>
      <c r="C58" s="153">
        <f>SUM(C46:C57)</f>
        <v>699883.37000000011</v>
      </c>
      <c r="D58" s="153">
        <f>SUM(D46:D57)</f>
        <v>862497.58</v>
      </c>
      <c r="E58" s="153"/>
      <c r="F58" s="263"/>
      <c r="G58" s="263"/>
      <c r="H58" s="263"/>
    </row>
    <row r="59" spans="2:8" x14ac:dyDescent="0.25">
      <c r="B59" s="16" t="s">
        <v>104</v>
      </c>
      <c r="C59" s="190">
        <v>0.5</v>
      </c>
      <c r="D59" s="190">
        <v>0.25</v>
      </c>
      <c r="F59" s="263"/>
      <c r="G59" s="263"/>
      <c r="H59" s="263"/>
    </row>
    <row r="60" spans="2:8" ht="15" x14ac:dyDescent="0.4">
      <c r="B60" s="16" t="s">
        <v>132</v>
      </c>
      <c r="C60" s="153">
        <f>C58*C59</f>
        <v>349941.68500000006</v>
      </c>
      <c r="D60" s="153">
        <f>D58*D59</f>
        <v>215624.39499999999</v>
      </c>
      <c r="E60" s="405">
        <f>SUM(C60:D60)</f>
        <v>565566.08000000007</v>
      </c>
      <c r="F60" s="263"/>
      <c r="G60" s="263"/>
      <c r="H60" s="263"/>
    </row>
    <row r="61" spans="2:8" x14ac:dyDescent="0.25">
      <c r="E61" s="153">
        <f>'Colstrip 1&amp;2 2018 '!N23+'Colstrip 3&amp;4 2018'!N23-E60</f>
        <v>0</v>
      </c>
      <c r="F61" s="218" t="s">
        <v>383</v>
      </c>
      <c r="G61" s="263"/>
      <c r="H61" s="263"/>
    </row>
    <row r="62" spans="2:8" x14ac:dyDescent="0.25">
      <c r="D62" s="406"/>
      <c r="E62" s="7"/>
    </row>
  </sheetData>
  <mergeCells count="7">
    <mergeCell ref="C43:D43"/>
    <mergeCell ref="L26:N26"/>
    <mergeCell ref="A1:K1"/>
    <mergeCell ref="A2:K2"/>
    <mergeCell ref="L2:N2"/>
    <mergeCell ref="A24:K24"/>
    <mergeCell ref="A25:K25"/>
  </mergeCells>
  <pageMargins left="0.7" right="0.7" top="0.75" bottom="0.75" header="0.3" footer="0.3"/>
  <pageSetup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zoomScale="90" zoomScaleNormal="90" workbookViewId="0">
      <selection sqref="A1:XFD1048576"/>
    </sheetView>
  </sheetViews>
  <sheetFormatPr defaultColWidth="8.88671875" defaultRowHeight="13.2" x14ac:dyDescent="0.25"/>
  <cols>
    <col min="1" max="1" width="51.109375" style="16" bestFit="1" customWidth="1"/>
    <col min="2" max="2" width="13.109375" style="16" bestFit="1" customWidth="1"/>
    <col min="3" max="3" width="8.88671875" style="16"/>
    <col min="4" max="4" width="14.5546875" style="16" bestFit="1" customWidth="1"/>
    <col min="5" max="5" width="8.88671875" style="16"/>
    <col min="6" max="6" width="10.44140625" style="16" bestFit="1" customWidth="1"/>
    <col min="7" max="7" width="14.5546875" style="16" bestFit="1" customWidth="1"/>
    <col min="8" max="16384" width="8.88671875" style="16"/>
  </cols>
  <sheetData>
    <row r="2" spans="1:7" ht="17.399999999999999" x14ac:dyDescent="0.3">
      <c r="A2" s="264" t="s">
        <v>16</v>
      </c>
    </row>
    <row r="3" spans="1:7" ht="17.399999999999999" x14ac:dyDescent="0.3">
      <c r="A3" s="264" t="s">
        <v>34</v>
      </c>
      <c r="B3" s="265"/>
      <c r="C3" s="265"/>
      <c r="D3" s="19"/>
      <c r="E3" s="35"/>
      <c r="F3" s="153"/>
    </row>
    <row r="4" spans="1:7" ht="17.399999999999999" x14ac:dyDescent="0.3">
      <c r="A4" s="264" t="s">
        <v>112</v>
      </c>
      <c r="B4" s="265"/>
      <c r="C4" s="265"/>
      <c r="D4" s="19"/>
      <c r="E4" s="35"/>
      <c r="F4" s="153"/>
    </row>
    <row r="5" spans="1:7" ht="13.8" thickBot="1" x14ac:dyDescent="0.3">
      <c r="A5" s="345"/>
      <c r="B5" s="265"/>
      <c r="C5" s="265"/>
      <c r="D5" s="19"/>
      <c r="E5" s="265"/>
      <c r="F5" s="153"/>
    </row>
    <row r="6" spans="1:7" x14ac:dyDescent="0.25">
      <c r="A6" s="346"/>
      <c r="B6" s="347" t="s">
        <v>355</v>
      </c>
      <c r="C6" s="347"/>
      <c r="D6" s="348" t="s">
        <v>356</v>
      </c>
      <c r="E6" s="265"/>
      <c r="G6" s="349" t="s">
        <v>356</v>
      </c>
    </row>
    <row r="7" spans="1:7" x14ac:dyDescent="0.25">
      <c r="A7" s="209"/>
      <c r="B7" s="265"/>
      <c r="C7" s="265"/>
      <c r="D7" s="350"/>
      <c r="E7" s="265"/>
      <c r="G7" s="351"/>
    </row>
    <row r="8" spans="1:7" x14ac:dyDescent="0.25">
      <c r="A8" s="154" t="s">
        <v>357</v>
      </c>
      <c r="B8" s="265" t="s">
        <v>358</v>
      </c>
      <c r="C8" s="120"/>
      <c r="D8" s="352">
        <f>'Prop Ins - RYupdated'!D12</f>
        <v>3610803.3377279998</v>
      </c>
      <c r="E8" s="265"/>
      <c r="F8" s="261"/>
      <c r="G8" s="353">
        <f>'Prop Ins - RYupdated (2)'!E12</f>
        <v>4148888.8919900707</v>
      </c>
    </row>
    <row r="9" spans="1:7" x14ac:dyDescent="0.25">
      <c r="A9" s="354" t="s">
        <v>359</v>
      </c>
      <c r="B9" s="120"/>
      <c r="C9" s="120"/>
      <c r="D9" s="121"/>
      <c r="E9" s="265"/>
      <c r="G9" s="355"/>
    </row>
    <row r="10" spans="1:7" x14ac:dyDescent="0.25">
      <c r="A10" s="154"/>
      <c r="B10" s="120"/>
      <c r="C10" s="120"/>
      <c r="D10" s="356"/>
      <c r="E10" s="265"/>
      <c r="G10" s="357"/>
    </row>
    <row r="11" spans="1:7" x14ac:dyDescent="0.25">
      <c r="A11" s="154" t="s">
        <v>360</v>
      </c>
      <c r="B11" s="120"/>
      <c r="C11" s="120"/>
      <c r="D11" s="356">
        <f>-'Prop Ins - RYupdated'!D51</f>
        <v>-55926</v>
      </c>
      <c r="E11" s="265"/>
      <c r="F11" s="7"/>
      <c r="G11" s="357">
        <f>-'Prop Ins - RYupdated (2)'!E51</f>
        <v>-65077.607985050425</v>
      </c>
    </row>
    <row r="12" spans="1:7" x14ac:dyDescent="0.25">
      <c r="A12" s="358" t="s">
        <v>361</v>
      </c>
      <c r="B12" s="359"/>
      <c r="C12" s="359"/>
      <c r="D12" s="360">
        <f>-'Prop Ins - RYupdated'!D44</f>
        <v>-3388303</v>
      </c>
      <c r="E12" s="361"/>
      <c r="F12" s="218"/>
      <c r="G12" s="362">
        <f>-'Prop Ins - RYupdated (2)'!E44</f>
        <v>-3895439.2738404199</v>
      </c>
    </row>
    <row r="13" spans="1:7" ht="15" x14ac:dyDescent="0.25">
      <c r="A13" s="57" t="s">
        <v>362</v>
      </c>
      <c r="B13" s="265"/>
      <c r="C13" s="363"/>
      <c r="D13" s="352">
        <f>SUM(D8:D12)</f>
        <v>166574.33772799978</v>
      </c>
      <c r="E13" s="364" t="s">
        <v>363</v>
      </c>
      <c r="F13" s="218"/>
      <c r="G13" s="353">
        <f>SUM(G8:G12)</f>
        <v>188372.01016460033</v>
      </c>
    </row>
    <row r="14" spans="1:7" ht="15" x14ac:dyDescent="0.25">
      <c r="A14" s="57"/>
      <c r="B14" s="265"/>
      <c r="C14" s="363"/>
      <c r="D14" s="352"/>
      <c r="E14" s="361"/>
      <c r="F14" s="218"/>
      <c r="G14" s="353"/>
    </row>
    <row r="15" spans="1:7" ht="15" x14ac:dyDescent="0.25">
      <c r="A15" s="365" t="s">
        <v>364</v>
      </c>
      <c r="B15" s="265"/>
      <c r="C15" s="363"/>
      <c r="D15" s="352"/>
      <c r="E15" s="361"/>
      <c r="F15" s="218"/>
      <c r="G15" s="353"/>
    </row>
    <row r="16" spans="1:7" ht="15" x14ac:dyDescent="0.25">
      <c r="A16" s="366" t="s">
        <v>17</v>
      </c>
      <c r="B16" s="68">
        <v>0.6038</v>
      </c>
      <c r="C16" s="363"/>
      <c r="D16" s="352">
        <f>D13*B16</f>
        <v>100577.58512016627</v>
      </c>
      <c r="E16" s="364" t="s">
        <v>365</v>
      </c>
      <c r="F16" s="218"/>
      <c r="G16" s="353">
        <f>G13*B16</f>
        <v>113739.01973738568</v>
      </c>
    </row>
    <row r="17" spans="1:7" ht="15" x14ac:dyDescent="0.25">
      <c r="A17" s="366" t="s">
        <v>18</v>
      </c>
      <c r="B17" s="68">
        <v>0.3962</v>
      </c>
      <c r="C17" s="363"/>
      <c r="D17" s="367">
        <f>D13*B17</f>
        <v>65996.752607833507</v>
      </c>
      <c r="E17" s="364" t="s">
        <v>366</v>
      </c>
      <c r="F17" s="218"/>
      <c r="G17" s="368">
        <f>G13*B17</f>
        <v>74632.990427214652</v>
      </c>
    </row>
    <row r="18" spans="1:7" ht="15.6" thickBot="1" x14ac:dyDescent="0.3">
      <c r="A18" s="109"/>
      <c r="B18" s="369">
        <f>SUM(B16:B17)</f>
        <v>1</v>
      </c>
      <c r="C18" s="370"/>
      <c r="D18" s="371">
        <f>SUM(D16:D17)</f>
        <v>166574.33772799978</v>
      </c>
      <c r="E18" s="364"/>
      <c r="F18" s="218"/>
      <c r="G18" s="372">
        <f>SUM(G16:G17)</f>
        <v>188372.01016460033</v>
      </c>
    </row>
    <row r="19" spans="1:7" ht="15.6" thickBot="1" x14ac:dyDescent="0.3">
      <c r="A19" s="373"/>
      <c r="B19" s="265"/>
      <c r="C19" s="363"/>
      <c r="D19" s="278"/>
      <c r="E19" s="361"/>
      <c r="F19" s="218"/>
    </row>
    <row r="20" spans="1:7" x14ac:dyDescent="0.25">
      <c r="A20" s="520" t="s">
        <v>367</v>
      </c>
      <c r="B20" s="521"/>
      <c r="C20" s="521"/>
      <c r="D20" s="522"/>
      <c r="E20" s="361"/>
      <c r="F20" s="218"/>
      <c r="G20" s="374"/>
    </row>
    <row r="21" spans="1:7" ht="15" x14ac:dyDescent="0.25">
      <c r="A21" s="57" t="s">
        <v>368</v>
      </c>
      <c r="B21" s="265" t="s">
        <v>369</v>
      </c>
      <c r="C21" s="363"/>
      <c r="D21" s="375">
        <f>-D12</f>
        <v>3388303</v>
      </c>
      <c r="E21" s="364" t="s">
        <v>370</v>
      </c>
      <c r="F21" s="376"/>
      <c r="G21" s="377">
        <f>-G12</f>
        <v>3895439.2738404199</v>
      </c>
    </row>
    <row r="22" spans="1:7" ht="15" x14ac:dyDescent="0.25">
      <c r="A22" s="57"/>
      <c r="B22" s="265"/>
      <c r="C22" s="363"/>
      <c r="D22" s="378"/>
      <c r="E22" s="361"/>
      <c r="F22" s="218"/>
      <c r="G22" s="353"/>
    </row>
    <row r="23" spans="1:7" ht="15" x14ac:dyDescent="0.25">
      <c r="A23" s="57" t="s">
        <v>371</v>
      </c>
      <c r="B23" s="265" t="s">
        <v>369</v>
      </c>
      <c r="C23" s="363"/>
      <c r="D23" s="75">
        <f>D16</f>
        <v>100577.58512016627</v>
      </c>
      <c r="E23" s="364" t="s">
        <v>372</v>
      </c>
      <c r="F23" s="218"/>
      <c r="G23" s="379">
        <f>G16</f>
        <v>113739.01973738568</v>
      </c>
    </row>
    <row r="24" spans="1:7" x14ac:dyDescent="0.25">
      <c r="A24" s="57"/>
      <c r="B24" s="58"/>
      <c r="C24" s="58"/>
      <c r="D24" s="124"/>
      <c r="E24" s="380"/>
      <c r="F24" s="218"/>
      <c r="G24" s="357"/>
    </row>
    <row r="25" spans="1:7" ht="13.8" thickBot="1" x14ac:dyDescent="0.3">
      <c r="A25" s="57" t="s">
        <v>373</v>
      </c>
      <c r="B25" s="58"/>
      <c r="C25" s="58"/>
      <c r="D25" s="381">
        <f>SUM(D21:D24)</f>
        <v>3488880.5851201662</v>
      </c>
      <c r="E25" s="364" t="s">
        <v>374</v>
      </c>
      <c r="F25" s="218"/>
      <c r="G25" s="381">
        <f>SUM(G21:G24)</f>
        <v>4009178.2935778056</v>
      </c>
    </row>
    <row r="26" spans="1:7" ht="13.8" thickTop="1" x14ac:dyDescent="0.25">
      <c r="A26" s="57"/>
      <c r="B26" s="58"/>
      <c r="C26" s="58"/>
      <c r="D26" s="382"/>
      <c r="E26" s="364"/>
      <c r="F26" s="218"/>
      <c r="G26" s="383"/>
    </row>
    <row r="27" spans="1:7" x14ac:dyDescent="0.25">
      <c r="A27" s="57"/>
      <c r="B27" s="58"/>
      <c r="C27" s="58"/>
      <c r="D27" s="59"/>
      <c r="E27" s="380"/>
      <c r="F27" s="384"/>
      <c r="G27" s="353"/>
    </row>
    <row r="28" spans="1:7" x14ac:dyDescent="0.25">
      <c r="A28" s="523" t="s">
        <v>375</v>
      </c>
      <c r="B28" s="524"/>
      <c r="C28" s="524"/>
      <c r="D28" s="525"/>
      <c r="E28" s="380"/>
      <c r="F28" s="218"/>
      <c r="G28" s="353"/>
    </row>
    <row r="29" spans="1:7" ht="15" x14ac:dyDescent="0.25">
      <c r="A29" s="57" t="s">
        <v>360</v>
      </c>
      <c r="B29" s="265" t="s">
        <v>369</v>
      </c>
      <c r="C29" s="363"/>
      <c r="D29" s="352">
        <f>-D11</f>
        <v>55926</v>
      </c>
      <c r="E29" s="364" t="s">
        <v>376</v>
      </c>
      <c r="F29" s="218"/>
      <c r="G29" s="353">
        <f>-G11</f>
        <v>65077.607985050425</v>
      </c>
    </row>
    <row r="30" spans="1:7" ht="15" x14ac:dyDescent="0.25">
      <c r="A30" s="57"/>
      <c r="B30" s="265"/>
      <c r="C30" s="363"/>
      <c r="D30" s="352"/>
      <c r="E30" s="361"/>
      <c r="F30" s="218"/>
      <c r="G30" s="353"/>
    </row>
    <row r="31" spans="1:7" x14ac:dyDescent="0.25">
      <c r="A31" s="57" t="s">
        <v>377</v>
      </c>
      <c r="B31" s="265" t="s">
        <v>369</v>
      </c>
      <c r="C31" s="58"/>
      <c r="D31" s="385">
        <f>D17</f>
        <v>65996.752607833507</v>
      </c>
      <c r="E31" s="364" t="s">
        <v>378</v>
      </c>
      <c r="F31" s="218"/>
      <c r="G31" s="386">
        <f>G17</f>
        <v>74632.990427214652</v>
      </c>
    </row>
    <row r="32" spans="1:7" ht="13.8" thickBot="1" x14ac:dyDescent="0.3">
      <c r="A32" s="57"/>
      <c r="B32" s="58"/>
      <c r="C32" s="58"/>
      <c r="D32" s="59"/>
      <c r="E32" s="380"/>
      <c r="F32" s="218"/>
      <c r="G32" s="372"/>
    </row>
    <row r="33" spans="1:7" ht="13.8" thickBot="1" x14ac:dyDescent="0.3">
      <c r="A33" s="57" t="s">
        <v>379</v>
      </c>
      <c r="B33" s="58"/>
      <c r="C33" s="58"/>
      <c r="D33" s="381">
        <f>SUM(D29:D32)</f>
        <v>121922.75260783351</v>
      </c>
      <c r="E33" s="364" t="s">
        <v>380</v>
      </c>
      <c r="F33" s="218"/>
      <c r="G33" s="387">
        <f>SUM(G29:G32)</f>
        <v>139710.59841226507</v>
      </c>
    </row>
    <row r="34" spans="1:7" ht="14.4" thickTop="1" thickBot="1" x14ac:dyDescent="0.3">
      <c r="A34" s="109"/>
      <c r="B34" s="110"/>
      <c r="C34" s="110"/>
      <c r="D34" s="111"/>
      <c r="E34" s="380"/>
      <c r="F34" s="218"/>
      <c r="G34" s="388"/>
    </row>
  </sheetData>
  <mergeCells count="2">
    <mergeCell ref="A20:D20"/>
    <mergeCell ref="A28:D2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9.109375" defaultRowHeight="13.2" x14ac:dyDescent="0.25"/>
  <cols>
    <col min="1" max="16384" width="9.109375" style="263"/>
  </cols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8"/>
  <sheetViews>
    <sheetView zoomScale="60" zoomScaleNormal="60" workbookViewId="0">
      <selection sqref="A1:XFD1048576"/>
    </sheetView>
  </sheetViews>
  <sheetFormatPr defaultColWidth="9.109375" defaultRowHeight="14.4" x14ac:dyDescent="0.25"/>
  <cols>
    <col min="1" max="1" width="2.6640625" style="294" customWidth="1"/>
    <col min="2" max="2" width="67.5546875" style="294" customWidth="1"/>
    <col min="3" max="3" width="28.109375" style="294" customWidth="1"/>
    <col min="4" max="4" width="26.33203125" style="294" bestFit="1" customWidth="1"/>
    <col min="5" max="5" width="35" style="294" customWidth="1"/>
    <col min="6" max="6" width="12.33203125" style="294" bestFit="1" customWidth="1"/>
    <col min="7" max="7" width="11.33203125" style="294" bestFit="1" customWidth="1"/>
    <col min="8" max="8" width="11.109375" style="294" bestFit="1" customWidth="1"/>
    <col min="9" max="9" width="9.109375" style="294"/>
    <col min="10" max="10" width="11.33203125" style="294" bestFit="1" customWidth="1"/>
    <col min="11" max="16384" width="9.109375" style="294"/>
  </cols>
  <sheetData>
    <row r="1" spans="2:8" ht="23.4" x14ac:dyDescent="0.25">
      <c r="D1" s="295"/>
    </row>
    <row r="2" spans="2:8" ht="24" thickBot="1" x14ac:dyDescent="0.35">
      <c r="B2" s="264" t="s">
        <v>34</v>
      </c>
      <c r="C2" s="264"/>
      <c r="D2" s="296"/>
    </row>
    <row r="3" spans="2:8" ht="29.4" thickBot="1" x14ac:dyDescent="0.3">
      <c r="B3" s="297"/>
      <c r="C3" s="298" t="s">
        <v>190</v>
      </c>
      <c r="D3" s="299" t="s">
        <v>191</v>
      </c>
      <c r="E3" s="300" t="s">
        <v>336</v>
      </c>
    </row>
    <row r="4" spans="2:8" x14ac:dyDescent="0.25">
      <c r="B4" s="301" t="s">
        <v>73</v>
      </c>
      <c r="C4" s="302"/>
      <c r="D4" s="303"/>
      <c r="E4" s="304"/>
    </row>
    <row r="5" spans="2:8" x14ac:dyDescent="0.25">
      <c r="B5" s="305" t="s">
        <v>92</v>
      </c>
      <c r="C5" s="306">
        <v>3700000</v>
      </c>
      <c r="D5" s="307">
        <v>3100000</v>
      </c>
      <c r="E5" s="304"/>
    </row>
    <row r="6" spans="2:8" x14ac:dyDescent="0.25">
      <c r="B6" s="305" t="s">
        <v>93</v>
      </c>
      <c r="C6" s="308">
        <v>-395824</v>
      </c>
      <c r="D6" s="309">
        <v>-370928</v>
      </c>
      <c r="E6" s="304"/>
    </row>
    <row r="7" spans="2:8" x14ac:dyDescent="0.25">
      <c r="B7" s="305" t="s">
        <v>149</v>
      </c>
      <c r="C7" s="310">
        <f>SUM(C5:C6)</f>
        <v>3304176</v>
      </c>
      <c r="D7" s="311">
        <f>SUM(D5:D6)</f>
        <v>2729072</v>
      </c>
      <c r="E7" s="21">
        <f>'Rates - Updated'!P36</f>
        <v>3262517.7269300707</v>
      </c>
    </row>
    <row r="8" spans="2:8" x14ac:dyDescent="0.25">
      <c r="B8" s="305" t="s">
        <v>325</v>
      </c>
      <c r="C8" s="312"/>
      <c r="D8" s="313">
        <f>'Prop Ins - RYupdated'!D8</f>
        <v>-22769.662272000001</v>
      </c>
      <c r="E8" s="314">
        <f>-'Rates - Updated'!P32/3*2</f>
        <v>-27370.834940000001</v>
      </c>
    </row>
    <row r="9" spans="2:8" x14ac:dyDescent="0.25">
      <c r="B9" s="305" t="s">
        <v>391</v>
      </c>
      <c r="C9" s="306">
        <v>418984</v>
      </c>
      <c r="D9" s="313">
        <v>367006</v>
      </c>
      <c r="E9" s="314">
        <v>369192</v>
      </c>
      <c r="G9" s="315"/>
    </row>
    <row r="10" spans="2:8" x14ac:dyDescent="0.25">
      <c r="B10" s="305" t="s">
        <v>392</v>
      </c>
      <c r="C10" s="306">
        <v>445170</v>
      </c>
      <c r="D10" s="313">
        <v>389943</v>
      </c>
      <c r="E10" s="314">
        <v>392266</v>
      </c>
      <c r="G10" s="302"/>
    </row>
    <row r="11" spans="2:8" x14ac:dyDescent="0.25">
      <c r="B11" s="305" t="s">
        <v>393</v>
      </c>
      <c r="C11" s="306">
        <v>185961</v>
      </c>
      <c r="D11" s="313">
        <v>147552</v>
      </c>
      <c r="E11" s="314">
        <v>152284</v>
      </c>
      <c r="G11" s="302"/>
    </row>
    <row r="12" spans="2:8" ht="15" thickBot="1" x14ac:dyDescent="0.3">
      <c r="B12" s="305" t="s">
        <v>74</v>
      </c>
      <c r="C12" s="316">
        <f>SUM(C7:C11)</f>
        <v>4354291</v>
      </c>
      <c r="D12" s="317">
        <f>SUM(D7:D11)</f>
        <v>3610803.3377279998</v>
      </c>
      <c r="E12" s="317">
        <f>SUM(E7:E11)</f>
        <v>4148888.8919900707</v>
      </c>
      <c r="F12" s="302"/>
      <c r="H12" s="318"/>
    </row>
    <row r="13" spans="2:8" x14ac:dyDescent="0.25">
      <c r="B13" s="305"/>
      <c r="C13" s="302"/>
      <c r="D13" s="319"/>
      <c r="E13" s="304"/>
    </row>
    <row r="14" spans="2:8" x14ac:dyDescent="0.25">
      <c r="B14" s="320" t="s">
        <v>54</v>
      </c>
      <c r="C14" s="302"/>
      <c r="D14" s="319"/>
      <c r="E14" s="304"/>
    </row>
    <row r="15" spans="2:8" x14ac:dyDescent="0.25">
      <c r="B15" s="304"/>
      <c r="C15" s="302"/>
      <c r="D15" s="319"/>
      <c r="E15" s="304"/>
    </row>
    <row r="16" spans="2:8" x14ac:dyDescent="0.25">
      <c r="B16" s="321" t="s">
        <v>41</v>
      </c>
      <c r="C16" s="302"/>
      <c r="D16" s="319"/>
      <c r="E16" s="304"/>
    </row>
    <row r="17" spans="2:5" x14ac:dyDescent="0.25">
      <c r="B17" s="305" t="s">
        <v>83</v>
      </c>
      <c r="C17" s="306">
        <v>184483</v>
      </c>
      <c r="D17" s="313">
        <v>147447</v>
      </c>
      <c r="E17" s="314">
        <f>'Rates - Updated'!P13</f>
        <v>167621.02321221371</v>
      </c>
    </row>
    <row r="18" spans="2:5" x14ac:dyDescent="0.25">
      <c r="B18" s="305" t="s">
        <v>42</v>
      </c>
      <c r="C18" s="306">
        <v>136912</v>
      </c>
      <c r="D18" s="313">
        <v>139843</v>
      </c>
      <c r="E18" s="314">
        <f>'Rates - Updated'!P14</f>
        <v>202171.7937756459</v>
      </c>
    </row>
    <row r="19" spans="2:5" x14ac:dyDescent="0.25">
      <c r="B19" s="305" t="s">
        <v>87</v>
      </c>
      <c r="C19" s="302">
        <v>204077</v>
      </c>
      <c r="D19" s="313">
        <v>185611</v>
      </c>
      <c r="E19" s="314">
        <f>'Rates - Updated'!P15</f>
        <v>261418.71100409754</v>
      </c>
    </row>
    <row r="20" spans="2:5" x14ac:dyDescent="0.25">
      <c r="B20" s="305"/>
      <c r="C20" s="302"/>
      <c r="D20" s="313"/>
      <c r="E20" s="314"/>
    </row>
    <row r="21" spans="2:5" x14ac:dyDescent="0.25">
      <c r="B21" s="321" t="s">
        <v>43</v>
      </c>
      <c r="C21" s="302"/>
      <c r="D21" s="313"/>
      <c r="E21" s="314"/>
    </row>
    <row r="22" spans="2:5" x14ac:dyDescent="0.25">
      <c r="B22" s="304" t="s">
        <v>44</v>
      </c>
      <c r="C22" s="302">
        <v>210225</v>
      </c>
      <c r="D22" s="313">
        <v>212621</v>
      </c>
      <c r="E22" s="314">
        <f>'Rates - Updated'!P10</f>
        <v>269098.47963708208</v>
      </c>
    </row>
    <row r="23" spans="2:5" x14ac:dyDescent="0.25">
      <c r="B23" s="305" t="s">
        <v>84</v>
      </c>
      <c r="C23" s="302"/>
      <c r="D23" s="313"/>
      <c r="E23" s="314">
        <f>SUMIF('Rates - Updated'!$A$4:$A$34,'Prop Ins - RYupdated (2)'!B23,'Rates - Updated'!$P$4:$P$34)</f>
        <v>0</v>
      </c>
    </row>
    <row r="24" spans="2:5" x14ac:dyDescent="0.25">
      <c r="B24" s="304" t="s">
        <v>45</v>
      </c>
      <c r="C24" s="302">
        <v>157032</v>
      </c>
      <c r="D24" s="313">
        <v>130528</v>
      </c>
      <c r="E24" s="314">
        <f>'Rates - Updated'!P11</f>
        <v>165199.62574122119</v>
      </c>
    </row>
    <row r="25" spans="2:5" x14ac:dyDescent="0.25">
      <c r="B25" s="304" t="s">
        <v>46</v>
      </c>
      <c r="C25" s="302">
        <v>215515</v>
      </c>
      <c r="D25" s="313">
        <v>198514</v>
      </c>
      <c r="E25" s="314">
        <f>'Rates - Updated'!P12</f>
        <v>225455.72983500001</v>
      </c>
    </row>
    <row r="26" spans="2:5" x14ac:dyDescent="0.25">
      <c r="B26" s="304"/>
      <c r="C26" s="302"/>
      <c r="D26" s="313"/>
      <c r="E26" s="314"/>
    </row>
    <row r="27" spans="2:5" x14ac:dyDescent="0.25">
      <c r="B27" s="321" t="s">
        <v>47</v>
      </c>
      <c r="C27" s="302"/>
      <c r="D27" s="313"/>
      <c r="E27" s="314"/>
    </row>
    <row r="28" spans="2:5" x14ac:dyDescent="0.25">
      <c r="B28" s="304" t="s">
        <v>48</v>
      </c>
      <c r="C28" s="302">
        <v>1483</v>
      </c>
      <c r="D28" s="313">
        <v>1936</v>
      </c>
      <c r="E28" s="314">
        <f>'Rates - Updated'!P9</f>
        <v>2214.4787899999997</v>
      </c>
    </row>
    <row r="29" spans="2:5" x14ac:dyDescent="0.25">
      <c r="B29" s="304" t="s">
        <v>49</v>
      </c>
      <c r="C29" s="302">
        <v>96171</v>
      </c>
      <c r="D29" s="313">
        <v>102247</v>
      </c>
      <c r="E29" s="314">
        <f>'Rates - Updated'!P19</f>
        <v>119184.10853372423</v>
      </c>
    </row>
    <row r="30" spans="2:5" x14ac:dyDescent="0.25">
      <c r="B30" s="304" t="s">
        <v>50</v>
      </c>
      <c r="C30" s="302">
        <v>94434</v>
      </c>
      <c r="D30" s="313">
        <v>78283</v>
      </c>
      <c r="E30" s="314">
        <f>'Rates - Updated'!P23</f>
        <v>83498.504755508009</v>
      </c>
    </row>
    <row r="31" spans="2:5" x14ac:dyDescent="0.25">
      <c r="B31" s="304" t="s">
        <v>51</v>
      </c>
      <c r="C31" s="302">
        <v>47984</v>
      </c>
      <c r="D31" s="313">
        <v>59589</v>
      </c>
      <c r="E31" s="314">
        <f>'Rates - Updated'!P24</f>
        <v>65453.625558107451</v>
      </c>
    </row>
    <row r="32" spans="2:5" x14ac:dyDescent="0.25">
      <c r="B32" s="304" t="s">
        <v>52</v>
      </c>
      <c r="C32" s="302">
        <v>199572</v>
      </c>
      <c r="D32" s="313">
        <v>171152</v>
      </c>
      <c r="E32" s="314">
        <f>'Rates - Updated'!P25</f>
        <v>181636.44653793602</v>
      </c>
    </row>
    <row r="33" spans="2:8" x14ac:dyDescent="0.25">
      <c r="B33" s="304" t="s">
        <v>53</v>
      </c>
      <c r="C33" s="302">
        <v>79239</v>
      </c>
      <c r="D33" s="313">
        <v>80045</v>
      </c>
      <c r="E33" s="314">
        <f>'Rates - Updated'!P26</f>
        <v>96139.673036503547</v>
      </c>
    </row>
    <row r="34" spans="2:8" x14ac:dyDescent="0.25">
      <c r="B34" s="305" t="s">
        <v>75</v>
      </c>
      <c r="C34" s="302">
        <v>45050</v>
      </c>
      <c r="D34" s="313">
        <v>67604</v>
      </c>
      <c r="E34" s="314">
        <f>'Rates - Updated'!P20</f>
        <v>76018.251449999996</v>
      </c>
    </row>
    <row r="35" spans="2:8" x14ac:dyDescent="0.25">
      <c r="B35" s="305" t="s">
        <v>394</v>
      </c>
      <c r="C35" s="302">
        <v>454</v>
      </c>
      <c r="D35" s="313">
        <v>454</v>
      </c>
      <c r="E35" s="314">
        <f>'Rates - Updated'!P21</f>
        <v>489.92101799999995</v>
      </c>
    </row>
    <row r="36" spans="2:8" x14ac:dyDescent="0.25">
      <c r="B36" s="305" t="s">
        <v>76</v>
      </c>
      <c r="C36" s="302">
        <v>78402</v>
      </c>
      <c r="D36" s="313">
        <v>88349</v>
      </c>
      <c r="E36" s="314">
        <f>'Rates - Updated'!P22</f>
        <v>103664.50996559999</v>
      </c>
    </row>
    <row r="37" spans="2:8" x14ac:dyDescent="0.25">
      <c r="B37" s="305" t="s">
        <v>88</v>
      </c>
      <c r="C37" s="302">
        <v>137389</v>
      </c>
      <c r="D37" s="313">
        <v>119834</v>
      </c>
      <c r="E37" s="314">
        <f>'Rates - Updated'!P27</f>
        <v>134752.99483090802</v>
      </c>
    </row>
    <row r="38" spans="2:8" x14ac:dyDescent="0.25">
      <c r="B38" s="305" t="s">
        <v>118</v>
      </c>
      <c r="C38" s="306">
        <v>418984</v>
      </c>
      <c r="D38" s="313">
        <v>367006</v>
      </c>
      <c r="E38" s="314">
        <f>E9</f>
        <v>369192</v>
      </c>
    </row>
    <row r="39" spans="2:8" x14ac:dyDescent="0.25">
      <c r="B39" s="305" t="s">
        <v>119</v>
      </c>
      <c r="C39" s="306">
        <v>445170</v>
      </c>
      <c r="D39" s="313">
        <v>389943</v>
      </c>
      <c r="E39" s="314">
        <f>E10</f>
        <v>392266</v>
      </c>
    </row>
    <row r="40" spans="2:8" x14ac:dyDescent="0.25">
      <c r="B40" s="305" t="s">
        <v>148</v>
      </c>
      <c r="C40" s="308">
        <v>185961</v>
      </c>
      <c r="D40" s="309">
        <v>147552</v>
      </c>
      <c r="E40" s="322">
        <f>E11</f>
        <v>152284</v>
      </c>
      <c r="F40" s="16"/>
      <c r="G40" s="16"/>
    </row>
    <row r="41" spans="2:8" x14ac:dyDescent="0.25">
      <c r="B41" s="305" t="s">
        <v>156</v>
      </c>
      <c r="C41" s="323">
        <f>SUM(C17:C40)</f>
        <v>2938537</v>
      </c>
      <c r="D41" s="313">
        <f>SUM(D17:D40)</f>
        <v>2688558</v>
      </c>
      <c r="E41" s="324">
        <f>SUM(E17:E40)</f>
        <v>3067759.8776815478</v>
      </c>
      <c r="F41" s="16"/>
      <c r="G41" s="16"/>
    </row>
    <row r="42" spans="2:8" x14ac:dyDescent="0.25">
      <c r="B42" s="305"/>
      <c r="C42" s="323"/>
      <c r="D42" s="319"/>
      <c r="E42" s="304"/>
      <c r="F42" s="16"/>
      <c r="G42" s="16"/>
    </row>
    <row r="43" spans="2:8" x14ac:dyDescent="0.25">
      <c r="B43" s="305" t="s">
        <v>154</v>
      </c>
      <c r="C43" s="325">
        <v>1085941</v>
      </c>
      <c r="D43" s="309">
        <v>699745</v>
      </c>
      <c r="E43" s="322">
        <f>'Rates - Updated'!P8+'Rates - Updated'!P16+'Rates - Updated'!P17+'Rates - Updated'!P18</f>
        <v>827679.39615887217</v>
      </c>
      <c r="F43" s="16"/>
      <c r="G43" s="16"/>
    </row>
    <row r="44" spans="2:8" x14ac:dyDescent="0.25">
      <c r="B44" s="305" t="s">
        <v>155</v>
      </c>
      <c r="C44" s="326">
        <f>SUM(C41:C43)</f>
        <v>4024478</v>
      </c>
      <c r="D44" s="327">
        <f t="shared" ref="D44:E44" si="0">SUM(D41:D43)</f>
        <v>3388303</v>
      </c>
      <c r="E44" s="328">
        <f t="shared" si="0"/>
        <v>3895439.2738404199</v>
      </c>
      <c r="F44" s="217"/>
      <c r="G44" s="16"/>
    </row>
    <row r="45" spans="2:8" x14ac:dyDescent="0.25">
      <c r="B45" s="304"/>
      <c r="C45" s="329"/>
      <c r="D45" s="319"/>
      <c r="E45" s="304"/>
      <c r="F45" s="16"/>
      <c r="G45" s="16"/>
    </row>
    <row r="46" spans="2:8" x14ac:dyDescent="0.25">
      <c r="B46" s="320" t="s">
        <v>395</v>
      </c>
      <c r="C46" s="329"/>
      <c r="D46" s="319"/>
      <c r="E46" s="304"/>
      <c r="F46" s="16"/>
      <c r="G46" s="16"/>
    </row>
    <row r="47" spans="2:8" x14ac:dyDescent="0.25">
      <c r="B47" s="305" t="s">
        <v>85</v>
      </c>
      <c r="C47" s="306">
        <v>11387</v>
      </c>
      <c r="D47" s="313">
        <v>11385</v>
      </c>
      <c r="E47" s="314">
        <f>(1/3)*'Rates - Updated'!P32</f>
        <v>13685.41747</v>
      </c>
      <c r="F47" s="16"/>
      <c r="G47" s="16"/>
      <c r="H47" s="330"/>
    </row>
    <row r="48" spans="2:8" x14ac:dyDescent="0.3">
      <c r="B48" s="331" t="s">
        <v>90</v>
      </c>
      <c r="C48" s="306"/>
      <c r="D48" s="313"/>
      <c r="E48" s="304"/>
      <c r="F48" s="294" t="s">
        <v>192</v>
      </c>
      <c r="G48" s="16"/>
    </row>
    <row r="49" spans="2:10" x14ac:dyDescent="0.25">
      <c r="B49" s="304" t="s">
        <v>396</v>
      </c>
      <c r="C49" s="302"/>
      <c r="D49" s="313"/>
      <c r="E49" s="304"/>
      <c r="F49" s="294" t="s">
        <v>192</v>
      </c>
      <c r="G49" s="16"/>
    </row>
    <row r="50" spans="2:10" x14ac:dyDescent="0.25">
      <c r="B50" s="304" t="s">
        <v>166</v>
      </c>
      <c r="C50" s="302">
        <v>58227</v>
      </c>
      <c r="D50" s="313">
        <v>44541</v>
      </c>
      <c r="E50" s="314">
        <f>SUM('Rates - Updated'!P28:P31)</f>
        <v>51392.190515050424</v>
      </c>
      <c r="F50" s="16"/>
      <c r="G50" s="16"/>
    </row>
    <row r="51" spans="2:10" x14ac:dyDescent="0.25">
      <c r="B51" s="332" t="s">
        <v>77</v>
      </c>
      <c r="C51" s="333">
        <v>69614</v>
      </c>
      <c r="D51" s="334">
        <f t="shared" ref="D51" si="1">SUM(D47:D50)</f>
        <v>55926</v>
      </c>
      <c r="E51" s="335">
        <f>SUM(E47:E50)</f>
        <v>65077.607985050425</v>
      </c>
      <c r="F51" s="16"/>
      <c r="G51" s="16"/>
      <c r="H51" s="302"/>
    </row>
    <row r="52" spans="2:10" x14ac:dyDescent="0.25">
      <c r="B52" s="304"/>
      <c r="C52" s="329"/>
      <c r="D52" s="319"/>
      <c r="E52" s="304"/>
      <c r="F52" s="16"/>
      <c r="G52" s="16"/>
    </row>
    <row r="53" spans="2:10" x14ac:dyDescent="0.25">
      <c r="B53" s="332" t="s">
        <v>78</v>
      </c>
      <c r="C53" s="336">
        <v>260199</v>
      </c>
      <c r="D53" s="337">
        <f t="shared" ref="D53:E53" si="2">D12-D44-D51</f>
        <v>166574.33772799978</v>
      </c>
      <c r="E53" s="338">
        <f t="shared" si="2"/>
        <v>188372.01016460033</v>
      </c>
      <c r="F53" s="217"/>
      <c r="G53" s="16"/>
      <c r="H53" s="318"/>
      <c r="J53" s="318"/>
    </row>
    <row r="54" spans="2:10" ht="15" thickBot="1" x14ac:dyDescent="0.3">
      <c r="B54" s="339"/>
      <c r="C54" s="340"/>
      <c r="D54" s="341"/>
      <c r="E54" s="342"/>
      <c r="F54" s="16"/>
      <c r="G54" s="16"/>
    </row>
    <row r="56" spans="2:10" x14ac:dyDescent="0.25">
      <c r="B56" s="343" t="s">
        <v>91</v>
      </c>
      <c r="C56" s="343"/>
    </row>
    <row r="57" spans="2:10" x14ac:dyDescent="0.25">
      <c r="B57" s="343" t="s">
        <v>116</v>
      </c>
      <c r="C57" s="343"/>
    </row>
    <row r="58" spans="2:10" x14ac:dyDescent="0.25">
      <c r="B58" s="343" t="s">
        <v>117</v>
      </c>
      <c r="C58" s="343"/>
    </row>
    <row r="59" spans="2:10" x14ac:dyDescent="0.25">
      <c r="B59" s="343" t="s">
        <v>120</v>
      </c>
      <c r="C59" s="343"/>
    </row>
    <row r="60" spans="2:10" x14ac:dyDescent="0.25">
      <c r="B60" s="343" t="s">
        <v>147</v>
      </c>
      <c r="C60" s="343"/>
    </row>
    <row r="61" spans="2:10" x14ac:dyDescent="0.25">
      <c r="B61" s="344"/>
      <c r="C61" s="344"/>
    </row>
    <row r="62" spans="2:10" x14ac:dyDescent="0.25">
      <c r="B62" s="344"/>
      <c r="C62" s="344"/>
    </row>
    <row r="63" spans="2:10" x14ac:dyDescent="0.25">
      <c r="B63" s="344"/>
      <c r="C63" s="344"/>
    </row>
    <row r="64" spans="2:10" x14ac:dyDescent="0.25">
      <c r="B64" s="344"/>
      <c r="C64" s="344"/>
    </row>
    <row r="65" spans="2:3" x14ac:dyDescent="0.25">
      <c r="B65" s="344"/>
      <c r="C65" s="344"/>
    </row>
    <row r="67" spans="2:3" x14ac:dyDescent="0.25">
      <c r="B67" s="312"/>
      <c r="C67" s="312"/>
    </row>
    <row r="68" spans="2:3" x14ac:dyDescent="0.25">
      <c r="B68" s="312"/>
      <c r="C68" s="312"/>
    </row>
  </sheetData>
  <printOptions gridLines="1"/>
  <pageMargins left="0.81" right="0.25" top="1.42" bottom="0.52" header="0.3" footer="0.45"/>
  <pageSetup scale="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zoomScale="82" zoomScaleNormal="82" workbookViewId="0">
      <pane xSplit="1" ySplit="8" topLeftCell="B4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3.2" x14ac:dyDescent="0.25"/>
  <cols>
    <col min="1" max="1" width="27" style="16" customWidth="1"/>
    <col min="2" max="2" width="17.33203125" style="16" bestFit="1" customWidth="1"/>
    <col min="3" max="3" width="6.5546875" style="16" bestFit="1" customWidth="1"/>
    <col min="4" max="4" width="13" style="16" bestFit="1" customWidth="1"/>
    <col min="5" max="5" width="10.6640625" style="16" bestFit="1" customWidth="1"/>
    <col min="6" max="6" width="25.33203125" style="16" customWidth="1"/>
    <col min="7" max="7" width="14.6640625" style="16" bestFit="1" customWidth="1"/>
    <col min="8" max="8" width="13.5546875" style="16" customWidth="1"/>
    <col min="9" max="9" width="6.5546875" style="16" bestFit="1" customWidth="1"/>
    <col min="10" max="10" width="8.33203125" style="16" bestFit="1" customWidth="1"/>
    <col min="11" max="12" width="10.33203125" style="16" bestFit="1" customWidth="1"/>
    <col min="13" max="13" width="13" style="263" bestFit="1" customWidth="1"/>
    <col min="14" max="14" width="6.44140625" style="16" bestFit="1" customWidth="1"/>
    <col min="15" max="16" width="8" style="16" bestFit="1" customWidth="1"/>
    <col min="17" max="17" width="6.6640625" style="16" bestFit="1" customWidth="1"/>
    <col min="18" max="16384" width="8.88671875" style="16"/>
  </cols>
  <sheetData>
    <row r="1" spans="1:8" ht="4.95" customHeight="1" x14ac:dyDescent="0.3">
      <c r="A1" s="262"/>
    </row>
    <row r="2" spans="1:8" ht="17.399999999999999" x14ac:dyDescent="0.3">
      <c r="A2" s="264" t="s">
        <v>16</v>
      </c>
    </row>
    <row r="3" spans="1:8" ht="17.399999999999999" x14ac:dyDescent="0.3">
      <c r="A3" s="264" t="s">
        <v>36</v>
      </c>
      <c r="B3" s="265"/>
      <c r="C3" s="265"/>
      <c r="D3" s="19"/>
      <c r="E3" s="518"/>
      <c r="F3" s="518"/>
    </row>
    <row r="4" spans="1:8" ht="17.399999999999999" x14ac:dyDescent="0.3">
      <c r="A4" s="264" t="s">
        <v>347</v>
      </c>
      <c r="B4" s="265"/>
      <c r="C4" s="265"/>
      <c r="D4" s="19"/>
    </row>
    <row r="5" spans="1:8" ht="4.95" customHeight="1" thickBot="1" x14ac:dyDescent="0.3">
      <c r="A5" s="12"/>
    </row>
    <row r="6" spans="1:8" x14ac:dyDescent="0.25">
      <c r="A6" s="266" t="s">
        <v>12</v>
      </c>
      <c r="B6" s="267" t="s">
        <v>13</v>
      </c>
      <c r="C6" s="268" t="s">
        <v>68</v>
      </c>
      <c r="D6" s="267" t="s">
        <v>10</v>
      </c>
      <c r="E6" s="269" t="s">
        <v>60</v>
      </c>
      <c r="F6" s="269" t="s">
        <v>61</v>
      </c>
      <c r="G6" s="269" t="s">
        <v>65</v>
      </c>
      <c r="H6" s="269" t="s">
        <v>67</v>
      </c>
    </row>
    <row r="7" spans="1:8" x14ac:dyDescent="0.25">
      <c r="A7" s="270"/>
      <c r="B7" s="271"/>
      <c r="C7" s="272" t="s">
        <v>26</v>
      </c>
      <c r="D7" s="271"/>
      <c r="E7" s="271" t="s">
        <v>59</v>
      </c>
      <c r="F7" s="271" t="s">
        <v>59</v>
      </c>
      <c r="G7" s="271" t="s">
        <v>66</v>
      </c>
      <c r="H7" s="271" t="s">
        <v>66</v>
      </c>
    </row>
    <row r="8" spans="1:8" ht="13.8" thickBot="1" x14ac:dyDescent="0.3">
      <c r="A8" s="273"/>
      <c r="B8" s="274"/>
      <c r="C8" s="275" t="s">
        <v>57</v>
      </c>
      <c r="D8" s="274" t="s">
        <v>62</v>
      </c>
      <c r="E8" s="274" t="s">
        <v>63</v>
      </c>
      <c r="F8" s="274" t="s">
        <v>64</v>
      </c>
      <c r="G8" s="276"/>
      <c r="H8" s="276"/>
    </row>
    <row r="10" spans="1:8" x14ac:dyDescent="0.25">
      <c r="A10" s="277" t="s">
        <v>11</v>
      </c>
      <c r="B10" s="37"/>
      <c r="C10" s="37"/>
      <c r="D10" s="37"/>
    </row>
    <row r="11" spans="1:8" x14ac:dyDescent="0.25">
      <c r="A11" s="16" t="s">
        <v>109</v>
      </c>
      <c r="B11" s="265" t="s">
        <v>348</v>
      </c>
      <c r="C11" s="35">
        <v>925</v>
      </c>
      <c r="D11" s="278">
        <v>3630715.82</v>
      </c>
      <c r="E11" s="279">
        <v>0.49997132880489842</v>
      </c>
      <c r="F11" s="217">
        <f>D11*E11</f>
        <v>1815253.8130383664</v>
      </c>
      <c r="G11" s="217">
        <f>F11*$F$66</f>
        <v>1053754.8384687717</v>
      </c>
      <c r="H11" s="217">
        <f>F11*$G$66</f>
        <v>761498.97456959472</v>
      </c>
    </row>
    <row r="12" spans="1:8" x14ac:dyDescent="0.25">
      <c r="B12" s="265"/>
      <c r="C12" s="35"/>
      <c r="D12" s="278"/>
      <c r="E12" s="279"/>
      <c r="F12" s="217">
        <f t="shared" ref="F12:F17" si="0">D12*E12</f>
        <v>0</v>
      </c>
      <c r="G12" s="217">
        <f t="shared" ref="G12:G37" si="1">F12*$F$66</f>
        <v>0</v>
      </c>
      <c r="H12" s="217">
        <f t="shared" ref="H12:H37" si="2">F12*$G$66</f>
        <v>0</v>
      </c>
    </row>
    <row r="13" spans="1:8" x14ac:dyDescent="0.25">
      <c r="A13" s="16" t="s">
        <v>110</v>
      </c>
      <c r="B13" s="265" t="s">
        <v>348</v>
      </c>
      <c r="C13" s="35">
        <v>925</v>
      </c>
      <c r="D13" s="278">
        <v>671660</v>
      </c>
      <c r="E13" s="279">
        <f>E11</f>
        <v>0.49997132880489842</v>
      </c>
      <c r="F13" s="217">
        <f t="shared" si="0"/>
        <v>335810.74270509806</v>
      </c>
      <c r="G13" s="217">
        <f t="shared" si="1"/>
        <v>194938.13614030942</v>
      </c>
      <c r="H13" s="217">
        <f t="shared" si="2"/>
        <v>140872.60656478864</v>
      </c>
    </row>
    <row r="14" spans="1:8" x14ac:dyDescent="0.25">
      <c r="B14" s="265"/>
      <c r="C14" s="35"/>
      <c r="D14" s="278"/>
      <c r="E14" s="279"/>
      <c r="F14" s="217">
        <f t="shared" si="0"/>
        <v>0</v>
      </c>
      <c r="G14" s="217">
        <f t="shared" si="1"/>
        <v>0</v>
      </c>
      <c r="H14" s="217">
        <f t="shared" si="2"/>
        <v>0</v>
      </c>
    </row>
    <row r="15" spans="1:8" x14ac:dyDescent="0.25">
      <c r="A15" s="16" t="s">
        <v>178</v>
      </c>
      <c r="B15" s="265" t="s">
        <v>348</v>
      </c>
      <c r="C15" s="35">
        <v>925</v>
      </c>
      <c r="D15" s="278">
        <v>309750</v>
      </c>
      <c r="E15" s="279">
        <f>E13</f>
        <v>0.49997132880489842</v>
      </c>
      <c r="F15" s="217">
        <f t="shared" si="0"/>
        <v>154866.11909731728</v>
      </c>
      <c r="G15" s="217">
        <f t="shared" si="1"/>
        <v>89899.782135992689</v>
      </c>
      <c r="H15" s="217">
        <f t="shared" si="2"/>
        <v>64966.336961324596</v>
      </c>
    </row>
    <row r="16" spans="1:8" x14ac:dyDescent="0.25">
      <c r="B16" s="265"/>
      <c r="C16" s="35"/>
      <c r="D16" s="278"/>
      <c r="E16" s="279"/>
      <c r="F16" s="217">
        <f t="shared" si="0"/>
        <v>0</v>
      </c>
      <c r="G16" s="217">
        <f t="shared" si="1"/>
        <v>0</v>
      </c>
      <c r="H16" s="217">
        <f t="shared" si="2"/>
        <v>0</v>
      </c>
    </row>
    <row r="17" spans="1:8" x14ac:dyDescent="0.25">
      <c r="A17" s="16" t="s">
        <v>25</v>
      </c>
      <c r="B17" s="265" t="s">
        <v>348</v>
      </c>
      <c r="C17" s="35">
        <v>925</v>
      </c>
      <c r="D17" s="278">
        <v>40840</v>
      </c>
      <c r="E17" s="279">
        <f>E15</f>
        <v>0.49997132880489842</v>
      </c>
      <c r="F17" s="217">
        <f t="shared" si="0"/>
        <v>20418.829068392053</v>
      </c>
      <c r="G17" s="217">
        <f>F17*$F$66</f>
        <v>11853.130274201587</v>
      </c>
      <c r="H17" s="217">
        <f t="shared" si="2"/>
        <v>8565.6987941904663</v>
      </c>
    </row>
    <row r="18" spans="1:8" x14ac:dyDescent="0.25">
      <c r="B18" s="265"/>
      <c r="C18" s="265"/>
      <c r="D18" s="278"/>
      <c r="E18" s="279"/>
      <c r="F18" s="217"/>
      <c r="G18" s="217">
        <f t="shared" si="1"/>
        <v>0</v>
      </c>
      <c r="H18" s="217">
        <f t="shared" si="2"/>
        <v>0</v>
      </c>
    </row>
    <row r="19" spans="1:8" x14ac:dyDescent="0.25">
      <c r="A19" s="16" t="s">
        <v>179</v>
      </c>
      <c r="B19" s="265" t="s">
        <v>180</v>
      </c>
      <c r="C19" s="35">
        <v>925</v>
      </c>
      <c r="D19" s="278">
        <f>'Liability Ins - RY'!D19</f>
        <v>32000</v>
      </c>
      <c r="E19" s="279">
        <v>1</v>
      </c>
      <c r="F19" s="217">
        <f>D19*E19</f>
        <v>32000</v>
      </c>
      <c r="G19" s="217">
        <f t="shared" si="1"/>
        <v>18576</v>
      </c>
      <c r="H19" s="217">
        <f t="shared" si="2"/>
        <v>13424</v>
      </c>
    </row>
    <row r="20" spans="1:8" x14ac:dyDescent="0.25">
      <c r="B20" s="265"/>
      <c r="C20" s="35"/>
      <c r="D20" s="278"/>
      <c r="E20" s="279"/>
      <c r="F20" s="217"/>
      <c r="G20" s="217">
        <f t="shared" si="1"/>
        <v>0</v>
      </c>
      <c r="H20" s="217">
        <f t="shared" si="2"/>
        <v>0</v>
      </c>
    </row>
    <row r="21" spans="1:8" x14ac:dyDescent="0.25">
      <c r="A21" s="16" t="s">
        <v>181</v>
      </c>
      <c r="B21" s="35" t="s">
        <v>180</v>
      </c>
      <c r="C21" s="35">
        <v>925</v>
      </c>
      <c r="D21" s="278">
        <f>'Liability Ins - RY'!D21</f>
        <v>43608</v>
      </c>
      <c r="E21" s="279">
        <f>E17</f>
        <v>0.49997132880489842</v>
      </c>
      <c r="F21" s="217">
        <f>D21*E21</f>
        <v>21802.74970652401</v>
      </c>
      <c r="G21" s="217">
        <f t="shared" si="1"/>
        <v>12656.496204637187</v>
      </c>
      <c r="H21" s="217">
        <f t="shared" si="2"/>
        <v>9146.2535018868221</v>
      </c>
    </row>
    <row r="22" spans="1:8" x14ac:dyDescent="0.25">
      <c r="B22" s="265"/>
      <c r="C22" s="35"/>
      <c r="D22" s="278"/>
      <c r="E22" s="279"/>
      <c r="F22" s="217"/>
      <c r="G22" s="217">
        <f t="shared" si="1"/>
        <v>0</v>
      </c>
      <c r="H22" s="217">
        <f t="shared" si="2"/>
        <v>0</v>
      </c>
    </row>
    <row r="23" spans="1:8" x14ac:dyDescent="0.25">
      <c r="A23" s="16" t="s">
        <v>182</v>
      </c>
      <c r="B23" s="35" t="s">
        <v>180</v>
      </c>
      <c r="C23" s="35">
        <v>925</v>
      </c>
      <c r="D23" s="278">
        <f>'Liability Ins - RY'!D23</f>
        <v>14439</v>
      </c>
      <c r="E23" s="279">
        <f>E21</f>
        <v>0.49997132880489842</v>
      </c>
      <c r="F23" s="217">
        <f>D23*E23</f>
        <v>7219.0860166139282</v>
      </c>
      <c r="G23" s="217">
        <f t="shared" si="1"/>
        <v>4190.6794326443851</v>
      </c>
      <c r="H23" s="217">
        <f t="shared" si="2"/>
        <v>3028.4065839695427</v>
      </c>
    </row>
    <row r="24" spans="1:8" x14ac:dyDescent="0.25">
      <c r="B24" s="265"/>
      <c r="C24" s="35"/>
      <c r="D24" s="278"/>
      <c r="E24" s="279"/>
      <c r="F24" s="217"/>
      <c r="G24" s="217"/>
      <c r="H24" s="217"/>
    </row>
    <row r="25" spans="1:8" x14ac:dyDescent="0.25">
      <c r="A25" s="16" t="s">
        <v>384</v>
      </c>
      <c r="B25" s="35" t="s">
        <v>111</v>
      </c>
      <c r="C25" s="35">
        <v>925</v>
      </c>
      <c r="D25" s="278">
        <v>0</v>
      </c>
      <c r="E25" s="279">
        <f>E21</f>
        <v>0.49997132880489842</v>
      </c>
      <c r="F25" s="217">
        <f>D25*E25</f>
        <v>0</v>
      </c>
      <c r="G25" s="217">
        <f t="shared" si="1"/>
        <v>0</v>
      </c>
      <c r="H25" s="217">
        <f t="shared" si="2"/>
        <v>0</v>
      </c>
    </row>
    <row r="26" spans="1:8" x14ac:dyDescent="0.25">
      <c r="B26" s="265"/>
      <c r="C26" s="35"/>
      <c r="D26" s="278"/>
      <c r="E26" s="279"/>
      <c r="F26" s="217"/>
      <c r="G26" s="217"/>
      <c r="H26" s="217"/>
    </row>
    <row r="27" spans="1:8" x14ac:dyDescent="0.25">
      <c r="A27" s="16" t="s">
        <v>183</v>
      </c>
      <c r="B27" s="265" t="s">
        <v>349</v>
      </c>
      <c r="C27" s="35">
        <v>925</v>
      </c>
      <c r="D27" s="278">
        <v>223381</v>
      </c>
      <c r="E27" s="279">
        <f>E25</f>
        <v>0.49997132880489842</v>
      </c>
      <c r="F27" s="217">
        <f t="shared" ref="F27:F30" si="3">D27*E27</f>
        <v>111684.09539976701</v>
      </c>
      <c r="G27" s="217">
        <f t="shared" si="1"/>
        <v>64832.617379564756</v>
      </c>
      <c r="H27" s="217">
        <f t="shared" si="2"/>
        <v>46851.478020202259</v>
      </c>
    </row>
    <row r="28" spans="1:8" x14ac:dyDescent="0.25">
      <c r="B28" s="265"/>
      <c r="C28" s="35"/>
      <c r="D28" s="278"/>
      <c r="E28" s="279"/>
      <c r="F28" s="217">
        <f t="shared" si="3"/>
        <v>0</v>
      </c>
      <c r="G28" s="217">
        <f t="shared" si="1"/>
        <v>0</v>
      </c>
      <c r="H28" s="217">
        <f t="shared" si="2"/>
        <v>0</v>
      </c>
    </row>
    <row r="29" spans="1:8" x14ac:dyDescent="0.25">
      <c r="A29" s="16" t="s">
        <v>185</v>
      </c>
      <c r="B29" s="265" t="s">
        <v>349</v>
      </c>
      <c r="C29" s="35">
        <v>925</v>
      </c>
      <c r="D29" s="278">
        <v>137120</v>
      </c>
      <c r="E29" s="279">
        <f>E27</f>
        <v>0.49997132880489842</v>
      </c>
      <c r="F29" s="217">
        <f t="shared" si="3"/>
        <v>68556.068605727676</v>
      </c>
      <c r="G29" s="217">
        <f t="shared" si="1"/>
        <v>39796.797825624919</v>
      </c>
      <c r="H29" s="217">
        <f t="shared" si="2"/>
        <v>28759.270780102757</v>
      </c>
    </row>
    <row r="30" spans="1:8" x14ac:dyDescent="0.25">
      <c r="B30" s="265"/>
      <c r="C30" s="35"/>
      <c r="D30" s="278"/>
      <c r="E30" s="279"/>
      <c r="F30" s="217">
        <f t="shared" si="3"/>
        <v>0</v>
      </c>
      <c r="G30" s="217">
        <f t="shared" si="1"/>
        <v>0</v>
      </c>
      <c r="H30" s="217">
        <f t="shared" si="2"/>
        <v>0</v>
      </c>
    </row>
    <row r="31" spans="1:8" x14ac:dyDescent="0.25">
      <c r="A31" s="16" t="s">
        <v>35</v>
      </c>
      <c r="B31" s="265" t="s">
        <v>349</v>
      </c>
      <c r="C31" s="35">
        <v>925</v>
      </c>
      <c r="D31" s="278">
        <v>0</v>
      </c>
      <c r="E31" s="279">
        <f>E27</f>
        <v>0.49997132880489842</v>
      </c>
      <c r="F31" s="280" t="s">
        <v>381</v>
      </c>
      <c r="G31" s="280"/>
      <c r="H31" s="280"/>
    </row>
    <row r="32" spans="1:8" x14ac:dyDescent="0.25">
      <c r="B32" s="265"/>
      <c r="C32" s="35"/>
      <c r="D32" s="278"/>
      <c r="E32" s="279"/>
      <c r="F32" s="217"/>
      <c r="G32" s="217">
        <f t="shared" si="1"/>
        <v>0</v>
      </c>
      <c r="H32" s="217">
        <f t="shared" si="2"/>
        <v>0</v>
      </c>
    </row>
    <row r="33" spans="1:8" x14ac:dyDescent="0.25">
      <c r="A33" s="16" t="s">
        <v>186</v>
      </c>
      <c r="B33" s="265" t="s">
        <v>180</v>
      </c>
      <c r="C33" s="35">
        <v>925</v>
      </c>
      <c r="D33" s="278">
        <f>'Liability Ins - RY'!D33</f>
        <v>110709</v>
      </c>
      <c r="E33" s="279">
        <v>0.5</v>
      </c>
      <c r="F33" s="217">
        <f>D33*E33</f>
        <v>55354.5</v>
      </c>
      <c r="G33" s="217">
        <f t="shared" si="1"/>
        <v>32133.287250000001</v>
      </c>
      <c r="H33" s="217">
        <f t="shared" si="2"/>
        <v>23221.212749999999</v>
      </c>
    </row>
    <row r="34" spans="1:8" x14ac:dyDescent="0.25">
      <c r="B34" s="265"/>
      <c r="C34" s="35"/>
      <c r="D34" s="278"/>
      <c r="E34" s="279"/>
      <c r="F34" s="217"/>
      <c r="G34" s="217">
        <f t="shared" si="1"/>
        <v>0</v>
      </c>
      <c r="H34" s="217">
        <f t="shared" si="2"/>
        <v>0</v>
      </c>
    </row>
    <row r="35" spans="1:8" x14ac:dyDescent="0.25">
      <c r="A35" s="16" t="s">
        <v>187</v>
      </c>
      <c r="B35" s="265" t="s">
        <v>180</v>
      </c>
      <c r="C35" s="35">
        <v>925</v>
      </c>
      <c r="D35" s="278">
        <f>'Liability Ins - RY'!D35</f>
        <v>66425</v>
      </c>
      <c r="E35" s="279">
        <v>0.5</v>
      </c>
      <c r="F35" s="217">
        <f>D35*E35</f>
        <v>33212.5</v>
      </c>
      <c r="G35" s="217">
        <f t="shared" si="1"/>
        <v>19279.856250000001</v>
      </c>
      <c r="H35" s="217">
        <f t="shared" si="2"/>
        <v>13932.643749999999</v>
      </c>
    </row>
    <row r="36" spans="1:8" x14ac:dyDescent="0.25">
      <c r="B36" s="265"/>
      <c r="C36" s="35"/>
      <c r="D36" s="278"/>
      <c r="E36" s="279"/>
      <c r="F36" s="217"/>
      <c r="G36" s="217">
        <f t="shared" si="1"/>
        <v>0</v>
      </c>
      <c r="H36" s="217">
        <f t="shared" si="2"/>
        <v>0</v>
      </c>
    </row>
    <row r="37" spans="1:8" x14ac:dyDescent="0.25">
      <c r="A37" s="16" t="s">
        <v>14</v>
      </c>
      <c r="B37" s="265" t="s">
        <v>350</v>
      </c>
      <c r="C37" s="35">
        <v>925</v>
      </c>
      <c r="D37" s="278">
        <v>122500</v>
      </c>
      <c r="E37" s="279">
        <f>E31</f>
        <v>0.49997132880489842</v>
      </c>
      <c r="F37" s="217">
        <f>D37*E37</f>
        <v>61246.487778600058</v>
      </c>
      <c r="G37" s="217">
        <f t="shared" si="1"/>
        <v>35553.586155477336</v>
      </c>
      <c r="H37" s="217">
        <f t="shared" si="2"/>
        <v>25692.901623122725</v>
      </c>
    </row>
    <row r="38" spans="1:8" x14ac:dyDescent="0.25">
      <c r="B38" s="265"/>
      <c r="C38" s="35"/>
      <c r="D38" s="278"/>
      <c r="E38" s="279"/>
      <c r="F38" s="217">
        <f t="shared" ref="F38:F41" si="4">D38*E38</f>
        <v>0</v>
      </c>
      <c r="G38" s="217"/>
      <c r="H38" s="217"/>
    </row>
    <row r="39" spans="1:8" x14ac:dyDescent="0.25">
      <c r="A39" s="16" t="s">
        <v>14</v>
      </c>
      <c r="B39" s="265" t="s">
        <v>350</v>
      </c>
      <c r="C39" s="35">
        <v>924</v>
      </c>
      <c r="D39" s="278">
        <v>122500</v>
      </c>
      <c r="E39" s="279">
        <v>1</v>
      </c>
      <c r="F39" s="217">
        <f t="shared" si="4"/>
        <v>122500</v>
      </c>
      <c r="G39" s="217">
        <f>F39*$F$65</f>
        <v>73965.5</v>
      </c>
      <c r="H39" s="217">
        <f>F39*$G$65</f>
        <v>48534.5</v>
      </c>
    </row>
    <row r="40" spans="1:8" x14ac:dyDescent="0.25">
      <c r="B40" s="265"/>
      <c r="C40" s="35"/>
      <c r="D40" s="278"/>
      <c r="E40" s="279"/>
      <c r="F40" s="217">
        <f t="shared" si="4"/>
        <v>0</v>
      </c>
      <c r="G40" s="217">
        <f t="shared" ref="G40:G59" si="5">F40*$F$65</f>
        <v>0</v>
      </c>
      <c r="H40" s="217">
        <f t="shared" ref="H40:H59" si="6">F40*$G$65</f>
        <v>0</v>
      </c>
    </row>
    <row r="41" spans="1:8" x14ac:dyDescent="0.25">
      <c r="A41" s="58" t="s">
        <v>15</v>
      </c>
      <c r="B41" s="265" t="s">
        <v>349</v>
      </c>
      <c r="C41" s="35">
        <v>924</v>
      </c>
      <c r="D41" s="278">
        <v>15115</v>
      </c>
      <c r="E41" s="279">
        <f>E37</f>
        <v>0.49997132880489842</v>
      </c>
      <c r="F41" s="217">
        <f t="shared" si="4"/>
        <v>7557.0666348860395</v>
      </c>
      <c r="G41" s="217">
        <f t="shared" si="5"/>
        <v>4562.9568341441909</v>
      </c>
      <c r="H41" s="217">
        <f t="shared" si="6"/>
        <v>2994.1098007418486</v>
      </c>
    </row>
    <row r="42" spans="1:8" x14ac:dyDescent="0.25">
      <c r="A42" s="58"/>
      <c r="B42" s="58"/>
      <c r="C42" s="265"/>
      <c r="D42" s="19"/>
      <c r="E42" s="279"/>
      <c r="F42" s="7"/>
      <c r="G42" s="217">
        <f t="shared" si="5"/>
        <v>0</v>
      </c>
      <c r="H42" s="217">
        <f t="shared" si="6"/>
        <v>0</v>
      </c>
    </row>
    <row r="43" spans="1:8" x14ac:dyDescent="0.25">
      <c r="A43" s="277" t="s">
        <v>58</v>
      </c>
      <c r="B43" s="37"/>
      <c r="C43" s="37"/>
      <c r="D43" s="37"/>
      <c r="E43" s="279"/>
      <c r="F43" s="7"/>
      <c r="G43" s="217">
        <f t="shared" si="5"/>
        <v>0</v>
      </c>
      <c r="H43" s="217">
        <f t="shared" si="6"/>
        <v>0</v>
      </c>
    </row>
    <row r="44" spans="1:8" x14ac:dyDescent="0.25">
      <c r="A44" s="58"/>
      <c r="B44" s="58"/>
      <c r="C44" s="265"/>
      <c r="D44" s="74"/>
      <c r="E44" s="279"/>
      <c r="F44" s="7"/>
      <c r="G44" s="217">
        <f t="shared" si="5"/>
        <v>0</v>
      </c>
      <c r="H44" s="217">
        <f t="shared" si="6"/>
        <v>0</v>
      </c>
    </row>
    <row r="45" spans="1:8" x14ac:dyDescent="0.25">
      <c r="A45" s="58" t="s">
        <v>385</v>
      </c>
      <c r="B45" s="265" t="s">
        <v>189</v>
      </c>
      <c r="C45" s="35">
        <v>924</v>
      </c>
      <c r="D45" s="278">
        <v>146039</v>
      </c>
      <c r="E45" s="279">
        <v>1</v>
      </c>
      <c r="F45" s="217">
        <f>D45*E45</f>
        <v>146039</v>
      </c>
      <c r="G45" s="217">
        <f t="shared" si="5"/>
        <v>88178.348200000008</v>
      </c>
      <c r="H45" s="217">
        <f t="shared" si="6"/>
        <v>57860.6518</v>
      </c>
    </row>
    <row r="46" spans="1:8" x14ac:dyDescent="0.25">
      <c r="B46" s="265"/>
      <c r="C46" s="35"/>
      <c r="D46" s="19"/>
      <c r="E46" s="279"/>
      <c r="F46" s="217">
        <f t="shared" ref="F46:F54" si="7">D46*E46</f>
        <v>0</v>
      </c>
      <c r="G46" s="217">
        <f t="shared" si="5"/>
        <v>0</v>
      </c>
      <c r="H46" s="217">
        <f t="shared" si="6"/>
        <v>0</v>
      </c>
    </row>
    <row r="47" spans="1:8" x14ac:dyDescent="0.25">
      <c r="A47" s="16" t="s">
        <v>386</v>
      </c>
      <c r="B47" s="265" t="s">
        <v>189</v>
      </c>
      <c r="C47" s="35">
        <v>924</v>
      </c>
      <c r="D47" s="19">
        <v>6354</v>
      </c>
      <c r="E47" s="279">
        <v>1</v>
      </c>
      <c r="F47" s="217">
        <f t="shared" si="7"/>
        <v>6354</v>
      </c>
      <c r="G47" s="217">
        <f t="shared" si="5"/>
        <v>3836.5452</v>
      </c>
      <c r="H47" s="217">
        <f t="shared" si="6"/>
        <v>2517.4548</v>
      </c>
    </row>
    <row r="48" spans="1:8" x14ac:dyDescent="0.25">
      <c r="B48" s="265"/>
      <c r="C48" s="35"/>
      <c r="D48" s="19"/>
      <c r="E48" s="279"/>
      <c r="F48" s="217">
        <f t="shared" si="7"/>
        <v>0</v>
      </c>
      <c r="G48" s="217">
        <f t="shared" si="5"/>
        <v>0</v>
      </c>
      <c r="H48" s="217">
        <f t="shared" si="6"/>
        <v>0</v>
      </c>
    </row>
    <row r="49" spans="1:8" x14ac:dyDescent="0.25">
      <c r="A49" s="16" t="s">
        <v>387</v>
      </c>
      <c r="B49" s="265" t="s">
        <v>189</v>
      </c>
      <c r="C49" s="281">
        <v>924</v>
      </c>
      <c r="D49" s="19">
        <v>0</v>
      </c>
      <c r="E49" s="279">
        <v>1</v>
      </c>
      <c r="F49" s="282" t="s">
        <v>351</v>
      </c>
      <c r="G49" s="280"/>
      <c r="H49" s="280"/>
    </row>
    <row r="50" spans="1:8" x14ac:dyDescent="0.25">
      <c r="B50" s="265"/>
      <c r="C50" s="281"/>
      <c r="D50" s="19"/>
      <c r="E50" s="279"/>
      <c r="F50" s="217">
        <f t="shared" si="7"/>
        <v>0</v>
      </c>
      <c r="G50" s="217">
        <f t="shared" si="5"/>
        <v>0</v>
      </c>
      <c r="H50" s="217">
        <f t="shared" si="6"/>
        <v>0</v>
      </c>
    </row>
    <row r="51" spans="1:8" x14ac:dyDescent="0.25">
      <c r="A51" s="16" t="s">
        <v>388</v>
      </c>
      <c r="B51" s="265" t="s">
        <v>189</v>
      </c>
      <c r="C51" s="281">
        <v>924</v>
      </c>
      <c r="D51" s="19">
        <v>73020</v>
      </c>
      <c r="E51" s="279">
        <v>1</v>
      </c>
      <c r="F51" s="217">
        <f t="shared" si="7"/>
        <v>73020</v>
      </c>
      <c r="G51" s="217">
        <f t="shared" si="5"/>
        <v>44089.476000000002</v>
      </c>
      <c r="H51" s="217">
        <f t="shared" si="6"/>
        <v>28930.524000000001</v>
      </c>
    </row>
    <row r="52" spans="1:8" x14ac:dyDescent="0.25">
      <c r="B52" s="265"/>
      <c r="C52" s="281"/>
      <c r="D52" s="19"/>
      <c r="E52" s="279"/>
      <c r="F52" s="217">
        <f t="shared" si="7"/>
        <v>0</v>
      </c>
      <c r="G52" s="217">
        <f t="shared" si="5"/>
        <v>0</v>
      </c>
      <c r="H52" s="217">
        <f t="shared" si="6"/>
        <v>0</v>
      </c>
    </row>
    <row r="53" spans="1:8" x14ac:dyDescent="0.25">
      <c r="A53" s="16" t="s">
        <v>389</v>
      </c>
      <c r="B53" s="265" t="s">
        <v>189</v>
      </c>
      <c r="C53" s="281">
        <v>924</v>
      </c>
      <c r="D53" s="19">
        <v>3177</v>
      </c>
      <c r="E53" s="279">
        <v>1</v>
      </c>
      <c r="F53" s="217">
        <f t="shared" si="7"/>
        <v>3177</v>
      </c>
      <c r="G53" s="217">
        <f t="shared" si="5"/>
        <v>1918.2726</v>
      </c>
      <c r="H53" s="217">
        <f t="shared" si="6"/>
        <v>1258.7274</v>
      </c>
    </row>
    <row r="54" spans="1:8" x14ac:dyDescent="0.25">
      <c r="B54" s="265"/>
      <c r="C54" s="281"/>
      <c r="D54" s="19"/>
      <c r="E54" s="279"/>
      <c r="F54" s="217">
        <f t="shared" si="7"/>
        <v>0</v>
      </c>
      <c r="G54" s="217">
        <f t="shared" si="5"/>
        <v>0</v>
      </c>
      <c r="H54" s="217">
        <f t="shared" si="6"/>
        <v>0</v>
      </c>
    </row>
    <row r="55" spans="1:8" x14ac:dyDescent="0.25">
      <c r="A55" s="16" t="s">
        <v>390</v>
      </c>
      <c r="B55" s="265" t="s">
        <v>189</v>
      </c>
      <c r="C55" s="281">
        <v>924</v>
      </c>
      <c r="D55" s="19">
        <v>0</v>
      </c>
      <c r="E55" s="279">
        <v>1</v>
      </c>
      <c r="F55" s="282" t="s">
        <v>351</v>
      </c>
      <c r="G55" s="280"/>
      <c r="H55" s="280"/>
    </row>
    <row r="56" spans="1:8" x14ac:dyDescent="0.25">
      <c r="B56" s="265"/>
      <c r="C56" s="281"/>
      <c r="D56" s="19"/>
      <c r="E56" s="279"/>
      <c r="F56" s="217"/>
      <c r="G56" s="217">
        <f t="shared" si="5"/>
        <v>0</v>
      </c>
      <c r="H56" s="217">
        <f t="shared" si="6"/>
        <v>0</v>
      </c>
    </row>
    <row r="57" spans="1:8" x14ac:dyDescent="0.25">
      <c r="B57" s="265"/>
      <c r="C57" s="281"/>
      <c r="D57" s="153"/>
      <c r="E57" s="279"/>
      <c r="F57" s="217"/>
      <c r="G57" s="217">
        <f t="shared" si="5"/>
        <v>0</v>
      </c>
      <c r="H57" s="217">
        <f t="shared" si="6"/>
        <v>0</v>
      </c>
    </row>
    <row r="58" spans="1:8" x14ac:dyDescent="0.25">
      <c r="B58" s="265"/>
      <c r="C58" s="281"/>
      <c r="D58" s="153"/>
      <c r="E58" s="279"/>
      <c r="F58" s="217"/>
      <c r="G58" s="217">
        <f t="shared" si="5"/>
        <v>0</v>
      </c>
      <c r="H58" s="217">
        <f t="shared" si="6"/>
        <v>0</v>
      </c>
    </row>
    <row r="59" spans="1:8" x14ac:dyDescent="0.25">
      <c r="A59" s="16" t="s">
        <v>151</v>
      </c>
      <c r="B59" s="265" t="s">
        <v>150</v>
      </c>
      <c r="C59" s="281">
        <v>924</v>
      </c>
      <c r="D59" s="153">
        <v>54238</v>
      </c>
      <c r="E59" s="279">
        <v>1</v>
      </c>
      <c r="F59" s="217">
        <f>D59*E59</f>
        <v>54238</v>
      </c>
      <c r="G59" s="217">
        <f t="shared" si="5"/>
        <v>32748.904399999999</v>
      </c>
      <c r="H59" s="217">
        <f t="shared" si="6"/>
        <v>21489.095600000001</v>
      </c>
    </row>
    <row r="60" spans="1:8" x14ac:dyDescent="0.25">
      <c r="B60" s="265"/>
      <c r="C60" s="281"/>
      <c r="D60" s="153"/>
      <c r="E60" s="279"/>
      <c r="F60" s="217"/>
      <c r="G60" s="217"/>
      <c r="H60" s="217"/>
    </row>
    <row r="61" spans="1:8" x14ac:dyDescent="0.25">
      <c r="B61" s="265"/>
      <c r="C61" s="265"/>
      <c r="D61" s="278"/>
      <c r="F61" s="58"/>
      <c r="G61" s="58"/>
      <c r="H61" s="58"/>
    </row>
    <row r="62" spans="1:8" ht="13.8" thickBot="1" x14ac:dyDescent="0.3">
      <c r="B62" s="265"/>
      <c r="C62" s="265"/>
      <c r="D62" s="283">
        <f>SUM(D11:D59)</f>
        <v>5823590.8200000003</v>
      </c>
      <c r="F62" s="283">
        <f>SUM(F11:F59)</f>
        <v>3130310.0580512919</v>
      </c>
      <c r="G62" s="283">
        <f>SUM(G11:G59)</f>
        <v>1826765.2107513682</v>
      </c>
      <c r="H62" s="283">
        <f>SUM(H11:H59)</f>
        <v>1303544.8472999241</v>
      </c>
    </row>
    <row r="63" spans="1:8" ht="14.4" thickTop="1" thickBot="1" x14ac:dyDescent="0.3">
      <c r="D63" s="153"/>
    </row>
    <row r="64" spans="1:8" x14ac:dyDescent="0.25">
      <c r="B64" s="114"/>
      <c r="C64" s="284"/>
      <c r="D64" s="29"/>
      <c r="E64" s="284"/>
      <c r="F64" s="285" t="s">
        <v>17</v>
      </c>
      <c r="G64" s="285" t="s">
        <v>18</v>
      </c>
      <c r="H64" s="286" t="s">
        <v>40</v>
      </c>
    </row>
    <row r="65" spans="1:8" x14ac:dyDescent="0.25">
      <c r="B65" s="57" t="s">
        <v>72</v>
      </c>
      <c r="C65" s="58"/>
      <c r="D65" s="74">
        <v>924</v>
      </c>
      <c r="E65" s="265">
        <v>1</v>
      </c>
      <c r="F65" s="287">
        <v>0.6038</v>
      </c>
      <c r="G65" s="287">
        <v>0.3962</v>
      </c>
      <c r="H65" s="288">
        <f>SUM(F65:G65)</f>
        <v>1</v>
      </c>
    </row>
    <row r="66" spans="1:8" ht="13.8" thickBot="1" x14ac:dyDescent="0.3">
      <c r="B66" s="109" t="s">
        <v>72</v>
      </c>
      <c r="C66" s="110"/>
      <c r="D66" s="289">
        <v>925</v>
      </c>
      <c r="E66" s="290">
        <v>2</v>
      </c>
      <c r="F66" s="291">
        <v>0.58050000000000002</v>
      </c>
      <c r="G66" s="291">
        <v>0.41949999999999998</v>
      </c>
      <c r="H66" s="292">
        <f>SUM(F66:G66)</f>
        <v>1</v>
      </c>
    </row>
    <row r="67" spans="1:8" x14ac:dyDescent="0.25">
      <c r="D67" s="153"/>
    </row>
    <row r="68" spans="1:8" x14ac:dyDescent="0.25">
      <c r="A68" s="293"/>
      <c r="D68" s="153"/>
    </row>
    <row r="69" spans="1:8" x14ac:dyDescent="0.25">
      <c r="A69" s="293" t="s">
        <v>352</v>
      </c>
      <c r="D69" s="153"/>
    </row>
    <row r="70" spans="1:8" x14ac:dyDescent="0.25">
      <c r="D70" s="153"/>
    </row>
    <row r="71" spans="1:8" x14ac:dyDescent="0.25">
      <c r="D71" s="153"/>
    </row>
    <row r="72" spans="1:8" x14ac:dyDescent="0.25">
      <c r="D72" s="153"/>
    </row>
    <row r="73" spans="1:8" x14ac:dyDescent="0.25">
      <c r="C73" s="153"/>
    </row>
    <row r="74" spans="1:8" x14ac:dyDescent="0.25">
      <c r="C74" s="153"/>
    </row>
    <row r="75" spans="1:8" x14ac:dyDescent="0.25">
      <c r="D75" s="153"/>
    </row>
    <row r="76" spans="1:8" x14ac:dyDescent="0.25">
      <c r="D76" s="153"/>
    </row>
    <row r="77" spans="1:8" x14ac:dyDescent="0.25">
      <c r="D77" s="153"/>
    </row>
    <row r="78" spans="1:8" x14ac:dyDescent="0.25">
      <c r="D78" s="153"/>
    </row>
    <row r="79" spans="1:8" x14ac:dyDescent="0.25">
      <c r="D79" s="153"/>
    </row>
    <row r="80" spans="1:8" x14ac:dyDescent="0.25">
      <c r="D80" s="153"/>
    </row>
    <row r="81" spans="4:4" x14ac:dyDescent="0.25">
      <c r="D81" s="153"/>
    </row>
    <row r="82" spans="4:4" x14ac:dyDescent="0.25">
      <c r="D82" s="153"/>
    </row>
    <row r="83" spans="4:4" x14ac:dyDescent="0.25">
      <c r="D83" s="153"/>
    </row>
    <row r="84" spans="4:4" x14ac:dyDescent="0.25">
      <c r="D84" s="153"/>
    </row>
    <row r="85" spans="4:4" x14ac:dyDescent="0.25">
      <c r="D85" s="153"/>
    </row>
    <row r="86" spans="4:4" x14ac:dyDescent="0.25">
      <c r="D86" s="153"/>
    </row>
  </sheetData>
  <mergeCells count="1">
    <mergeCell ref="E3:F3"/>
  </mergeCells>
  <pageMargins left="0.56999999999999995" right="0.37" top="0.3" bottom="0.39" header="0.17" footer="0.17"/>
  <pageSetup scale="6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45"/>
  <sheetViews>
    <sheetView zoomScale="80" zoomScaleNormal="80" workbookViewId="0">
      <selection sqref="A1:XFD1048576"/>
    </sheetView>
  </sheetViews>
  <sheetFormatPr defaultColWidth="9.109375" defaultRowHeight="14.4" outlineLevelCol="1" x14ac:dyDescent="0.3"/>
  <cols>
    <col min="1" max="1" width="33.109375" style="16" customWidth="1"/>
    <col min="2" max="2" width="34.33203125" style="16" hidden="1" customWidth="1" outlineLevel="1"/>
    <col min="3" max="3" width="14.5546875" style="16" hidden="1" customWidth="1" outlineLevel="1"/>
    <col min="4" max="4" width="12.88671875" style="218" hidden="1" customWidth="1" outlineLevel="1"/>
    <col min="5" max="5" width="9.109375" style="218" hidden="1" customWidth="1" outlineLevel="1"/>
    <col min="6" max="6" width="10.6640625" style="218" hidden="1" customWidth="1" outlineLevel="1"/>
    <col min="7" max="7" width="15.6640625" style="16" hidden="1" customWidth="1" outlineLevel="1"/>
    <col min="8" max="8" width="9.33203125" style="16" hidden="1" customWidth="1" outlineLevel="1"/>
    <col min="9" max="10" width="20.6640625" style="16" hidden="1" customWidth="1" outlineLevel="1"/>
    <col min="11" max="11" width="11.5546875" style="16" hidden="1" customWidth="1" outlineLevel="1"/>
    <col min="12" max="12" width="20.6640625" style="16" hidden="1" customWidth="1" outlineLevel="1"/>
    <col min="13" max="13" width="23.5546875" style="16" bestFit="1" customWidth="1" collapsed="1"/>
    <col min="14" max="14" width="11.5546875" style="16" customWidth="1"/>
    <col min="15" max="15" width="18.109375" style="219" customWidth="1"/>
    <col min="16" max="16" width="22.5546875" style="219" bestFit="1" customWidth="1"/>
    <col min="17" max="17" width="20.109375" style="16" customWidth="1"/>
    <col min="18" max="18" width="2.109375" style="16" customWidth="1"/>
    <col min="19" max="19" width="20.6640625" style="16" bestFit="1" customWidth="1"/>
    <col min="20" max="20" width="16.88671875" style="7" bestFit="1" customWidth="1"/>
    <col min="21" max="21" width="13.109375" style="7" bestFit="1" customWidth="1"/>
    <col min="22" max="16384" width="9.109375" style="16"/>
  </cols>
  <sheetData>
    <row r="3" spans="1:20" ht="26.4" x14ac:dyDescent="0.25">
      <c r="A3" s="220" t="s">
        <v>217</v>
      </c>
      <c r="B3" s="221" t="s">
        <v>218</v>
      </c>
      <c r="C3" s="222" t="s">
        <v>219</v>
      </c>
      <c r="D3" s="223" t="s">
        <v>220</v>
      </c>
      <c r="E3" s="223" t="s">
        <v>221</v>
      </c>
      <c r="F3" s="223" t="s">
        <v>222</v>
      </c>
      <c r="G3" s="223" t="s">
        <v>223</v>
      </c>
      <c r="H3" s="223" t="s">
        <v>224</v>
      </c>
      <c r="I3" s="220" t="s">
        <v>225</v>
      </c>
      <c r="J3" s="224" t="s">
        <v>226</v>
      </c>
      <c r="K3" s="224" t="s">
        <v>227</v>
      </c>
      <c r="L3" s="220" t="s">
        <v>228</v>
      </c>
      <c r="M3" s="220" t="s">
        <v>229</v>
      </c>
      <c r="N3" s="224" t="s">
        <v>333</v>
      </c>
      <c r="O3" s="220" t="s">
        <v>334</v>
      </c>
      <c r="P3" s="220" t="s">
        <v>335</v>
      </c>
      <c r="Q3" s="224" t="s">
        <v>230</v>
      </c>
    </row>
    <row r="4" spans="1:20" ht="13.2" x14ac:dyDescent="0.25">
      <c r="A4" s="225" t="s">
        <v>231</v>
      </c>
      <c r="B4" s="225"/>
      <c r="C4" s="225"/>
      <c r="D4" s="226">
        <v>16896380</v>
      </c>
      <c r="E4" s="227">
        <v>6.2300000000000001E-2</v>
      </c>
      <c r="F4" s="226">
        <v>10526.444739999999</v>
      </c>
      <c r="G4" s="228">
        <v>17578994</v>
      </c>
      <c r="H4" s="229">
        <v>5.4138699999999998E-2</v>
      </c>
      <c r="I4" s="230">
        <v>17547899</v>
      </c>
      <c r="J4" s="230">
        <v>9500.2043959130006</v>
      </c>
      <c r="K4" s="231">
        <v>2.5000000000000001E-2</v>
      </c>
      <c r="L4" s="230">
        <v>33586180</v>
      </c>
      <c r="M4" s="230">
        <v>8396.5450000000001</v>
      </c>
      <c r="N4" s="231">
        <v>2.5000000000000001E-2</v>
      </c>
      <c r="O4" s="232">
        <v>0</v>
      </c>
      <c r="P4" s="232">
        <v>0</v>
      </c>
      <c r="Q4" s="208" t="s">
        <v>31</v>
      </c>
    </row>
    <row r="5" spans="1:20" ht="13.2" x14ac:dyDescent="0.25">
      <c r="A5" s="225" t="s">
        <v>232</v>
      </c>
      <c r="B5" s="225"/>
      <c r="C5" s="225"/>
      <c r="D5" s="226">
        <v>38346246</v>
      </c>
      <c r="E5" s="227">
        <v>6.2300000000000001E-2</v>
      </c>
      <c r="F5" s="226">
        <v>23889.711258000003</v>
      </c>
      <c r="G5" s="228">
        <v>39895435</v>
      </c>
      <c r="H5" s="229">
        <v>5.4138699999999998E-2</v>
      </c>
      <c r="I5" s="230">
        <v>39840094</v>
      </c>
      <c r="J5" s="230">
        <v>21568</v>
      </c>
      <c r="K5" s="231">
        <v>3.2000000000000001E-2</v>
      </c>
      <c r="L5" s="230">
        <v>61222064</v>
      </c>
      <c r="M5" s="230">
        <v>19591.06048</v>
      </c>
      <c r="N5" s="231">
        <v>0.04</v>
      </c>
      <c r="O5" s="232">
        <v>70563500</v>
      </c>
      <c r="P5" s="232">
        <v>28225.4</v>
      </c>
      <c r="Q5" s="208" t="s">
        <v>31</v>
      </c>
    </row>
    <row r="6" spans="1:20" ht="13.2" x14ac:dyDescent="0.25">
      <c r="A6" s="225" t="s">
        <v>233</v>
      </c>
      <c r="B6" s="233" t="s">
        <v>55</v>
      </c>
      <c r="C6" s="233"/>
      <c r="D6" s="234" t="s">
        <v>234</v>
      </c>
      <c r="E6" s="234"/>
      <c r="F6" s="234"/>
      <c r="G6" s="235"/>
      <c r="H6" s="208">
        <v>5.4100000000000002E-2</v>
      </c>
      <c r="I6" s="230">
        <v>28440166</v>
      </c>
      <c r="J6" s="230">
        <v>15386.129806000001</v>
      </c>
      <c r="K6" s="231">
        <v>0.02</v>
      </c>
      <c r="L6" s="230">
        <v>5728350</v>
      </c>
      <c r="M6" s="230">
        <v>1145.67</v>
      </c>
      <c r="N6" s="231">
        <v>2.4E-2</v>
      </c>
      <c r="O6" s="232">
        <v>5842344.165</v>
      </c>
      <c r="P6" s="232">
        <v>1402.1625996</v>
      </c>
      <c r="Q6" s="208" t="s">
        <v>31</v>
      </c>
    </row>
    <row r="7" spans="1:20" ht="13.2" x14ac:dyDescent="0.25">
      <c r="A7" s="225" t="s">
        <v>235</v>
      </c>
      <c r="B7" s="208"/>
      <c r="C7" s="208"/>
      <c r="D7" s="236"/>
      <c r="E7" s="236"/>
      <c r="F7" s="236"/>
      <c r="G7" s="228"/>
      <c r="H7" s="208">
        <v>5.4100000000000002E-2</v>
      </c>
      <c r="I7" s="230">
        <v>352991041</v>
      </c>
      <c r="J7" s="230">
        <v>190968.15318100003</v>
      </c>
      <c r="K7" s="231">
        <v>3.7999999999999999E-2</v>
      </c>
      <c r="L7" s="230">
        <v>346152257</v>
      </c>
      <c r="M7" s="230">
        <v>131537.85765999998</v>
      </c>
      <c r="N7" s="231">
        <v>4.3999999999999997E-2</v>
      </c>
      <c r="O7" s="232">
        <v>346851179</v>
      </c>
      <c r="P7" s="232">
        <v>152614.51875999998</v>
      </c>
      <c r="Q7" s="208" t="s">
        <v>31</v>
      </c>
    </row>
    <row r="8" spans="1:20" ht="13.2" x14ac:dyDescent="0.25">
      <c r="A8" s="225" t="s">
        <v>233</v>
      </c>
      <c r="B8" s="233"/>
      <c r="C8" s="233"/>
      <c r="D8" s="234"/>
      <c r="E8" s="234"/>
      <c r="F8" s="234"/>
      <c r="G8" s="235"/>
      <c r="H8" s="208"/>
      <c r="I8" s="230"/>
      <c r="J8" s="230"/>
      <c r="K8" s="231">
        <v>0.02</v>
      </c>
      <c r="L8" s="230">
        <v>12771490</v>
      </c>
      <c r="M8" s="230">
        <v>2554.2980000000002</v>
      </c>
      <c r="N8" s="231">
        <v>2.2800000000000001E-2</v>
      </c>
      <c r="O8" s="232">
        <v>12989280.3959</v>
      </c>
      <c r="P8" s="232">
        <v>2961.5559302652</v>
      </c>
      <c r="Q8" s="208" t="s">
        <v>17</v>
      </c>
    </row>
    <row r="9" spans="1:20" ht="13.2" x14ac:dyDescent="0.25">
      <c r="A9" s="225" t="s">
        <v>236</v>
      </c>
      <c r="B9" s="225" t="s">
        <v>237</v>
      </c>
      <c r="C9" s="225" t="s">
        <v>236</v>
      </c>
      <c r="D9" s="226">
        <v>4357000</v>
      </c>
      <c r="E9" s="227">
        <v>3.7647966966237553E-2</v>
      </c>
      <c r="F9" s="226">
        <v>1640.3219207189702</v>
      </c>
      <c r="G9" s="228">
        <v>4511000</v>
      </c>
      <c r="H9" s="229">
        <v>3.2716083293660436E-2</v>
      </c>
      <c r="I9" s="230">
        <v>4532880</v>
      </c>
      <c r="J9" s="230">
        <v>1482.9807964016754</v>
      </c>
      <c r="K9" s="231">
        <v>4.2000000000000003E-2</v>
      </c>
      <c r="L9" s="230">
        <v>4608621</v>
      </c>
      <c r="M9" s="230">
        <v>1935.6208200000003</v>
      </c>
      <c r="N9" s="231">
        <v>4.7E-2</v>
      </c>
      <c r="O9" s="232">
        <v>4711657</v>
      </c>
      <c r="P9" s="232">
        <v>2214.4787899999997</v>
      </c>
      <c r="Q9" s="208" t="s">
        <v>17</v>
      </c>
    </row>
    <row r="10" spans="1:20" x14ac:dyDescent="0.25">
      <c r="A10" s="225" t="s">
        <v>238</v>
      </c>
      <c r="B10" s="225" t="s">
        <v>239</v>
      </c>
      <c r="C10" s="225" t="s">
        <v>240</v>
      </c>
      <c r="D10" s="226">
        <v>450614000</v>
      </c>
      <c r="E10" s="227">
        <v>2.1879962319304471E-2</v>
      </c>
      <c r="F10" s="226">
        <v>98594.17340551065</v>
      </c>
      <c r="G10" s="237">
        <v>669295000</v>
      </c>
      <c r="H10" s="229">
        <v>3.1399999999999997E-2</v>
      </c>
      <c r="I10" s="230">
        <v>669505759</v>
      </c>
      <c r="J10" s="230">
        <v>210224.80832599997</v>
      </c>
      <c r="K10" s="231">
        <v>3.2000000000000001E-2</v>
      </c>
      <c r="L10" s="230">
        <v>664440690</v>
      </c>
      <c r="M10" s="230">
        <v>212621.02080000003</v>
      </c>
      <c r="N10" s="231">
        <v>4.0500000000000001E-2</v>
      </c>
      <c r="O10" s="232">
        <v>664440690.46193111</v>
      </c>
      <c r="P10" s="232">
        <v>269098.47963708208</v>
      </c>
      <c r="Q10" s="208" t="s">
        <v>17</v>
      </c>
      <c r="R10" s="58"/>
      <c r="S10" s="238"/>
      <c r="T10" s="239"/>
    </row>
    <row r="11" spans="1:20" x14ac:dyDescent="0.25">
      <c r="A11" s="225" t="s">
        <v>241</v>
      </c>
      <c r="B11" s="225" t="s">
        <v>242</v>
      </c>
      <c r="C11" s="225" t="s">
        <v>240</v>
      </c>
      <c r="D11" s="226">
        <v>346194000</v>
      </c>
      <c r="E11" s="227">
        <v>3.6080283509341997E-2</v>
      </c>
      <c r="F11" s="226">
        <v>124907.77669233143</v>
      </c>
      <c r="G11" s="228">
        <v>383006000</v>
      </c>
      <c r="H11" s="229">
        <v>4.1000000000000002E-2</v>
      </c>
      <c r="I11" s="230">
        <v>383006000</v>
      </c>
      <c r="J11" s="230">
        <v>157032.46</v>
      </c>
      <c r="K11" s="231">
        <v>3.2000000000000001E-2</v>
      </c>
      <c r="L11" s="230">
        <v>407900310</v>
      </c>
      <c r="M11" s="230">
        <v>130528.0992</v>
      </c>
      <c r="N11" s="231">
        <v>4.0500000000000001E-2</v>
      </c>
      <c r="O11" s="232">
        <v>407900310.4721511</v>
      </c>
      <c r="P11" s="232">
        <v>165199.62574122119</v>
      </c>
      <c r="Q11" s="208" t="s">
        <v>17</v>
      </c>
      <c r="R11" s="58"/>
      <c r="S11" s="238"/>
      <c r="T11" s="239"/>
    </row>
    <row r="12" spans="1:20" x14ac:dyDescent="0.25">
      <c r="A12" s="225" t="s">
        <v>243</v>
      </c>
      <c r="B12" s="225" t="s">
        <v>244</v>
      </c>
      <c r="C12" s="225" t="s">
        <v>245</v>
      </c>
      <c r="D12" s="226">
        <v>256871236</v>
      </c>
      <c r="E12" s="227">
        <v>9.4053860630722269E-2</v>
      </c>
      <c r="F12" s="226">
        <v>241597.31430785367</v>
      </c>
      <c r="G12" s="228">
        <v>267151000</v>
      </c>
      <c r="H12" s="229">
        <v>8.1732804888097657E-2</v>
      </c>
      <c r="I12" s="230">
        <v>263682120</v>
      </c>
      <c r="J12" s="230">
        <v>215514.79266439952</v>
      </c>
      <c r="K12" s="231">
        <v>7.0000000000000007E-2</v>
      </c>
      <c r="L12" s="230">
        <v>283592113</v>
      </c>
      <c r="M12" s="230">
        <v>198514.4791</v>
      </c>
      <c r="N12" s="231">
        <v>7.9500000000000001E-2</v>
      </c>
      <c r="O12" s="232">
        <v>283592113</v>
      </c>
      <c r="P12" s="232">
        <v>225455.72983500001</v>
      </c>
      <c r="Q12" s="208" t="s">
        <v>17</v>
      </c>
      <c r="R12" s="58"/>
      <c r="S12" s="238"/>
      <c r="T12" s="239"/>
    </row>
    <row r="13" spans="1:20" x14ac:dyDescent="0.25">
      <c r="A13" s="225" t="s">
        <v>246</v>
      </c>
      <c r="B13" s="225" t="s">
        <v>247</v>
      </c>
      <c r="C13" s="225" t="s">
        <v>248</v>
      </c>
      <c r="D13" s="226">
        <v>289667000</v>
      </c>
      <c r="E13" s="227">
        <v>8.8668649363099969E-2</v>
      </c>
      <c r="F13" s="226">
        <v>256843.81655061079</v>
      </c>
      <c r="G13" s="228">
        <v>298542000</v>
      </c>
      <c r="H13" s="229">
        <v>7.7053056296533876E-2</v>
      </c>
      <c r="I13" s="230">
        <v>239423441</v>
      </c>
      <c r="J13" s="230">
        <v>184483.07878082857</v>
      </c>
      <c r="K13" s="231">
        <v>5.5E-2</v>
      </c>
      <c r="L13" s="230">
        <v>268085273</v>
      </c>
      <c r="M13" s="230">
        <v>147446.90015</v>
      </c>
      <c r="N13" s="231">
        <v>6.5000000000000002E-2</v>
      </c>
      <c r="O13" s="232">
        <v>257878497.24955955</v>
      </c>
      <c r="P13" s="232">
        <v>167621.02321221371</v>
      </c>
      <c r="Q13" s="208" t="s">
        <v>17</v>
      </c>
      <c r="R13" s="58"/>
      <c r="S13" s="238"/>
      <c r="T13" s="239"/>
    </row>
    <row r="14" spans="1:20" x14ac:dyDescent="0.25">
      <c r="A14" s="225" t="s">
        <v>249</v>
      </c>
      <c r="B14" s="225" t="s">
        <v>250</v>
      </c>
      <c r="C14" s="225" t="s">
        <v>251</v>
      </c>
      <c r="D14" s="226">
        <v>662297000</v>
      </c>
      <c r="E14" s="227">
        <v>3.7120215224820029E-2</v>
      </c>
      <c r="F14" s="226">
        <v>245846.07182752629</v>
      </c>
      <c r="G14" s="237">
        <v>682901000</v>
      </c>
      <c r="H14" s="229">
        <v>3.2257467030368601E-2</v>
      </c>
      <c r="I14" s="230">
        <v>424436105</v>
      </c>
      <c r="J14" s="230">
        <v>136912.33663535566</v>
      </c>
      <c r="K14" s="231">
        <v>0.03</v>
      </c>
      <c r="L14" s="230">
        <v>466144260</v>
      </c>
      <c r="M14" s="230">
        <v>139843.27799999999</v>
      </c>
      <c r="N14" s="231">
        <v>4.4999999999999998E-2</v>
      </c>
      <c r="O14" s="232">
        <v>449270652.83476865</v>
      </c>
      <c r="P14" s="232">
        <v>202171.7937756459</v>
      </c>
      <c r="Q14" s="208" t="s">
        <v>17</v>
      </c>
      <c r="R14" s="58"/>
      <c r="S14" s="238"/>
      <c r="T14" s="239"/>
    </row>
    <row r="15" spans="1:20" x14ac:dyDescent="0.25">
      <c r="A15" s="225" t="s">
        <v>252</v>
      </c>
      <c r="B15" s="225"/>
      <c r="C15" s="225"/>
      <c r="D15" s="226">
        <v>629831000</v>
      </c>
      <c r="E15" s="227">
        <v>3.9554579999999999E-2</v>
      </c>
      <c r="F15" s="226">
        <v>249127.00675979999</v>
      </c>
      <c r="G15" s="237">
        <v>648907000</v>
      </c>
      <c r="H15" s="229">
        <v>3.4372930019999998E-2</v>
      </c>
      <c r="I15" s="230">
        <v>593714663</v>
      </c>
      <c r="J15" s="230">
        <v>204077.12563146881</v>
      </c>
      <c r="K15" s="231">
        <v>0.03</v>
      </c>
      <c r="L15" s="230">
        <v>618703734</v>
      </c>
      <c r="M15" s="230">
        <v>185611.1202</v>
      </c>
      <c r="N15" s="231">
        <v>4.4999999999999998E-2</v>
      </c>
      <c r="O15" s="232">
        <v>580930468.89799452</v>
      </c>
      <c r="P15" s="232">
        <v>261418.71100409754</v>
      </c>
      <c r="Q15" s="208" t="s">
        <v>17</v>
      </c>
      <c r="R15" s="58"/>
      <c r="S15" s="238"/>
      <c r="T15" s="239"/>
    </row>
    <row r="16" spans="1:20" x14ac:dyDescent="0.25">
      <c r="A16" s="225" t="s">
        <v>253</v>
      </c>
      <c r="B16" s="225"/>
      <c r="C16" s="225"/>
      <c r="D16" s="226"/>
      <c r="E16" s="227"/>
      <c r="F16" s="226"/>
      <c r="G16" s="237"/>
      <c r="H16" s="229"/>
      <c r="I16" s="230"/>
      <c r="J16" s="230"/>
      <c r="K16" s="231">
        <v>2.6499999999999999E-2</v>
      </c>
      <c r="L16" s="230">
        <v>14448105</v>
      </c>
      <c r="M16" s="230">
        <v>3828.7478249999999</v>
      </c>
      <c r="N16" s="231">
        <v>2.6499999999999999E-2</v>
      </c>
      <c r="O16" s="232">
        <v>14735622.390775867</v>
      </c>
      <c r="P16" s="232">
        <v>3904.9399335556045</v>
      </c>
      <c r="Q16" s="208" t="s">
        <v>17</v>
      </c>
      <c r="R16" s="58"/>
      <c r="S16" s="238"/>
      <c r="T16" s="239"/>
    </row>
    <row r="17" spans="1:20" x14ac:dyDescent="0.25">
      <c r="A17" s="225" t="s">
        <v>254</v>
      </c>
      <c r="B17" s="208"/>
      <c r="C17" s="208"/>
      <c r="D17" s="240" t="s">
        <v>255</v>
      </c>
      <c r="E17" s="236"/>
      <c r="F17" s="236"/>
      <c r="G17" s="228"/>
      <c r="H17" s="208">
        <v>5.4100000000000002E-2</v>
      </c>
      <c r="I17" s="230">
        <v>1803420927</v>
      </c>
      <c r="J17" s="230">
        <v>975650.72150700004</v>
      </c>
      <c r="K17" s="231">
        <v>3.7999999999999999E-2</v>
      </c>
      <c r="L17" s="230">
        <v>1594848550</v>
      </c>
      <c r="M17" s="230">
        <v>606042.44900000002</v>
      </c>
      <c r="N17" s="231">
        <v>4.1500000000000002E-2</v>
      </c>
      <c r="O17" s="232">
        <v>1752023566.4591076</v>
      </c>
      <c r="P17" s="232">
        <v>727089.78008052974</v>
      </c>
      <c r="Q17" s="208" t="s">
        <v>17</v>
      </c>
      <c r="R17" s="58"/>
      <c r="S17" s="238"/>
      <c r="T17" s="239"/>
    </row>
    <row r="18" spans="1:20" x14ac:dyDescent="0.25">
      <c r="A18" s="225" t="s">
        <v>256</v>
      </c>
      <c r="B18" s="208"/>
      <c r="C18" s="208"/>
      <c r="D18" s="234"/>
      <c r="E18" s="234"/>
      <c r="F18" s="234"/>
      <c r="G18" s="208"/>
      <c r="H18" s="208">
        <v>5.4100000000000002E-2</v>
      </c>
      <c r="I18" s="230">
        <v>203862890</v>
      </c>
      <c r="J18" s="230">
        <v>110289.82349000001</v>
      </c>
      <c r="K18" s="231">
        <v>3.7999999999999999E-2</v>
      </c>
      <c r="L18" s="230">
        <v>229787312</v>
      </c>
      <c r="M18" s="230">
        <v>87319.17856</v>
      </c>
      <c r="N18" s="231">
        <v>0.04</v>
      </c>
      <c r="O18" s="232">
        <v>234307800.5363043</v>
      </c>
      <c r="P18" s="232">
        <v>93723.12021452171</v>
      </c>
      <c r="Q18" s="208" t="s">
        <v>17</v>
      </c>
      <c r="R18" s="58"/>
      <c r="S18" s="241"/>
      <c r="T18" s="242"/>
    </row>
    <row r="19" spans="1:20" x14ac:dyDescent="0.25">
      <c r="A19" s="225" t="s">
        <v>257</v>
      </c>
      <c r="B19" s="225" t="s">
        <v>258</v>
      </c>
      <c r="C19" s="225" t="s">
        <v>259</v>
      </c>
      <c r="D19" s="226">
        <v>400929000</v>
      </c>
      <c r="E19" s="227">
        <v>3.7303023037373935E-2</v>
      </c>
      <c r="F19" s="226">
        <v>149558.63723351294</v>
      </c>
      <c r="G19" s="237">
        <v>273220000</v>
      </c>
      <c r="H19" s="229">
        <v>3.2416327019477949E-2</v>
      </c>
      <c r="I19" s="230">
        <v>296675338</v>
      </c>
      <c r="J19" s="230">
        <v>96171.247752221519</v>
      </c>
      <c r="K19" s="231">
        <v>3.5000000000000003E-2</v>
      </c>
      <c r="L19" s="230">
        <v>292134834</v>
      </c>
      <c r="M19" s="230">
        <v>102247.19190000002</v>
      </c>
      <c r="N19" s="231">
        <v>0.04</v>
      </c>
      <c r="O19" s="232">
        <v>297960271.33431059</v>
      </c>
      <c r="P19" s="232">
        <v>119184.10853372423</v>
      </c>
      <c r="Q19" s="208" t="s">
        <v>17</v>
      </c>
      <c r="R19" s="58"/>
      <c r="S19" s="238"/>
      <c r="T19" s="239"/>
    </row>
    <row r="20" spans="1:20" x14ac:dyDescent="0.25">
      <c r="A20" s="225" t="s">
        <v>260</v>
      </c>
      <c r="B20" s="225" t="s">
        <v>261</v>
      </c>
      <c r="C20" s="225" t="s">
        <v>262</v>
      </c>
      <c r="D20" s="226">
        <v>136672000</v>
      </c>
      <c r="E20" s="227">
        <v>3.6511991174806128E-2</v>
      </c>
      <c r="F20" s="226">
        <v>49901.668578431032</v>
      </c>
      <c r="G20" s="237">
        <v>142194000</v>
      </c>
      <c r="H20" s="229">
        <v>3.1728920330906525E-2</v>
      </c>
      <c r="I20" s="230">
        <v>141985390</v>
      </c>
      <c r="J20" s="230">
        <v>45050.431274626913</v>
      </c>
      <c r="K20" s="231">
        <v>4.5499999999999999E-2</v>
      </c>
      <c r="L20" s="230">
        <v>148579486</v>
      </c>
      <c r="M20" s="230">
        <v>67603.666129999998</v>
      </c>
      <c r="N20" s="231">
        <v>5.0999999999999997E-2</v>
      </c>
      <c r="O20" s="232">
        <v>149055395</v>
      </c>
      <c r="P20" s="232">
        <v>76018.251449999996</v>
      </c>
      <c r="Q20" s="208" t="s">
        <v>17</v>
      </c>
      <c r="R20" s="58"/>
      <c r="S20" s="243"/>
      <c r="T20" s="244"/>
    </row>
    <row r="21" spans="1:20" ht="13.2" x14ac:dyDescent="0.25">
      <c r="A21" s="225" t="s">
        <v>263</v>
      </c>
      <c r="B21" s="225"/>
      <c r="C21" s="225" t="s">
        <v>262</v>
      </c>
      <c r="D21" s="226"/>
      <c r="E21" s="227"/>
      <c r="F21" s="226"/>
      <c r="G21" s="237">
        <v>2390000</v>
      </c>
      <c r="H21" s="229">
        <v>1.9E-2</v>
      </c>
      <c r="I21" s="230">
        <v>2389860</v>
      </c>
      <c r="J21" s="230">
        <v>454</v>
      </c>
      <c r="K21" s="231">
        <v>1.9E-2</v>
      </c>
      <c r="L21" s="230">
        <v>2389860</v>
      </c>
      <c r="M21" s="230">
        <v>454.07339999999999</v>
      </c>
      <c r="N21" s="231">
        <v>2.01E-2</v>
      </c>
      <c r="O21" s="232">
        <v>2437418</v>
      </c>
      <c r="P21" s="232">
        <v>489.92101799999995</v>
      </c>
      <c r="Q21" s="208" t="s">
        <v>264</v>
      </c>
      <c r="R21" s="58"/>
      <c r="S21" s="58"/>
      <c r="T21" s="10"/>
    </row>
    <row r="22" spans="1:20" ht="13.2" x14ac:dyDescent="0.25">
      <c r="A22" s="225" t="s">
        <v>265</v>
      </c>
      <c r="B22" s="225" t="s">
        <v>266</v>
      </c>
      <c r="C22" s="225" t="s">
        <v>267</v>
      </c>
      <c r="D22" s="226">
        <v>368012000</v>
      </c>
      <c r="E22" s="227">
        <v>4.1391606233694589E-2</v>
      </c>
      <c r="F22" s="226">
        <v>152326.07793274414</v>
      </c>
      <c r="G22" s="237">
        <v>382879000</v>
      </c>
      <c r="H22" s="229">
        <v>3.5969305817080598E-2</v>
      </c>
      <c r="I22" s="230">
        <v>217968722</v>
      </c>
      <c r="J22" s="230">
        <v>78401.836201762242</v>
      </c>
      <c r="K22" s="231">
        <v>0.04</v>
      </c>
      <c r="L22" s="230">
        <v>220873522</v>
      </c>
      <c r="M22" s="230">
        <v>88349.408800000005</v>
      </c>
      <c r="N22" s="231">
        <v>4.5999999999999999E-2</v>
      </c>
      <c r="O22" s="232">
        <v>225357630.36000001</v>
      </c>
      <c r="P22" s="232">
        <v>103664.50996559999</v>
      </c>
      <c r="Q22" s="208" t="s">
        <v>17</v>
      </c>
      <c r="R22" s="58"/>
      <c r="S22" s="58"/>
      <c r="T22" s="10"/>
    </row>
    <row r="23" spans="1:20" ht="13.2" x14ac:dyDescent="0.25">
      <c r="A23" s="225" t="s">
        <v>268</v>
      </c>
      <c r="B23" s="225" t="s">
        <v>269</v>
      </c>
      <c r="C23" s="225" t="s">
        <v>270</v>
      </c>
      <c r="D23" s="226">
        <v>106878000</v>
      </c>
      <c r="E23" s="227">
        <v>9.688394257838108E-2</v>
      </c>
      <c r="F23" s="226">
        <v>103547.62014892213</v>
      </c>
      <c r="G23" s="237">
        <v>110134000</v>
      </c>
      <c r="H23" s="229">
        <v>8.4192146100613152E-2</v>
      </c>
      <c r="I23" s="230">
        <v>112164829</v>
      </c>
      <c r="J23" s="230">
        <v>94433.976705182897</v>
      </c>
      <c r="K23" s="231">
        <v>6.5000000000000002E-2</v>
      </c>
      <c r="L23" s="230">
        <v>120435661</v>
      </c>
      <c r="M23" s="230">
        <v>78283.179650000005</v>
      </c>
      <c r="N23" s="231">
        <v>6.8000000000000005E-2</v>
      </c>
      <c r="O23" s="232">
        <v>122791918.7581</v>
      </c>
      <c r="P23" s="232">
        <v>83498.504755508009</v>
      </c>
      <c r="Q23" s="208" t="s">
        <v>17</v>
      </c>
      <c r="R23" s="58"/>
      <c r="S23" s="58"/>
      <c r="T23" s="10"/>
    </row>
    <row r="24" spans="1:20" ht="13.2" x14ac:dyDescent="0.25">
      <c r="A24" s="225" t="s">
        <v>271</v>
      </c>
      <c r="B24" s="225" t="s">
        <v>272</v>
      </c>
      <c r="C24" s="225" t="s">
        <v>273</v>
      </c>
      <c r="D24" s="226">
        <v>107570000</v>
      </c>
      <c r="E24" s="227">
        <v>4.8511100976614992E-2</v>
      </c>
      <c r="F24" s="226">
        <v>52183.391320544746</v>
      </c>
      <c r="G24" s="228">
        <v>110841000</v>
      </c>
      <c r="H24" s="229">
        <v>4.215614674867843E-2</v>
      </c>
      <c r="I24" s="230">
        <v>113825154</v>
      </c>
      <c r="J24" s="230">
        <v>47984.298957149222</v>
      </c>
      <c r="K24" s="231">
        <v>4.5499999999999999E-2</v>
      </c>
      <c r="L24" s="230">
        <v>130964962</v>
      </c>
      <c r="M24" s="230">
        <v>59589.057709999994</v>
      </c>
      <c r="N24" s="231">
        <v>4.9000000000000002E-2</v>
      </c>
      <c r="O24" s="232">
        <v>133578827.66960703</v>
      </c>
      <c r="P24" s="232">
        <v>65453.625558107451</v>
      </c>
      <c r="Q24" s="208" t="s">
        <v>17</v>
      </c>
      <c r="R24" s="58"/>
      <c r="S24" s="58"/>
      <c r="T24" s="10"/>
    </row>
    <row r="25" spans="1:20" ht="13.2" x14ac:dyDescent="0.25">
      <c r="A25" s="225" t="s">
        <v>274</v>
      </c>
      <c r="B25" s="225" t="s">
        <v>275</v>
      </c>
      <c r="C25" s="225" t="s">
        <v>276</v>
      </c>
      <c r="D25" s="226">
        <v>273070000</v>
      </c>
      <c r="E25" s="227">
        <v>9.7008130971476383E-2</v>
      </c>
      <c r="F25" s="226">
        <v>264900.10324381053</v>
      </c>
      <c r="G25" s="228">
        <v>281336000</v>
      </c>
      <c r="H25" s="229">
        <v>8.4300065814212982E-2</v>
      </c>
      <c r="I25" s="230">
        <v>236740487</v>
      </c>
      <c r="J25" s="230">
        <v>199572.16</v>
      </c>
      <c r="K25" s="231">
        <v>7.4999999999999997E-2</v>
      </c>
      <c r="L25" s="230">
        <v>228203028</v>
      </c>
      <c r="M25" s="230">
        <v>171152.27099999998</v>
      </c>
      <c r="N25" s="231">
        <v>7.8E-2</v>
      </c>
      <c r="O25" s="232">
        <v>232867239.15120003</v>
      </c>
      <c r="P25" s="232">
        <v>181636.44653793602</v>
      </c>
      <c r="Q25" s="208" t="s">
        <v>17</v>
      </c>
      <c r="S25" s="7"/>
    </row>
    <row r="26" spans="1:20" ht="13.2" x14ac:dyDescent="0.25">
      <c r="A26" s="225" t="s">
        <v>277</v>
      </c>
      <c r="B26" s="225" t="s">
        <v>278</v>
      </c>
      <c r="C26" s="225" t="s">
        <v>279</v>
      </c>
      <c r="D26" s="226">
        <v>181431000</v>
      </c>
      <c r="E26" s="227">
        <v>2.7222016264915234E-2</v>
      </c>
      <c r="F26" s="226">
        <v>49389.176329598355</v>
      </c>
      <c r="G26" s="237">
        <v>185060000</v>
      </c>
      <c r="H26" s="229">
        <v>4.2200000000000001E-2</v>
      </c>
      <c r="I26" s="230">
        <v>187771156</v>
      </c>
      <c r="J26" s="230">
        <v>79239.427832000001</v>
      </c>
      <c r="K26" s="231">
        <v>0.04</v>
      </c>
      <c r="L26" s="230">
        <v>200111948</v>
      </c>
      <c r="M26" s="230">
        <v>80044.779200000004</v>
      </c>
      <c r="N26" s="231">
        <v>4.7100000000000003E-2</v>
      </c>
      <c r="O26" s="232">
        <v>204118201.77601603</v>
      </c>
      <c r="P26" s="232">
        <v>96139.673036503547</v>
      </c>
      <c r="Q26" s="208" t="s">
        <v>17</v>
      </c>
    </row>
    <row r="27" spans="1:20" ht="13.2" x14ac:dyDescent="0.25">
      <c r="A27" s="225" t="s">
        <v>280</v>
      </c>
      <c r="B27" s="225"/>
      <c r="C27" s="225" t="s">
        <v>281</v>
      </c>
      <c r="D27" s="226">
        <v>226443000</v>
      </c>
      <c r="E27" s="227">
        <v>6.6316799999999995E-2</v>
      </c>
      <c r="F27" s="226">
        <v>150169.75142399999</v>
      </c>
      <c r="G27" s="237">
        <v>235591000</v>
      </c>
      <c r="H27" s="229">
        <v>5.7629299199999998E-2</v>
      </c>
      <c r="I27" s="230">
        <v>238400727</v>
      </c>
      <c r="J27" s="230">
        <v>137388.66825780517</v>
      </c>
      <c r="K27" s="231">
        <v>4.9000000000000002E-2</v>
      </c>
      <c r="L27" s="230">
        <v>244559955</v>
      </c>
      <c r="M27" s="230">
        <v>119834.37794999999</v>
      </c>
      <c r="N27" s="231">
        <v>5.3999999999999999E-2</v>
      </c>
      <c r="O27" s="232">
        <v>249542583.02020001</v>
      </c>
      <c r="P27" s="232">
        <v>134752.99483090802</v>
      </c>
      <c r="Q27" s="208" t="s">
        <v>17</v>
      </c>
    </row>
    <row r="28" spans="1:20" ht="13.2" x14ac:dyDescent="0.25">
      <c r="A28" s="225" t="s">
        <v>282</v>
      </c>
      <c r="B28" s="208"/>
      <c r="C28" s="208"/>
      <c r="D28" s="234"/>
      <c r="E28" s="234"/>
      <c r="F28" s="234"/>
      <c r="G28" s="208"/>
      <c r="H28" s="208">
        <v>5.4100000000000002E-2</v>
      </c>
      <c r="I28" s="230">
        <v>18258844</v>
      </c>
      <c r="J28" s="230">
        <v>9878.0346040000004</v>
      </c>
      <c r="K28" s="231">
        <v>5.1999999999999998E-2</v>
      </c>
      <c r="L28" s="230">
        <v>18532598</v>
      </c>
      <c r="M28" s="230">
        <v>9636.9509599999983</v>
      </c>
      <c r="N28" s="231">
        <v>6.0499999999999998E-2</v>
      </c>
      <c r="O28" s="232">
        <v>18901396.510957476</v>
      </c>
      <c r="P28" s="232">
        <v>11435.344889129272</v>
      </c>
      <c r="Q28" s="208" t="s">
        <v>18</v>
      </c>
    </row>
    <row r="29" spans="1:20" ht="13.2" x14ac:dyDescent="0.25">
      <c r="A29" s="225" t="s">
        <v>283</v>
      </c>
      <c r="B29" s="208"/>
      <c r="C29" s="208"/>
      <c r="D29" s="234"/>
      <c r="E29" s="234"/>
      <c r="F29" s="234"/>
      <c r="G29" s="208"/>
      <c r="H29" s="208">
        <v>5.4100000000000002E-2</v>
      </c>
      <c r="I29" s="230">
        <v>27325866</v>
      </c>
      <c r="J29" s="230">
        <v>14783.293506</v>
      </c>
      <c r="K29" s="231">
        <v>4.5499999999999999E-2</v>
      </c>
      <c r="L29" s="230">
        <v>27355073</v>
      </c>
      <c r="M29" s="230">
        <v>12446.558215000001</v>
      </c>
      <c r="N29" s="231">
        <v>5.0999999999999997E-2</v>
      </c>
      <c r="O29" s="232">
        <v>27883465.190643109</v>
      </c>
      <c r="P29" s="232">
        <v>14220.567247227984</v>
      </c>
      <c r="Q29" s="208" t="s">
        <v>18</v>
      </c>
    </row>
    <row r="30" spans="1:20" ht="13.2" x14ac:dyDescent="0.25">
      <c r="A30" s="225" t="s">
        <v>284</v>
      </c>
      <c r="B30" s="208"/>
      <c r="C30" s="208"/>
      <c r="D30" s="240" t="s">
        <v>285</v>
      </c>
      <c r="E30" s="236"/>
      <c r="F30" s="236"/>
      <c r="G30" s="228"/>
      <c r="H30" s="208">
        <v>5.4100000000000002E-2</v>
      </c>
      <c r="I30" s="230">
        <v>7191632</v>
      </c>
      <c r="J30" s="230">
        <v>3890.6729120000005</v>
      </c>
      <c r="K30" s="231">
        <v>3.8399999999999997E-2</v>
      </c>
      <c r="L30" s="230">
        <v>7237410</v>
      </c>
      <c r="M30" s="230">
        <v>2779.1654399999998</v>
      </c>
      <c r="N30" s="231">
        <v>4.1000000000000002E-2</v>
      </c>
      <c r="O30" s="232">
        <v>7680195</v>
      </c>
      <c r="P30" s="232">
        <v>3148.87995</v>
      </c>
      <c r="Q30" s="208" t="s">
        <v>18</v>
      </c>
    </row>
    <row r="31" spans="1:20" ht="13.2" x14ac:dyDescent="0.25">
      <c r="A31" s="225" t="s">
        <v>286</v>
      </c>
      <c r="B31" s="208"/>
      <c r="C31" s="208"/>
      <c r="D31" s="234"/>
      <c r="E31" s="234"/>
      <c r="F31" s="234"/>
      <c r="G31" s="208"/>
      <c r="H31" s="208">
        <v>5.4100000000000002E-2</v>
      </c>
      <c r="I31" s="230">
        <v>54852742</v>
      </c>
      <c r="J31" s="230">
        <v>29675.333422000003</v>
      </c>
      <c r="K31" s="231">
        <v>3.7999999999999999E-2</v>
      </c>
      <c r="L31" s="230">
        <v>51784695</v>
      </c>
      <c r="M31" s="230">
        <v>19678.184099999999</v>
      </c>
      <c r="N31" s="231">
        <v>4.1000000000000002E-2</v>
      </c>
      <c r="O31" s="232">
        <v>55091215.679739438</v>
      </c>
      <c r="P31" s="232">
        <v>22587.39842869317</v>
      </c>
      <c r="Q31" s="208" t="s">
        <v>18</v>
      </c>
    </row>
    <row r="32" spans="1:20" ht="13.2" x14ac:dyDescent="0.25">
      <c r="A32" s="225" t="s">
        <v>287</v>
      </c>
      <c r="B32" s="225" t="s">
        <v>288</v>
      </c>
      <c r="C32" s="225" t="s">
        <v>289</v>
      </c>
      <c r="D32" s="226">
        <v>94261644.829077467</v>
      </c>
      <c r="E32" s="227">
        <v>4.0082192296925299E-2</v>
      </c>
      <c r="F32" s="226">
        <v>37782.133742635575</v>
      </c>
      <c r="G32" s="245">
        <v>97170390</v>
      </c>
      <c r="H32" s="229">
        <v>3.4831425106028088E-2</v>
      </c>
      <c r="I32" s="230">
        <v>98077394</v>
      </c>
      <c r="J32" s="230">
        <v>34161</v>
      </c>
      <c r="K32" s="231">
        <v>3.4799999999999998E-2</v>
      </c>
      <c r="L32" s="230">
        <v>98145096</v>
      </c>
      <c r="M32" s="230">
        <v>34154.493408000002</v>
      </c>
      <c r="N32" s="231">
        <v>4.1000000000000002E-2</v>
      </c>
      <c r="O32" s="232">
        <v>100137201</v>
      </c>
      <c r="P32" s="232">
        <v>41056.252410000001</v>
      </c>
      <c r="Q32" s="208" t="s">
        <v>264</v>
      </c>
    </row>
    <row r="33" spans="1:17" ht="26.4" x14ac:dyDescent="0.25">
      <c r="A33" s="225" t="s">
        <v>255</v>
      </c>
      <c r="B33" s="225"/>
      <c r="C33" s="225"/>
      <c r="D33" s="235">
        <v>38802593</v>
      </c>
      <c r="E33" s="246">
        <v>4.0082192296925299E-2</v>
      </c>
      <c r="F33" s="235">
        <v>49563.718704476276</v>
      </c>
      <c r="G33" s="228">
        <v>23209955</v>
      </c>
      <c r="H33" s="229">
        <v>3.4831425106028088E-2</v>
      </c>
      <c r="I33" s="232">
        <v>0</v>
      </c>
      <c r="J33" s="232">
        <v>0</v>
      </c>
      <c r="K33" s="231"/>
      <c r="L33" s="232">
        <v>0</v>
      </c>
      <c r="M33" s="232">
        <v>0</v>
      </c>
      <c r="N33" s="231"/>
      <c r="O33" s="232"/>
      <c r="P33" s="232">
        <v>0</v>
      </c>
      <c r="Q33" s="247" t="s">
        <v>290</v>
      </c>
    </row>
    <row r="34" spans="1:17" ht="13.2" x14ac:dyDescent="0.25">
      <c r="A34" s="225" t="s">
        <v>291</v>
      </c>
      <c r="B34" s="225"/>
      <c r="C34" s="225"/>
      <c r="D34" s="226">
        <v>6000000</v>
      </c>
      <c r="E34" s="227">
        <v>6.2300000000000001E-2</v>
      </c>
      <c r="F34" s="226">
        <v>3738</v>
      </c>
      <c r="G34" s="228">
        <v>6367248</v>
      </c>
      <c r="H34" s="229">
        <v>5.4138699999999998E-2</v>
      </c>
      <c r="I34" s="232"/>
      <c r="J34" s="232"/>
      <c r="K34" s="231">
        <v>4.4999999999999998E-2</v>
      </c>
      <c r="L34" s="232">
        <v>13120593</v>
      </c>
      <c r="M34" s="232">
        <v>5904.2668499999991</v>
      </c>
      <c r="N34" s="231">
        <v>4.5499999999999999E-2</v>
      </c>
      <c r="O34" s="232">
        <v>13472371</v>
      </c>
      <c r="P34" s="232">
        <v>6129.9288049999996</v>
      </c>
      <c r="Q34" s="247" t="s">
        <v>31</v>
      </c>
    </row>
    <row r="35" spans="1:17" ht="26.4" x14ac:dyDescent="0.25">
      <c r="A35" s="225" t="s">
        <v>292</v>
      </c>
      <c r="B35" s="225"/>
      <c r="C35" s="225"/>
      <c r="D35" s="226">
        <v>19132650</v>
      </c>
      <c r="E35" s="227">
        <v>6.2300000000000001E-2</v>
      </c>
      <c r="F35" s="226">
        <v>11919.640950000001</v>
      </c>
      <c r="G35" s="237">
        <v>19515303</v>
      </c>
      <c r="H35" s="229">
        <v>5.4138699999999998E-2</v>
      </c>
      <c r="I35" s="232"/>
      <c r="J35" s="232"/>
      <c r="K35" s="231"/>
      <c r="L35" s="232">
        <v>0</v>
      </c>
      <c r="M35" s="232">
        <v>0</v>
      </c>
      <c r="N35" s="231"/>
      <c r="O35" s="232"/>
      <c r="P35" s="232"/>
      <c r="Q35" s="247" t="s">
        <v>293</v>
      </c>
    </row>
    <row r="36" spans="1:17" ht="13.2" x14ac:dyDescent="0.25">
      <c r="A36" s="225"/>
      <c r="B36" s="225"/>
      <c r="C36" s="225"/>
      <c r="D36" s="226"/>
      <c r="E36" s="227"/>
      <c r="F36" s="226"/>
      <c r="G36" s="237"/>
      <c r="H36" s="229"/>
      <c r="I36" s="248">
        <v>6778032126</v>
      </c>
      <c r="J36" s="248">
        <v>3304174.9966391148</v>
      </c>
      <c r="K36" s="248"/>
      <c r="L36" s="248">
        <v>6816448030</v>
      </c>
      <c r="M36" s="248">
        <v>2729073.9495080006</v>
      </c>
      <c r="N36" s="248"/>
      <c r="O36" s="248">
        <v>6926913012.3142662</v>
      </c>
      <c r="P36" s="248">
        <v>3262517.7269300707</v>
      </c>
      <c r="Q36" s="249"/>
    </row>
    <row r="37" spans="1:17" x14ac:dyDescent="0.3">
      <c r="J37" s="250"/>
      <c r="K37" s="250"/>
      <c r="N37" s="250"/>
      <c r="O37" s="251"/>
      <c r="P37" s="251"/>
    </row>
    <row r="38" spans="1:17" ht="13.2" x14ac:dyDescent="0.25">
      <c r="C38" s="208" t="s">
        <v>294</v>
      </c>
      <c r="J38" s="195">
        <v>100467254</v>
      </c>
      <c r="K38" s="195"/>
      <c r="L38" s="252">
        <v>100534956</v>
      </c>
      <c r="M38" s="252">
        <v>34608.566808000003</v>
      </c>
      <c r="N38" s="195"/>
      <c r="O38" s="253">
        <v>102574619</v>
      </c>
      <c r="P38" s="253">
        <v>41546.173428000002</v>
      </c>
      <c r="Q38" s="254" t="s">
        <v>294</v>
      </c>
    </row>
    <row r="39" spans="1:17" ht="13.2" x14ac:dyDescent="0.25">
      <c r="C39" s="208" t="s">
        <v>295</v>
      </c>
      <c r="J39" s="195">
        <v>57387993</v>
      </c>
      <c r="K39" s="195"/>
      <c r="L39" s="252">
        <v>94808244</v>
      </c>
      <c r="M39" s="252">
        <v>27987.605479999998</v>
      </c>
      <c r="N39" s="195"/>
      <c r="O39" s="253">
        <v>70563500</v>
      </c>
      <c r="P39" s="253">
        <v>28225.4</v>
      </c>
      <c r="Q39" s="254" t="s">
        <v>295</v>
      </c>
    </row>
    <row r="40" spans="1:17" ht="13.2" x14ac:dyDescent="0.25">
      <c r="C40" s="208" t="s">
        <v>31</v>
      </c>
      <c r="J40" s="195">
        <v>381431207</v>
      </c>
      <c r="K40" s="195"/>
      <c r="L40" s="252">
        <v>365001200</v>
      </c>
      <c r="M40" s="252">
        <v>138587.79450999998</v>
      </c>
      <c r="N40" s="195"/>
      <c r="O40" s="253">
        <v>366165894.16500002</v>
      </c>
      <c r="P40" s="253">
        <v>160146.61016459999</v>
      </c>
      <c r="Q40" s="254" t="s">
        <v>31</v>
      </c>
    </row>
    <row r="41" spans="1:17" ht="13.2" x14ac:dyDescent="0.25">
      <c r="C41" s="208" t="s">
        <v>17</v>
      </c>
      <c r="J41" s="195">
        <v>6131116588</v>
      </c>
      <c r="K41" s="195"/>
      <c r="L41" s="252">
        <v>6151193854</v>
      </c>
      <c r="M41" s="252">
        <v>2483349.1239950005</v>
      </c>
      <c r="N41" s="195"/>
      <c r="O41" s="253">
        <v>6278052726.7679262</v>
      </c>
      <c r="P41" s="253">
        <v>2981207.3528224202</v>
      </c>
      <c r="Q41" s="254" t="s">
        <v>17</v>
      </c>
    </row>
    <row r="42" spans="1:17" ht="13.2" x14ac:dyDescent="0.25">
      <c r="C42" s="208" t="s">
        <v>296</v>
      </c>
      <c r="J42" s="195">
        <v>107629084</v>
      </c>
      <c r="K42" s="255"/>
      <c r="L42" s="252">
        <v>104909776</v>
      </c>
      <c r="M42" s="252">
        <v>44540.858714999995</v>
      </c>
      <c r="N42" s="255"/>
      <c r="O42" s="253">
        <v>109556272.38134003</v>
      </c>
      <c r="P42" s="253">
        <v>51392.190515050424</v>
      </c>
      <c r="Q42" s="254" t="s">
        <v>296</v>
      </c>
    </row>
    <row r="43" spans="1:17" ht="13.8" thickBot="1" x14ac:dyDescent="0.3">
      <c r="C43" s="208"/>
      <c r="J43" s="256">
        <v>6778032126</v>
      </c>
      <c r="K43" s="257"/>
      <c r="L43" s="252">
        <v>6816448030</v>
      </c>
      <c r="M43" s="258">
        <v>2729073.9495080006</v>
      </c>
      <c r="N43" s="257"/>
      <c r="O43" s="259">
        <v>6926913012.3142662</v>
      </c>
      <c r="P43" s="259">
        <v>3262517.7269300702</v>
      </c>
      <c r="Q43" s="260" t="s">
        <v>297</v>
      </c>
    </row>
    <row r="45" spans="1:17" x14ac:dyDescent="0.3">
      <c r="M45" s="261">
        <f>SUM(M38,M42)</f>
        <v>79149.425522999998</v>
      </c>
    </row>
  </sheetData>
  <pageMargins left="0.75" right="0.75" top="1" bottom="1" header="0.5" footer="0.5"/>
  <pageSetup scale="91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"/>
  <sheetViews>
    <sheetView zoomScale="86" zoomScaleNormal="86" workbookViewId="0">
      <selection sqref="A1:XFD1048576"/>
    </sheetView>
  </sheetViews>
  <sheetFormatPr defaultColWidth="8.88671875" defaultRowHeight="13.2" x14ac:dyDescent="0.25"/>
  <cols>
    <col min="1" max="1" width="8.88671875" style="16"/>
    <col min="2" max="2" width="20.33203125" style="16" bestFit="1" customWidth="1"/>
    <col min="3" max="3" width="11.6640625" style="16" bestFit="1" customWidth="1"/>
    <col min="4" max="5" width="14.6640625" style="16" bestFit="1" customWidth="1"/>
    <col min="6" max="6" width="11.44140625" style="16" customWidth="1"/>
    <col min="7" max="8" width="15" style="16" bestFit="1" customWidth="1"/>
    <col min="9" max="9" width="11.44140625" style="16" customWidth="1"/>
    <col min="10" max="10" width="22.6640625" style="16" customWidth="1"/>
    <col min="11" max="11" width="12" style="16" bestFit="1" customWidth="1"/>
    <col min="12" max="13" width="13.109375" style="16" bestFit="1" customWidth="1"/>
    <col min="14" max="14" width="11.88671875" style="58" bestFit="1" customWidth="1"/>
    <col min="15" max="15" width="8.88671875" style="58"/>
    <col min="16" max="16384" width="8.88671875" style="16"/>
  </cols>
  <sheetData>
    <row r="2" spans="2:15" ht="15" thickBot="1" x14ac:dyDescent="0.35">
      <c r="B2" s="1" t="s">
        <v>337</v>
      </c>
      <c r="C2" s="187"/>
    </row>
    <row r="3" spans="2:15" ht="14.4" x14ac:dyDescent="0.3">
      <c r="B3" s="1" t="s">
        <v>338</v>
      </c>
      <c r="C3" s="187"/>
      <c r="L3" s="16" t="s">
        <v>382</v>
      </c>
      <c r="M3" s="192" t="s">
        <v>339</v>
      </c>
    </row>
    <row r="4" spans="2:15" ht="13.8" thickBot="1" x14ac:dyDescent="0.3">
      <c r="B4" s="187"/>
      <c r="C4" s="187"/>
      <c r="L4" s="16" t="s">
        <v>287</v>
      </c>
      <c r="M4" s="193">
        <f>1/3</f>
        <v>0.33333333333333331</v>
      </c>
    </row>
    <row r="5" spans="2:15" ht="15" thickBot="1" x14ac:dyDescent="0.35">
      <c r="C5" s="1" t="s">
        <v>26</v>
      </c>
      <c r="D5" s="1" t="s">
        <v>40</v>
      </c>
      <c r="E5" s="1" t="s">
        <v>340</v>
      </c>
    </row>
    <row r="6" spans="2:15" ht="53.4" x14ac:dyDescent="0.3">
      <c r="B6" s="20" t="s">
        <v>341</v>
      </c>
      <c r="C6" s="20">
        <v>92400635</v>
      </c>
      <c r="D6" s="194">
        <f>'Rates - Updated'!P39</f>
        <v>28225.4</v>
      </c>
      <c r="E6" s="195">
        <f t="shared" ref="E6:E9" si="0">D6/12</f>
        <v>2352.1166666666668</v>
      </c>
      <c r="J6" s="114"/>
      <c r="K6" s="196" t="s">
        <v>342</v>
      </c>
      <c r="L6" s="197" t="s">
        <v>343</v>
      </c>
      <c r="M6" s="198" t="s">
        <v>143</v>
      </c>
      <c r="N6" s="199"/>
      <c r="O6" s="200"/>
    </row>
    <row r="7" spans="2:15" ht="14.4" x14ac:dyDescent="0.3">
      <c r="B7" s="20" t="s">
        <v>344</v>
      </c>
      <c r="C7" s="20">
        <v>92400634</v>
      </c>
      <c r="D7" s="194">
        <f>'Rates - Updated'!P40</f>
        <v>160146.61016459999</v>
      </c>
      <c r="E7" s="195">
        <f t="shared" si="0"/>
        <v>13345.550847049999</v>
      </c>
      <c r="J7" s="201">
        <v>92400013</v>
      </c>
      <c r="K7" s="202">
        <f>Proposal!E4</f>
        <v>2483349.12</v>
      </c>
      <c r="L7" s="202">
        <f>E27</f>
        <v>2981207.3528224207</v>
      </c>
      <c r="M7" s="203">
        <f>L7-K7</f>
        <v>497858.23282242054</v>
      </c>
    </row>
    <row r="8" spans="2:15" ht="14.4" x14ac:dyDescent="0.3">
      <c r="B8" s="20" t="s">
        <v>17</v>
      </c>
      <c r="C8" s="20">
        <v>92400013</v>
      </c>
      <c r="D8" s="204">
        <f>'Rates - Updated'!P41</f>
        <v>2981207.3528224202</v>
      </c>
      <c r="E8" s="195">
        <f t="shared" si="0"/>
        <v>248433.94606853501</v>
      </c>
      <c r="J8" s="57" t="s">
        <v>157</v>
      </c>
      <c r="K8" s="202">
        <f>Proposal!E5</f>
        <v>367005.06</v>
      </c>
      <c r="L8" s="202">
        <f>'Prop Ins - RYupdated (2)'!E9</f>
        <v>369192</v>
      </c>
      <c r="M8" s="203">
        <f t="shared" ref="M8:M11" si="1">L8-K8</f>
        <v>2186.9400000000023</v>
      </c>
    </row>
    <row r="9" spans="2:15" ht="14.4" x14ac:dyDescent="0.3">
      <c r="B9" s="20" t="s">
        <v>18</v>
      </c>
      <c r="C9" s="20">
        <v>92400308</v>
      </c>
      <c r="D9" s="195">
        <f>'Rates - Updated'!P42</f>
        <v>51392.190515050424</v>
      </c>
      <c r="E9" s="195">
        <f t="shared" si="0"/>
        <v>4282.6825429208684</v>
      </c>
      <c r="J9" s="57" t="s">
        <v>158</v>
      </c>
      <c r="K9" s="202">
        <f>Proposal!E6</f>
        <v>389942.85</v>
      </c>
      <c r="L9" s="202">
        <f>'Prop Ins - RYupdated (2)'!E10</f>
        <v>392266</v>
      </c>
      <c r="M9" s="203">
        <f t="shared" si="1"/>
        <v>2323.1500000000233</v>
      </c>
    </row>
    <row r="10" spans="2:15" ht="13.8" thickBot="1" x14ac:dyDescent="0.3">
      <c r="D10" s="205">
        <f>SUM(D6:D9)</f>
        <v>3220971.5535020703</v>
      </c>
      <c r="E10" s="205">
        <f>SUM(E6:E9)</f>
        <v>268414.29612517252</v>
      </c>
      <c r="J10" s="57" t="s">
        <v>146</v>
      </c>
      <c r="K10" s="202">
        <f>Proposal!E7</f>
        <v>147552.0660041667</v>
      </c>
      <c r="L10" s="202">
        <f>'Prop Ins - RYupdated (2)'!E11</f>
        <v>152284</v>
      </c>
      <c r="M10" s="203">
        <f t="shared" si="1"/>
        <v>4731.9339958333003</v>
      </c>
    </row>
    <row r="11" spans="2:15" x14ac:dyDescent="0.25">
      <c r="J11" s="57" t="s">
        <v>159</v>
      </c>
      <c r="K11" s="206">
        <f>Proposal!E8</f>
        <v>454.07339999999999</v>
      </c>
      <c r="L11" s="206">
        <f>'Rates - Updated'!P21</f>
        <v>489.92101799999995</v>
      </c>
      <c r="M11" s="207">
        <f t="shared" si="1"/>
        <v>35.847617999999954</v>
      </c>
    </row>
    <row r="12" spans="2:15" ht="14.4" x14ac:dyDescent="0.3">
      <c r="B12" s="20" t="s">
        <v>345</v>
      </c>
      <c r="C12" s="20">
        <v>62000010</v>
      </c>
      <c r="D12" s="20">
        <v>62000010</v>
      </c>
      <c r="E12" s="20">
        <v>62000010</v>
      </c>
      <c r="F12" s="20">
        <v>62000010</v>
      </c>
      <c r="G12" s="208"/>
      <c r="J12" s="209" t="s">
        <v>17</v>
      </c>
      <c r="K12" s="161">
        <f>SUM(K7:K11)</f>
        <v>3388303.1694041672</v>
      </c>
      <c r="L12" s="161">
        <f>SUM(L7:L11)</f>
        <v>3895439.2738404209</v>
      </c>
      <c r="M12" s="210">
        <f>SUM(M7:M11)</f>
        <v>507136.1044362539</v>
      </c>
    </row>
    <row r="13" spans="2:15" ht="14.4" x14ac:dyDescent="0.3">
      <c r="B13" s="20" t="s">
        <v>346</v>
      </c>
      <c r="C13" s="20">
        <v>1116</v>
      </c>
      <c r="D13" s="20">
        <v>1116</v>
      </c>
      <c r="E13" s="20">
        <v>1116</v>
      </c>
      <c r="F13" s="20">
        <v>1116</v>
      </c>
      <c r="G13" s="208"/>
      <c r="J13" s="57"/>
      <c r="K13" s="202"/>
      <c r="L13" s="58"/>
      <c r="M13" s="59"/>
    </row>
    <row r="14" spans="2:15" ht="14.4" x14ac:dyDescent="0.3">
      <c r="B14" s="20" t="s">
        <v>26</v>
      </c>
      <c r="C14" s="20">
        <v>92400635</v>
      </c>
      <c r="D14" s="20">
        <v>92400634</v>
      </c>
      <c r="E14" s="20">
        <v>92400013</v>
      </c>
      <c r="F14" s="20">
        <v>92400308</v>
      </c>
      <c r="G14" s="20">
        <v>16500083</v>
      </c>
      <c r="H14" s="33">
        <f>G27</f>
        <v>3220971.5535020712</v>
      </c>
      <c r="J14" s="211"/>
      <c r="K14" s="202"/>
      <c r="L14" s="58"/>
      <c r="M14" s="59"/>
    </row>
    <row r="15" spans="2:15" ht="14.4" x14ac:dyDescent="0.3">
      <c r="B15" s="34">
        <v>42826</v>
      </c>
      <c r="C15" s="212">
        <f>$E$6</f>
        <v>2352.1166666666668</v>
      </c>
      <c r="D15" s="213">
        <f>$E$7</f>
        <v>13345.550847049999</v>
      </c>
      <c r="E15" s="213">
        <f>$E$8</f>
        <v>248433.94606853501</v>
      </c>
      <c r="F15" s="213">
        <f>$E$9</f>
        <v>4282.6825429208684</v>
      </c>
      <c r="G15" s="195">
        <f>SUM(C15:F15)</f>
        <v>268414.29612517252</v>
      </c>
      <c r="H15" s="213">
        <f>H14-G15</f>
        <v>2952557.2573768985</v>
      </c>
      <c r="J15" s="201">
        <v>92400308</v>
      </c>
      <c r="K15" s="202">
        <f>Proposal!E12</f>
        <v>44540.86</v>
      </c>
      <c r="L15" s="202">
        <f>Amortiz!F27</f>
        <v>51392.190515050424</v>
      </c>
      <c r="M15" s="203">
        <f>L15-K15</f>
        <v>6851.3305150504239</v>
      </c>
    </row>
    <row r="16" spans="2:15" ht="14.4" x14ac:dyDescent="0.3">
      <c r="B16" s="34">
        <v>42856</v>
      </c>
      <c r="C16" s="212">
        <f t="shared" ref="C16:C26" si="2">$E$6</f>
        <v>2352.1166666666668</v>
      </c>
      <c r="D16" s="213">
        <f t="shared" ref="D16:D26" si="3">$E$7</f>
        <v>13345.550847049999</v>
      </c>
      <c r="E16" s="213">
        <f t="shared" ref="E16:E26" si="4">$E$8</f>
        <v>248433.94606853501</v>
      </c>
      <c r="F16" s="213">
        <f t="shared" ref="F16:F26" si="5">$E$9</f>
        <v>4282.6825429208684</v>
      </c>
      <c r="G16" s="195">
        <f t="shared" ref="G16:G26" si="6">SUM(C16:F16)</f>
        <v>268414.29612517252</v>
      </c>
      <c r="H16" s="213">
        <f t="shared" ref="H16:H26" si="7">H15-G16</f>
        <v>2684142.9612517259</v>
      </c>
      <c r="J16" s="201" t="s">
        <v>165</v>
      </c>
      <c r="K16" s="206">
        <f>Proposal!E13</f>
        <v>11384.831136000001</v>
      </c>
      <c r="L16" s="206">
        <f>'Rates - Updated'!P32*Amortiz!M4</f>
        <v>13685.41747</v>
      </c>
      <c r="M16" s="207">
        <f>L16-K16</f>
        <v>2300.5863339999996</v>
      </c>
    </row>
    <row r="17" spans="2:13" ht="14.4" x14ac:dyDescent="0.3">
      <c r="B17" s="34">
        <v>42887</v>
      </c>
      <c r="C17" s="212">
        <f t="shared" si="2"/>
        <v>2352.1166666666668</v>
      </c>
      <c r="D17" s="213">
        <f t="shared" si="3"/>
        <v>13345.550847049999</v>
      </c>
      <c r="E17" s="213">
        <f t="shared" si="4"/>
        <v>248433.94606853501</v>
      </c>
      <c r="F17" s="213">
        <f t="shared" si="5"/>
        <v>4282.6825429208684</v>
      </c>
      <c r="G17" s="195">
        <f t="shared" si="6"/>
        <v>268414.29612517252</v>
      </c>
      <c r="H17" s="213">
        <f t="shared" si="7"/>
        <v>2415728.6651265533</v>
      </c>
      <c r="J17" s="209" t="s">
        <v>18</v>
      </c>
      <c r="K17" s="161">
        <f>SUM(K15:K16)</f>
        <v>55925.691136000001</v>
      </c>
      <c r="L17" s="161">
        <f>SUM(L15:L16)</f>
        <v>65077.607985050425</v>
      </c>
      <c r="M17" s="210">
        <f>SUM(M15:M16)</f>
        <v>9151.9168490504235</v>
      </c>
    </row>
    <row r="18" spans="2:13" ht="14.4" x14ac:dyDescent="0.3">
      <c r="B18" s="34">
        <v>42917</v>
      </c>
      <c r="C18" s="212">
        <f t="shared" si="2"/>
        <v>2352.1166666666668</v>
      </c>
      <c r="D18" s="213">
        <f t="shared" si="3"/>
        <v>13345.550847049999</v>
      </c>
      <c r="E18" s="213">
        <f t="shared" si="4"/>
        <v>248433.94606853501</v>
      </c>
      <c r="F18" s="213">
        <f t="shared" si="5"/>
        <v>4282.6825429208684</v>
      </c>
      <c r="G18" s="195">
        <f t="shared" si="6"/>
        <v>268414.29612517252</v>
      </c>
      <c r="H18" s="213">
        <f t="shared" si="7"/>
        <v>2147314.3690013806</v>
      </c>
      <c r="J18" s="209"/>
      <c r="K18" s="202"/>
      <c r="L18" s="58"/>
      <c r="M18" s="59"/>
    </row>
    <row r="19" spans="2:13" ht="14.4" x14ac:dyDescent="0.3">
      <c r="B19" s="34">
        <v>42948</v>
      </c>
      <c r="C19" s="212">
        <f t="shared" si="2"/>
        <v>2352.1166666666668</v>
      </c>
      <c r="D19" s="213">
        <f t="shared" si="3"/>
        <v>13345.550847049999</v>
      </c>
      <c r="E19" s="213">
        <f t="shared" si="4"/>
        <v>248433.94606853501</v>
      </c>
      <c r="F19" s="213">
        <f t="shared" si="5"/>
        <v>4282.6825429208684</v>
      </c>
      <c r="G19" s="195">
        <f t="shared" si="6"/>
        <v>268414.29612517252</v>
      </c>
      <c r="H19" s="213">
        <f t="shared" si="7"/>
        <v>1878900.072876208</v>
      </c>
      <c r="J19" s="211"/>
      <c r="K19" s="202"/>
      <c r="L19" s="58"/>
      <c r="M19" s="59"/>
    </row>
    <row r="20" spans="2:13" ht="14.4" x14ac:dyDescent="0.3">
      <c r="B20" s="34">
        <v>42979</v>
      </c>
      <c r="C20" s="212">
        <f t="shared" si="2"/>
        <v>2352.1166666666668</v>
      </c>
      <c r="D20" s="213">
        <f t="shared" si="3"/>
        <v>13345.550847049999</v>
      </c>
      <c r="E20" s="213">
        <f t="shared" si="4"/>
        <v>248433.94606853501</v>
      </c>
      <c r="F20" s="213">
        <f t="shared" si="5"/>
        <v>4282.6825429208684</v>
      </c>
      <c r="G20" s="195">
        <f t="shared" si="6"/>
        <v>268414.29612517252</v>
      </c>
      <c r="H20" s="213">
        <f t="shared" si="7"/>
        <v>1610485.7767510354</v>
      </c>
      <c r="J20" s="57"/>
      <c r="K20" s="202"/>
      <c r="L20" s="58"/>
      <c r="M20" s="59"/>
    </row>
    <row r="21" spans="2:13" ht="14.4" x14ac:dyDescent="0.3">
      <c r="B21" s="34">
        <v>43009</v>
      </c>
      <c r="C21" s="212">
        <f t="shared" si="2"/>
        <v>2352.1166666666668</v>
      </c>
      <c r="D21" s="213">
        <f t="shared" si="3"/>
        <v>13345.550847049999</v>
      </c>
      <c r="E21" s="213">
        <f t="shared" si="4"/>
        <v>248433.94606853501</v>
      </c>
      <c r="F21" s="213">
        <f t="shared" si="5"/>
        <v>4282.6825429208684</v>
      </c>
      <c r="G21" s="195">
        <f t="shared" si="6"/>
        <v>268414.29612517252</v>
      </c>
      <c r="H21" s="213">
        <f t="shared" si="7"/>
        <v>1342071.4806258627</v>
      </c>
      <c r="J21" s="201">
        <v>92400634</v>
      </c>
      <c r="K21" s="202">
        <f>Proposal!E18</f>
        <v>138587.79</v>
      </c>
      <c r="L21" s="202">
        <f>D27</f>
        <v>160146.61016460005</v>
      </c>
      <c r="M21" s="203">
        <f t="shared" ref="M21:M22" si="8">L21-K21</f>
        <v>21558.820164600038</v>
      </c>
    </row>
    <row r="22" spans="2:13" ht="14.4" x14ac:dyDescent="0.3">
      <c r="B22" s="34">
        <v>43040</v>
      </c>
      <c r="C22" s="212">
        <f t="shared" si="2"/>
        <v>2352.1166666666668</v>
      </c>
      <c r="D22" s="213">
        <f t="shared" si="3"/>
        <v>13345.550847049999</v>
      </c>
      <c r="E22" s="213">
        <f t="shared" si="4"/>
        <v>248433.94606853501</v>
      </c>
      <c r="F22" s="213">
        <f t="shared" si="5"/>
        <v>4282.6825429208684</v>
      </c>
      <c r="G22" s="195">
        <f t="shared" si="6"/>
        <v>268414.29612517252</v>
      </c>
      <c r="H22" s="213">
        <f t="shared" si="7"/>
        <v>1073657.1845006901</v>
      </c>
      <c r="J22" s="201">
        <v>92400635</v>
      </c>
      <c r="K22" s="206">
        <f>Proposal!E19</f>
        <v>27987.61</v>
      </c>
      <c r="L22" s="206">
        <f>C27</f>
        <v>28225.400000000009</v>
      </c>
      <c r="M22" s="207">
        <f t="shared" si="8"/>
        <v>237.79000000000815</v>
      </c>
    </row>
    <row r="23" spans="2:13" ht="14.4" x14ac:dyDescent="0.3">
      <c r="B23" s="34">
        <v>43070</v>
      </c>
      <c r="C23" s="212">
        <f t="shared" si="2"/>
        <v>2352.1166666666668</v>
      </c>
      <c r="D23" s="213">
        <f t="shared" si="3"/>
        <v>13345.550847049999</v>
      </c>
      <c r="E23" s="213">
        <f t="shared" si="4"/>
        <v>248433.94606853501</v>
      </c>
      <c r="F23" s="213">
        <f t="shared" si="5"/>
        <v>4282.6825429208684</v>
      </c>
      <c r="G23" s="195">
        <f t="shared" si="6"/>
        <v>268414.29612517252</v>
      </c>
      <c r="H23" s="213">
        <f t="shared" si="7"/>
        <v>805242.88837551756</v>
      </c>
      <c r="J23" s="209" t="s">
        <v>31</v>
      </c>
      <c r="K23" s="161">
        <f>SUM(K21:K22)</f>
        <v>166575.40000000002</v>
      </c>
      <c r="L23" s="161">
        <f t="shared" ref="L23:M23" si="9">SUM(L21:L22)</f>
        <v>188372.01016460004</v>
      </c>
      <c r="M23" s="210">
        <f t="shared" si="9"/>
        <v>21796.610164600046</v>
      </c>
    </row>
    <row r="24" spans="2:13" ht="14.4" x14ac:dyDescent="0.3">
      <c r="B24" s="34">
        <v>43101</v>
      </c>
      <c r="C24" s="212">
        <f t="shared" si="2"/>
        <v>2352.1166666666668</v>
      </c>
      <c r="D24" s="213">
        <f t="shared" si="3"/>
        <v>13345.550847049999</v>
      </c>
      <c r="E24" s="213">
        <f t="shared" si="4"/>
        <v>248433.94606853501</v>
      </c>
      <c r="F24" s="213">
        <f t="shared" si="5"/>
        <v>4282.6825429208684</v>
      </c>
      <c r="G24" s="195">
        <f t="shared" si="6"/>
        <v>268414.29612517252</v>
      </c>
      <c r="H24" s="213">
        <f t="shared" si="7"/>
        <v>536828.59225034504</v>
      </c>
      <c r="J24" s="209"/>
      <c r="K24" s="202"/>
      <c r="L24" s="58"/>
      <c r="M24" s="59"/>
    </row>
    <row r="25" spans="2:13" ht="14.4" x14ac:dyDescent="0.3">
      <c r="B25" s="34">
        <v>43132</v>
      </c>
      <c r="C25" s="212">
        <f t="shared" si="2"/>
        <v>2352.1166666666668</v>
      </c>
      <c r="D25" s="213">
        <f t="shared" si="3"/>
        <v>13345.550847049999</v>
      </c>
      <c r="E25" s="213">
        <f t="shared" si="4"/>
        <v>248433.94606853501</v>
      </c>
      <c r="F25" s="213">
        <f t="shared" si="5"/>
        <v>4282.6825429208684</v>
      </c>
      <c r="G25" s="195">
        <f t="shared" si="6"/>
        <v>268414.29612517252</v>
      </c>
      <c r="H25" s="213">
        <f t="shared" si="7"/>
        <v>268414.29612517252</v>
      </c>
      <c r="J25" s="211"/>
      <c r="K25" s="206"/>
      <c r="L25" s="123"/>
      <c r="M25" s="124"/>
    </row>
    <row r="26" spans="2:13" ht="15" thickBot="1" x14ac:dyDescent="0.35">
      <c r="B26" s="34">
        <v>43160</v>
      </c>
      <c r="C26" s="212">
        <f t="shared" si="2"/>
        <v>2352.1166666666668</v>
      </c>
      <c r="D26" s="213">
        <f t="shared" si="3"/>
        <v>13345.550847049999</v>
      </c>
      <c r="E26" s="213">
        <f t="shared" si="4"/>
        <v>248433.94606853501</v>
      </c>
      <c r="F26" s="213">
        <f t="shared" si="5"/>
        <v>4282.6825429208684</v>
      </c>
      <c r="G26" s="195">
        <f t="shared" si="6"/>
        <v>268414.29612517252</v>
      </c>
      <c r="H26" s="213">
        <f t="shared" si="7"/>
        <v>0</v>
      </c>
      <c r="J26" s="191" t="s">
        <v>40</v>
      </c>
      <c r="K26" s="214">
        <f>K12+K17+K23</f>
        <v>3610804.2605401673</v>
      </c>
      <c r="L26" s="214">
        <f>L12+L17+L23</f>
        <v>4148888.8919900712</v>
      </c>
      <c r="M26" s="215">
        <f>M12+M17+M23</f>
        <v>538084.63144990441</v>
      </c>
    </row>
    <row r="27" spans="2:13" ht="14.4" x14ac:dyDescent="0.3">
      <c r="B27" s="216"/>
      <c r="C27" s="33">
        <f>SUM(C15:C26)</f>
        <v>28225.400000000009</v>
      </c>
      <c r="D27" s="33">
        <f t="shared" ref="D27:G27" si="10">SUM(D15:D26)</f>
        <v>160146.61016460005</v>
      </c>
      <c r="E27" s="33">
        <f t="shared" si="10"/>
        <v>2981207.3528224207</v>
      </c>
      <c r="F27" s="33">
        <f t="shared" si="10"/>
        <v>51392.190515050424</v>
      </c>
      <c r="G27" s="33">
        <f t="shared" si="10"/>
        <v>3220971.5535020712</v>
      </c>
      <c r="K27" s="202"/>
      <c r="L27" s="217"/>
    </row>
    <row r="28" spans="2:13" x14ac:dyDescent="0.25">
      <c r="K28" s="153"/>
      <c r="L28" s="15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C1" zoomScale="80" zoomScaleNormal="80" workbookViewId="0">
      <selection sqref="A1:XFD1048576"/>
    </sheetView>
  </sheetViews>
  <sheetFormatPr defaultColWidth="9.109375" defaultRowHeight="13.2" x14ac:dyDescent="0.25"/>
  <cols>
    <col min="1" max="1" width="42.33203125" style="16" customWidth="1"/>
    <col min="2" max="6" width="12.6640625" style="16" bestFit="1" customWidth="1"/>
    <col min="7" max="7" width="11.33203125" style="16" bestFit="1" customWidth="1"/>
    <col min="8" max="11" width="12.6640625" style="16" bestFit="1" customWidth="1"/>
    <col min="12" max="12" width="15.109375" style="16" customWidth="1"/>
    <col min="13" max="13" width="11.33203125" style="16" bestFit="1" customWidth="1"/>
    <col min="14" max="14" width="14.5546875" style="16" bestFit="1" customWidth="1"/>
    <col min="15" max="15" width="21.6640625" style="16" bestFit="1" customWidth="1"/>
    <col min="16" max="16" width="11.44140625" style="16" bestFit="1" customWidth="1"/>
    <col min="17" max="16384" width="9.109375" style="16"/>
  </cols>
  <sheetData>
    <row r="1" spans="1:17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4" spans="1:17" x14ac:dyDescent="0.25">
      <c r="A4" s="24" t="s">
        <v>134</v>
      </c>
      <c r="B4" s="25">
        <v>43101</v>
      </c>
      <c r="C4" s="25">
        <v>43132</v>
      </c>
      <c r="D4" s="25">
        <v>43160</v>
      </c>
      <c r="E4" s="25">
        <v>43191</v>
      </c>
      <c r="F4" s="25">
        <v>43221</v>
      </c>
      <c r="G4" s="25">
        <v>43252</v>
      </c>
      <c r="H4" s="25">
        <v>43282</v>
      </c>
      <c r="I4" s="25">
        <v>43313</v>
      </c>
      <c r="J4" s="25">
        <v>43344</v>
      </c>
      <c r="K4" s="25">
        <v>43374</v>
      </c>
      <c r="L4" s="25">
        <v>43405</v>
      </c>
      <c r="M4" s="25">
        <v>43435</v>
      </c>
      <c r="N4" s="25" t="s">
        <v>194</v>
      </c>
      <c r="O4" s="25" t="s">
        <v>199</v>
      </c>
    </row>
    <row r="5" spans="1:17" x14ac:dyDescent="0.25">
      <c r="A5" s="23" t="s">
        <v>131</v>
      </c>
      <c r="B5" s="7">
        <v>69830.64</v>
      </c>
      <c r="C5" s="7">
        <v>69830.64</v>
      </c>
      <c r="D5" s="7">
        <v>69830.64</v>
      </c>
      <c r="E5" s="7">
        <v>61167.51</v>
      </c>
      <c r="F5" s="7">
        <v>61167.51</v>
      </c>
      <c r="G5" s="187">
        <v>62262.559999999998</v>
      </c>
      <c r="H5" s="7">
        <v>62262.559999999998</v>
      </c>
      <c r="I5" s="7">
        <f>62262.56+24148.8</f>
        <v>86411.36</v>
      </c>
      <c r="J5" s="7">
        <v>62262.559999999998</v>
      </c>
      <c r="K5" s="7">
        <v>62262.559999999998</v>
      </c>
      <c r="L5" s="7">
        <v>62262.559999999998</v>
      </c>
      <c r="M5" s="7">
        <v>62262.559999999998</v>
      </c>
      <c r="N5" s="14">
        <f>SUM(B5:M5)</f>
        <v>791813.66000000015</v>
      </c>
      <c r="O5" s="8">
        <f>N5*0.5</f>
        <v>395906.83000000007</v>
      </c>
      <c r="P5" s="7">
        <f>E5*12</f>
        <v>734010.12</v>
      </c>
      <c r="Q5" s="16" t="s">
        <v>324</v>
      </c>
    </row>
    <row r="6" spans="1:17" x14ac:dyDescent="0.25">
      <c r="A6" s="23"/>
      <c r="G6" s="9"/>
      <c r="H6" s="9"/>
      <c r="I6" s="9"/>
      <c r="J6" s="9"/>
      <c r="K6" s="9"/>
      <c r="L6" s="9"/>
      <c r="M6" s="9"/>
      <c r="N6" s="9"/>
      <c r="O6" s="23"/>
      <c r="P6" s="7">
        <f>P5*0.5</f>
        <v>367005.06</v>
      </c>
      <c r="Q6" s="16" t="s">
        <v>323</v>
      </c>
    </row>
    <row r="7" spans="1:17" x14ac:dyDescent="0.25">
      <c r="A7" s="22" t="s">
        <v>135</v>
      </c>
      <c r="G7" s="9"/>
      <c r="H7" s="9"/>
      <c r="I7" s="9"/>
      <c r="J7" s="9"/>
      <c r="K7" s="9"/>
      <c r="L7" s="9"/>
      <c r="M7" s="9"/>
      <c r="N7" s="9"/>
      <c r="O7" s="23"/>
      <c r="P7" s="7">
        <f>P6/12</f>
        <v>30583.755000000001</v>
      </c>
      <c r="Q7" s="16" t="s">
        <v>322</v>
      </c>
    </row>
    <row r="8" spans="1:17" x14ac:dyDescent="0.25">
      <c r="A8" s="16" t="s">
        <v>200</v>
      </c>
      <c r="B8" s="7">
        <v>9353.6299999999992</v>
      </c>
      <c r="C8" s="7">
        <v>9353.6299999999992</v>
      </c>
      <c r="D8" s="7">
        <v>9353.6299999999992</v>
      </c>
      <c r="E8" s="7">
        <v>16712</v>
      </c>
      <c r="F8" s="7">
        <v>16712</v>
      </c>
      <c r="G8" s="188">
        <v>16712</v>
      </c>
      <c r="H8" s="7">
        <f>3709.2+42373.32+16712</f>
        <v>62794.52</v>
      </c>
      <c r="I8" s="7">
        <v>16712</v>
      </c>
      <c r="J8" s="7">
        <v>16712</v>
      </c>
      <c r="K8" s="7">
        <v>16712</v>
      </c>
      <c r="L8" s="7">
        <v>16712</v>
      </c>
      <c r="M8" s="7">
        <v>16712</v>
      </c>
      <c r="N8" s="14">
        <f t="shared" ref="N8:N16" si="0">SUM(B8:M8)</f>
        <v>224551.41</v>
      </c>
      <c r="O8" s="8">
        <f t="shared" ref="O8:O16" si="1">N8*0.5</f>
        <v>112275.705</v>
      </c>
    </row>
    <row r="9" spans="1:17" x14ac:dyDescent="0.25">
      <c r="A9" s="16" t="s">
        <v>125</v>
      </c>
      <c r="B9" s="7">
        <v>970.73</v>
      </c>
      <c r="C9" s="7">
        <v>970.73</v>
      </c>
      <c r="D9" s="7">
        <v>970.73</v>
      </c>
      <c r="E9" s="7">
        <v>1059</v>
      </c>
      <c r="F9" s="7">
        <f>931.92-127.08</f>
        <v>804.83999999999992</v>
      </c>
      <c r="G9" s="188">
        <v>931.92</v>
      </c>
      <c r="H9" s="7">
        <v>931.92</v>
      </c>
      <c r="I9" s="7">
        <v>931.92</v>
      </c>
      <c r="J9" s="7">
        <v>931.92</v>
      </c>
      <c r="K9" s="7">
        <v>931.92</v>
      </c>
      <c r="L9" s="7">
        <v>931.92</v>
      </c>
      <c r="M9" s="7">
        <v>931.92</v>
      </c>
      <c r="N9" s="14">
        <f t="shared" si="0"/>
        <v>11299.47</v>
      </c>
      <c r="O9" s="8">
        <f t="shared" si="1"/>
        <v>5649.7349999999997</v>
      </c>
    </row>
    <row r="10" spans="1:17" x14ac:dyDescent="0.25">
      <c r="A10" s="16" t="s">
        <v>126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9"/>
      <c r="N10" s="14">
        <f t="shared" si="0"/>
        <v>0</v>
      </c>
      <c r="O10" s="8">
        <f t="shared" si="1"/>
        <v>0</v>
      </c>
    </row>
    <row r="11" spans="1:17" x14ac:dyDescent="0.25">
      <c r="A11" s="16" t="s">
        <v>127</v>
      </c>
      <c r="B11" s="7">
        <v>1116.48</v>
      </c>
      <c r="C11" s="7">
        <v>1116.48</v>
      </c>
      <c r="D11" s="7">
        <v>1116.48</v>
      </c>
      <c r="E11" s="10">
        <v>1479</v>
      </c>
      <c r="F11" s="7">
        <v>1479</v>
      </c>
      <c r="G11" s="188">
        <v>1479</v>
      </c>
      <c r="H11" s="7">
        <v>1479</v>
      </c>
      <c r="I11" s="7">
        <v>1479</v>
      </c>
      <c r="J11" s="7">
        <v>1479</v>
      </c>
      <c r="K11" s="7">
        <v>1479</v>
      </c>
      <c r="L11" s="7">
        <v>1479</v>
      </c>
      <c r="M11" s="7">
        <v>1479</v>
      </c>
      <c r="N11" s="14">
        <f t="shared" si="0"/>
        <v>16660.440000000002</v>
      </c>
      <c r="O11" s="8">
        <f t="shared" si="1"/>
        <v>8330.2200000000012</v>
      </c>
    </row>
    <row r="12" spans="1:17" x14ac:dyDescent="0.25">
      <c r="A12" s="16" t="s">
        <v>172</v>
      </c>
      <c r="B12" s="7">
        <v>2390.04</v>
      </c>
      <c r="C12" s="7">
        <v>2390.04</v>
      </c>
      <c r="D12" s="7">
        <v>2390.04</v>
      </c>
      <c r="E12" s="7">
        <v>2415</v>
      </c>
      <c r="F12" s="7">
        <f>2415+3025</f>
        <v>5440</v>
      </c>
      <c r="G12" s="187">
        <v>21123.27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9"/>
      <c r="N12" s="14">
        <f t="shared" si="0"/>
        <v>36148.39</v>
      </c>
      <c r="O12" s="8">
        <f t="shared" si="1"/>
        <v>18074.195</v>
      </c>
    </row>
    <row r="13" spans="1:17" x14ac:dyDescent="0.25">
      <c r="A13" s="16" t="s">
        <v>173</v>
      </c>
      <c r="B13" s="11">
        <v>3921.1</v>
      </c>
      <c r="C13" s="11">
        <v>3921.1</v>
      </c>
      <c r="D13" s="11">
        <v>3921.1</v>
      </c>
      <c r="E13" s="7">
        <v>3900.5</v>
      </c>
      <c r="F13" s="7">
        <v>3323.98</v>
      </c>
      <c r="G13" s="187">
        <v>4451.54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9"/>
      <c r="N13" s="14">
        <f t="shared" si="0"/>
        <v>23439.32</v>
      </c>
      <c r="O13" s="8">
        <f t="shared" si="1"/>
        <v>11719.66</v>
      </c>
    </row>
    <row r="14" spans="1:17" x14ac:dyDescent="0.25">
      <c r="A14" s="16" t="s">
        <v>201</v>
      </c>
      <c r="B14" s="7">
        <v>320.39</v>
      </c>
      <c r="C14" s="7">
        <v>320.39</v>
      </c>
      <c r="D14" s="7">
        <v>320.39</v>
      </c>
      <c r="E14" s="7">
        <v>364.48</v>
      </c>
      <c r="F14" s="7">
        <v>364.48</v>
      </c>
      <c r="G14" s="14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14"/>
      <c r="N14" s="14">
        <f t="shared" si="0"/>
        <v>1690.13</v>
      </c>
      <c r="O14" s="8">
        <f t="shared" si="1"/>
        <v>845.06500000000005</v>
      </c>
    </row>
    <row r="15" spans="1:17" x14ac:dyDescent="0.25">
      <c r="A15" s="16" t="s">
        <v>202</v>
      </c>
      <c r="B15" s="7">
        <v>202</v>
      </c>
      <c r="C15" s="7">
        <v>131</v>
      </c>
      <c r="D15" s="7">
        <v>131.22999999999999</v>
      </c>
      <c r="E15" s="7">
        <v>131.22999999999999</v>
      </c>
      <c r="F15" s="7">
        <v>131.22999999999999</v>
      </c>
      <c r="G15" s="7">
        <v>131.22999999999999</v>
      </c>
      <c r="H15" s="7">
        <v>131.22999999999999</v>
      </c>
      <c r="I15" s="7">
        <v>131.22999999999999</v>
      </c>
      <c r="J15" s="7">
        <v>131.22999999999999</v>
      </c>
      <c r="K15" s="7">
        <v>131.22999999999999</v>
      </c>
      <c r="L15" s="7">
        <v>131.22999999999999</v>
      </c>
      <c r="M15" s="7">
        <v>131.22999999999999</v>
      </c>
      <c r="N15" s="14">
        <f t="shared" si="0"/>
        <v>1645.3000000000002</v>
      </c>
      <c r="O15" s="8">
        <f t="shared" si="1"/>
        <v>822.65000000000009</v>
      </c>
    </row>
    <row r="16" spans="1:17" x14ac:dyDescent="0.25">
      <c r="A16" s="26" t="s">
        <v>203</v>
      </c>
      <c r="B16" s="7">
        <v>30957.14</v>
      </c>
      <c r="C16" s="7">
        <v>30957.14</v>
      </c>
      <c r="D16" s="7">
        <v>30957.14</v>
      </c>
      <c r="E16" s="7">
        <v>30957.14</v>
      </c>
      <c r="F16" s="7">
        <v>30957.14</v>
      </c>
      <c r="G16" s="187">
        <v>30957.14</v>
      </c>
      <c r="H16" s="7">
        <v>30957.14</v>
      </c>
      <c r="I16" s="7">
        <v>30957.14</v>
      </c>
      <c r="J16" s="7">
        <v>30957.14</v>
      </c>
      <c r="K16" s="7">
        <v>30957.14</v>
      </c>
      <c r="L16" s="7">
        <v>30957.14</v>
      </c>
      <c r="M16" s="187">
        <v>43920.37</v>
      </c>
      <c r="N16" s="14">
        <f t="shared" si="0"/>
        <v>384448.91000000009</v>
      </c>
      <c r="O16" s="8">
        <f t="shared" si="1"/>
        <v>192224.45500000005</v>
      </c>
    </row>
    <row r="17" spans="1:16" ht="13.8" thickBot="1" x14ac:dyDescent="0.3">
      <c r="A17" s="12" t="s">
        <v>204</v>
      </c>
      <c r="B17" s="13">
        <f t="shared" ref="B17:O17" si="2">SUM(B5:B16)</f>
        <v>119062.15</v>
      </c>
      <c r="C17" s="13">
        <f t="shared" si="2"/>
        <v>118991.15</v>
      </c>
      <c r="D17" s="13">
        <f t="shared" si="2"/>
        <v>118991.37999999999</v>
      </c>
      <c r="E17" s="13">
        <f t="shared" si="2"/>
        <v>118185.86</v>
      </c>
      <c r="F17" s="13">
        <f t="shared" si="2"/>
        <v>120380.18</v>
      </c>
      <c r="G17" s="13">
        <f t="shared" si="2"/>
        <v>138048.65999999997</v>
      </c>
      <c r="H17" s="13">
        <f t="shared" si="2"/>
        <v>158556.37</v>
      </c>
      <c r="I17" s="13">
        <f t="shared" si="2"/>
        <v>136622.65</v>
      </c>
      <c r="J17" s="13">
        <f t="shared" si="2"/>
        <v>112473.84999999999</v>
      </c>
      <c r="K17" s="13">
        <f t="shared" si="2"/>
        <v>112473.84999999999</v>
      </c>
      <c r="L17" s="13">
        <f t="shared" si="2"/>
        <v>112473.84999999999</v>
      </c>
      <c r="M17" s="13">
        <f t="shared" si="2"/>
        <v>125437.07999999999</v>
      </c>
      <c r="N17" s="13">
        <f t="shared" si="2"/>
        <v>1491697.0300000003</v>
      </c>
      <c r="O17" s="13">
        <f t="shared" si="2"/>
        <v>745848.51500000013</v>
      </c>
      <c r="P17" s="7">
        <f>O17-O5</f>
        <v>349941.68500000006</v>
      </c>
    </row>
    <row r="18" spans="1:16" ht="13.8" thickTop="1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6" x14ac:dyDescent="0.25">
      <c r="A19" s="15" t="s">
        <v>205</v>
      </c>
      <c r="B19" s="14">
        <f>B17*0.5</f>
        <v>59531.074999999997</v>
      </c>
      <c r="C19" s="14">
        <f t="shared" ref="C19:M19" si="3">C17*0.5</f>
        <v>59495.574999999997</v>
      </c>
      <c r="D19" s="14">
        <f t="shared" si="3"/>
        <v>59495.689999999995</v>
      </c>
      <c r="E19" s="14">
        <f t="shared" si="3"/>
        <v>59092.93</v>
      </c>
      <c r="F19" s="14">
        <f t="shared" si="3"/>
        <v>60190.09</v>
      </c>
      <c r="G19" s="14">
        <f t="shared" si="3"/>
        <v>69024.329999999987</v>
      </c>
      <c r="H19" s="14">
        <f t="shared" si="3"/>
        <v>79278.184999999998</v>
      </c>
      <c r="I19" s="14">
        <f t="shared" si="3"/>
        <v>68311.324999999997</v>
      </c>
      <c r="J19" s="14">
        <f t="shared" si="3"/>
        <v>56236.924999999996</v>
      </c>
      <c r="K19" s="14">
        <f t="shared" si="3"/>
        <v>56236.924999999996</v>
      </c>
      <c r="L19" s="14">
        <f t="shared" si="3"/>
        <v>56236.924999999996</v>
      </c>
      <c r="M19" s="14">
        <f t="shared" si="3"/>
        <v>62718.539999999994</v>
      </c>
      <c r="N19" s="14"/>
      <c r="O19" s="14">
        <f>SUM(B19:M19)</f>
        <v>745848.51500000013</v>
      </c>
    </row>
    <row r="21" spans="1:16" ht="13.8" thickBot="1" x14ac:dyDescent="0.3">
      <c r="A21" s="189" t="s">
        <v>212</v>
      </c>
      <c r="B21" s="27">
        <f>SUM(B8:B16)</f>
        <v>49231.509999999995</v>
      </c>
      <c r="C21" s="27">
        <f t="shared" ref="C21:L21" si="4">SUM(C8:C16)</f>
        <v>49160.509999999995</v>
      </c>
      <c r="D21" s="27">
        <f t="shared" si="4"/>
        <v>49160.739999999991</v>
      </c>
      <c r="E21" s="27">
        <f t="shared" si="4"/>
        <v>57018.35</v>
      </c>
      <c r="F21" s="27">
        <f t="shared" si="4"/>
        <v>59212.67</v>
      </c>
      <c r="G21" s="27">
        <f t="shared" si="4"/>
        <v>75786.100000000006</v>
      </c>
      <c r="H21" s="27">
        <f t="shared" si="4"/>
        <v>96293.81</v>
      </c>
      <c r="I21" s="27">
        <f t="shared" si="4"/>
        <v>50211.289999999994</v>
      </c>
      <c r="J21" s="27">
        <f t="shared" si="4"/>
        <v>50211.289999999994</v>
      </c>
      <c r="K21" s="27">
        <f t="shared" si="4"/>
        <v>50211.289999999994</v>
      </c>
      <c r="L21" s="27">
        <f t="shared" si="4"/>
        <v>50211.289999999994</v>
      </c>
      <c r="M21" s="27">
        <f>SUM(M8:M16)</f>
        <v>63174.520000000004</v>
      </c>
      <c r="N21" s="27">
        <f>SUM(B21:M21)</f>
        <v>699883.37000000011</v>
      </c>
    </row>
    <row r="22" spans="1:16" ht="13.8" thickTop="1" x14ac:dyDescent="0.25">
      <c r="M22" s="16" t="s">
        <v>104</v>
      </c>
      <c r="N22" s="190">
        <v>0.5</v>
      </c>
    </row>
    <row r="23" spans="1:16" ht="13.8" thickBot="1" x14ac:dyDescent="0.3">
      <c r="N23" s="27">
        <f>N21*N22</f>
        <v>349941.68500000006</v>
      </c>
    </row>
    <row r="24" spans="1:16" ht="13.8" thickTop="1" x14ac:dyDescent="0.25"/>
    <row r="26" spans="1:16" ht="13.8" thickBot="1" x14ac:dyDescent="0.3">
      <c r="M26" s="16" t="s">
        <v>318</v>
      </c>
      <c r="N26" s="16" t="s">
        <v>319</v>
      </c>
    </row>
    <row r="27" spans="1:16" x14ac:dyDescent="0.25">
      <c r="L27" s="114" t="s">
        <v>106</v>
      </c>
      <c r="M27" s="29">
        <f>P7</f>
        <v>30583.755000000001</v>
      </c>
      <c r="N27" s="30">
        <f>'Colstrip 3&amp;4 2018'!P7</f>
        <v>32495.237499999999</v>
      </c>
    </row>
    <row r="28" spans="1:16" ht="13.8" thickBot="1" x14ac:dyDescent="0.3">
      <c r="K28" s="7"/>
      <c r="L28" s="191" t="s">
        <v>320</v>
      </c>
      <c r="M28" s="31">
        <f>M27*3</f>
        <v>91751.264999999999</v>
      </c>
      <c r="N28" s="32">
        <f>N27*3</f>
        <v>97485.712499999994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80" zoomScaleNormal="80" workbookViewId="0">
      <selection sqref="A1:XFD1048576"/>
    </sheetView>
  </sheetViews>
  <sheetFormatPr defaultColWidth="9.109375" defaultRowHeight="13.2" x14ac:dyDescent="0.25"/>
  <cols>
    <col min="1" max="1" width="41.6640625" style="16" bestFit="1" customWidth="1"/>
    <col min="2" max="6" width="12.6640625" style="16" bestFit="1" customWidth="1"/>
    <col min="7" max="7" width="11.5546875" style="16" bestFit="1" customWidth="1"/>
    <col min="8" max="12" width="12.6640625" style="16" bestFit="1" customWidth="1"/>
    <col min="13" max="13" width="11.33203125" style="16" bestFit="1" customWidth="1"/>
    <col min="14" max="14" width="14.5546875" style="16" bestFit="1" customWidth="1"/>
    <col min="15" max="15" width="18.88671875" style="16" bestFit="1" customWidth="1"/>
    <col min="16" max="16" width="13.109375" style="16" bestFit="1" customWidth="1"/>
    <col min="17" max="17" width="13.33203125" style="16" bestFit="1" customWidth="1"/>
    <col min="18" max="16384" width="9.109375" style="16"/>
  </cols>
  <sheetData>
    <row r="1" spans="1:17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4" spans="1:17" x14ac:dyDescent="0.25">
      <c r="A4" s="24" t="s">
        <v>134</v>
      </c>
      <c r="B4" s="25">
        <v>43101</v>
      </c>
      <c r="C4" s="25">
        <v>43132</v>
      </c>
      <c r="D4" s="25">
        <v>43160</v>
      </c>
      <c r="E4" s="25">
        <v>43191</v>
      </c>
      <c r="F4" s="25">
        <v>43221</v>
      </c>
      <c r="G4" s="25">
        <v>43252</v>
      </c>
      <c r="H4" s="25">
        <v>43282</v>
      </c>
      <c r="I4" s="25">
        <v>43313</v>
      </c>
      <c r="J4" s="25">
        <v>43344</v>
      </c>
      <c r="K4" s="25">
        <v>43374</v>
      </c>
      <c r="L4" s="25">
        <v>43405</v>
      </c>
      <c r="M4" s="25">
        <v>43435</v>
      </c>
      <c r="N4" s="25" t="s">
        <v>194</v>
      </c>
      <c r="O4" s="25" t="s">
        <v>206</v>
      </c>
    </row>
    <row r="5" spans="1:17" x14ac:dyDescent="0.25">
      <c r="A5" s="23" t="s">
        <v>131</v>
      </c>
      <c r="B5" s="7">
        <v>148390.1</v>
      </c>
      <c r="C5" s="7">
        <v>148390.1</v>
      </c>
      <c r="D5" s="7">
        <v>148390.1</v>
      </c>
      <c r="E5" s="7">
        <v>129980.95</v>
      </c>
      <c r="F5" s="7">
        <v>129980.95</v>
      </c>
      <c r="G5" s="187">
        <v>132307.93</v>
      </c>
      <c r="H5" s="7">
        <v>132307.93</v>
      </c>
      <c r="I5" s="7">
        <f>132307.93+51316.2</f>
        <v>183624.13</v>
      </c>
      <c r="J5" s="7">
        <v>132307.93</v>
      </c>
      <c r="K5" s="7">
        <v>132307.93</v>
      </c>
      <c r="L5" s="7">
        <v>132307.93</v>
      </c>
      <c r="M5" s="7">
        <v>132307.93</v>
      </c>
      <c r="N5" s="14">
        <f>SUM(B5:M5)</f>
        <v>1682603.9099999997</v>
      </c>
      <c r="O5" s="8">
        <f>N5*0.25</f>
        <v>420650.97749999992</v>
      </c>
      <c r="P5" s="7">
        <f>E5*12</f>
        <v>1559771.4</v>
      </c>
      <c r="Q5" s="16" t="s">
        <v>324</v>
      </c>
    </row>
    <row r="6" spans="1:17" x14ac:dyDescent="0.25">
      <c r="A6" s="23"/>
      <c r="G6" s="9"/>
      <c r="H6" s="9"/>
      <c r="I6" s="9"/>
      <c r="J6" s="9"/>
      <c r="K6" s="9"/>
      <c r="L6" s="9"/>
      <c r="M6" s="9"/>
      <c r="N6" s="14"/>
      <c r="O6" s="23"/>
      <c r="P6" s="7">
        <f>P5*0.25</f>
        <v>389942.85</v>
      </c>
      <c r="Q6" s="16" t="s">
        <v>323</v>
      </c>
    </row>
    <row r="7" spans="1:17" x14ac:dyDescent="0.25">
      <c r="A7" s="22" t="s">
        <v>135</v>
      </c>
      <c r="G7" s="9"/>
      <c r="H7" s="9"/>
      <c r="I7" s="9"/>
      <c r="J7" s="9"/>
      <c r="K7" s="9"/>
      <c r="L7" s="9"/>
      <c r="M7" s="9"/>
      <c r="N7" s="14"/>
      <c r="O7" s="23"/>
      <c r="P7" s="7">
        <f>P6/12</f>
        <v>32495.237499999999</v>
      </c>
      <c r="Q7" s="16" t="s">
        <v>322</v>
      </c>
    </row>
    <row r="8" spans="1:17" x14ac:dyDescent="0.25">
      <c r="A8" s="16" t="s">
        <v>200</v>
      </c>
      <c r="B8" s="7">
        <v>9353.6200000000008</v>
      </c>
      <c r="C8" s="7">
        <v>9353.6200000000008</v>
      </c>
      <c r="D8" s="7">
        <v>9353.6200000000008</v>
      </c>
      <c r="E8" s="7">
        <v>16712</v>
      </c>
      <c r="F8" s="7">
        <v>16712</v>
      </c>
      <c r="G8" s="188">
        <v>16712</v>
      </c>
      <c r="H8" s="7">
        <f>3709.2+42373.31+16712</f>
        <v>62794.509999999995</v>
      </c>
      <c r="I8" s="7">
        <v>16712</v>
      </c>
      <c r="J8" s="7">
        <v>16712</v>
      </c>
      <c r="K8" s="7">
        <v>16712</v>
      </c>
      <c r="L8" s="7">
        <v>16712</v>
      </c>
      <c r="M8" s="7">
        <v>16712</v>
      </c>
      <c r="N8" s="14">
        <f t="shared" ref="N8:N16" si="0">SUM(B8:M8)</f>
        <v>224551.37</v>
      </c>
      <c r="O8" s="8">
        <f t="shared" ref="O8:O16" si="1">N8*0.25</f>
        <v>56137.842499999999</v>
      </c>
    </row>
    <row r="9" spans="1:17" x14ac:dyDescent="0.25">
      <c r="A9" s="16" t="s">
        <v>125</v>
      </c>
      <c r="B9" s="7">
        <v>1235.48</v>
      </c>
      <c r="C9" s="7">
        <v>1235.48</v>
      </c>
      <c r="D9" s="7">
        <v>1235.48</v>
      </c>
      <c r="E9" s="7">
        <v>1059</v>
      </c>
      <c r="F9" s="7">
        <f>1186.08+127.08</f>
        <v>1313.1599999999999</v>
      </c>
      <c r="G9" s="188">
        <v>1186.08</v>
      </c>
      <c r="H9" s="7">
        <v>1186.08</v>
      </c>
      <c r="I9" s="7">
        <v>1186.08</v>
      </c>
      <c r="J9" s="7">
        <v>1186.08</v>
      </c>
      <c r="K9" s="7">
        <v>1186.08</v>
      </c>
      <c r="L9" s="7">
        <v>1186.08</v>
      </c>
      <c r="M9" s="7">
        <v>1186.08</v>
      </c>
      <c r="N9" s="14">
        <f t="shared" si="0"/>
        <v>14381.16</v>
      </c>
      <c r="O9" s="8">
        <f t="shared" si="1"/>
        <v>3595.29</v>
      </c>
    </row>
    <row r="10" spans="1:17" x14ac:dyDescent="0.25">
      <c r="A10" s="16" t="s">
        <v>126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9"/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14">
        <f t="shared" si="0"/>
        <v>0</v>
      </c>
      <c r="O10" s="8">
        <f t="shared" si="1"/>
        <v>0</v>
      </c>
    </row>
    <row r="11" spans="1:17" x14ac:dyDescent="0.25">
      <c r="A11" s="16" t="s">
        <v>127</v>
      </c>
      <c r="B11" s="7">
        <v>1116.47</v>
      </c>
      <c r="C11" s="7">
        <v>1116.47</v>
      </c>
      <c r="D11" s="7">
        <v>1116.47</v>
      </c>
      <c r="E11" s="10">
        <v>1479</v>
      </c>
      <c r="F11" s="7">
        <v>1479</v>
      </c>
      <c r="G11" s="188">
        <v>1479</v>
      </c>
      <c r="H11" s="7">
        <v>1479</v>
      </c>
      <c r="I11" s="7">
        <v>1479</v>
      </c>
      <c r="J11" s="7">
        <v>1479</v>
      </c>
      <c r="K11" s="7">
        <v>1479</v>
      </c>
      <c r="L11" s="7">
        <v>1479</v>
      </c>
      <c r="M11" s="7">
        <v>1479</v>
      </c>
      <c r="N11" s="14">
        <f t="shared" si="0"/>
        <v>16660.41</v>
      </c>
      <c r="O11" s="8">
        <f t="shared" si="1"/>
        <v>4165.1025</v>
      </c>
    </row>
    <row r="12" spans="1:17" x14ac:dyDescent="0.25">
      <c r="A12" s="16" t="s">
        <v>172</v>
      </c>
      <c r="B12" s="7">
        <v>2390.0300000000002</v>
      </c>
      <c r="C12" s="7">
        <v>2390.0300000000002</v>
      </c>
      <c r="D12" s="7">
        <v>2390.0300000000002</v>
      </c>
      <c r="E12" s="7">
        <v>2415</v>
      </c>
      <c r="F12" s="7">
        <f>2415+3025</f>
        <v>5440</v>
      </c>
      <c r="G12" s="187">
        <v>21123.27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14">
        <f t="shared" si="0"/>
        <v>36148.36</v>
      </c>
      <c r="O12" s="8">
        <f t="shared" si="1"/>
        <v>9037.09</v>
      </c>
    </row>
    <row r="13" spans="1:17" x14ac:dyDescent="0.25">
      <c r="A13" s="16" t="s">
        <v>173</v>
      </c>
      <c r="B13" s="11">
        <v>3921.1</v>
      </c>
      <c r="C13" s="11">
        <v>3921.1</v>
      </c>
      <c r="D13" s="11">
        <v>3921.1</v>
      </c>
      <c r="E13" s="7">
        <v>3900.5</v>
      </c>
      <c r="F13" s="7">
        <v>3323.98</v>
      </c>
      <c r="G13" s="187">
        <v>6831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14">
        <f t="shared" si="0"/>
        <v>25818.78</v>
      </c>
      <c r="O13" s="8">
        <f t="shared" si="1"/>
        <v>6454.6949999999997</v>
      </c>
    </row>
    <row r="14" spans="1:17" x14ac:dyDescent="0.25">
      <c r="A14" s="16" t="s">
        <v>201</v>
      </c>
      <c r="B14" s="7">
        <v>680.83</v>
      </c>
      <c r="C14" s="7">
        <v>680.83</v>
      </c>
      <c r="D14" s="7">
        <v>680.83</v>
      </c>
      <c r="E14" s="7">
        <v>774.52</v>
      </c>
      <c r="F14" s="7">
        <v>774.52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14">
        <f t="shared" si="0"/>
        <v>3591.53</v>
      </c>
      <c r="O14" s="8">
        <f t="shared" si="1"/>
        <v>897.88250000000005</v>
      </c>
    </row>
    <row r="15" spans="1:17" x14ac:dyDescent="0.25">
      <c r="A15" s="16" t="s">
        <v>207</v>
      </c>
      <c r="B15" s="7">
        <v>1716</v>
      </c>
      <c r="C15" s="7">
        <v>2065</v>
      </c>
      <c r="D15" s="7">
        <f>2064.65+23.45</f>
        <v>2088.1</v>
      </c>
      <c r="E15" s="7">
        <v>2099.9299999999998</v>
      </c>
      <c r="F15" s="7">
        <v>2064.65</v>
      </c>
      <c r="G15" s="7">
        <v>2064.65</v>
      </c>
      <c r="H15" s="7">
        <v>2064.65</v>
      </c>
      <c r="I15" s="7">
        <v>2064.65</v>
      </c>
      <c r="J15" s="7">
        <v>2064.65</v>
      </c>
      <c r="K15" s="7">
        <v>2064.65</v>
      </c>
      <c r="L15" s="7">
        <v>2064.65</v>
      </c>
      <c r="M15" s="7">
        <v>2064.65</v>
      </c>
      <c r="N15" s="14">
        <f t="shared" si="0"/>
        <v>24486.230000000003</v>
      </c>
      <c r="O15" s="8">
        <f t="shared" si="1"/>
        <v>6121.5575000000008</v>
      </c>
    </row>
    <row r="16" spans="1:17" x14ac:dyDescent="0.25">
      <c r="A16" s="26" t="s">
        <v>208</v>
      </c>
      <c r="B16" s="7">
        <v>41622.01</v>
      </c>
      <c r="C16" s="7">
        <v>41622.01</v>
      </c>
      <c r="D16" s="7">
        <v>41622.01</v>
      </c>
      <c r="E16" s="7">
        <v>41622.01</v>
      </c>
      <c r="F16" s="7">
        <v>41622.01</v>
      </c>
      <c r="G16" s="187">
        <v>41622.01</v>
      </c>
      <c r="H16" s="7">
        <v>41622.01</v>
      </c>
      <c r="I16" s="7">
        <v>41622.01</v>
      </c>
      <c r="J16" s="7">
        <v>41622.01</v>
      </c>
      <c r="K16" s="7">
        <v>41622.01</v>
      </c>
      <c r="L16" s="7">
        <v>41622.01</v>
      </c>
      <c r="M16" s="187">
        <v>59017.63</v>
      </c>
      <c r="N16" s="14">
        <f t="shared" si="0"/>
        <v>516859.74000000005</v>
      </c>
      <c r="O16" s="8">
        <f t="shared" si="1"/>
        <v>129214.93500000001</v>
      </c>
    </row>
    <row r="17" spans="1:16" ht="13.8" thickBot="1" x14ac:dyDescent="0.3">
      <c r="A17" s="12" t="s">
        <v>204</v>
      </c>
      <c r="B17" s="27">
        <f>SUM(B5:B16)</f>
        <v>210425.64</v>
      </c>
      <c r="C17" s="27">
        <f>SUM(C5:C16)</f>
        <v>210774.64</v>
      </c>
      <c r="D17" s="27">
        <f t="shared" ref="D17:O17" si="2">SUM(D5:D16)</f>
        <v>210797.74000000002</v>
      </c>
      <c r="E17" s="27">
        <f t="shared" si="2"/>
        <v>200042.91</v>
      </c>
      <c r="F17" s="27">
        <f t="shared" si="2"/>
        <v>202710.27000000002</v>
      </c>
      <c r="G17" s="27">
        <f t="shared" si="2"/>
        <v>223325.93999999997</v>
      </c>
      <c r="H17" s="27">
        <f t="shared" si="2"/>
        <v>241454.18</v>
      </c>
      <c r="I17" s="27">
        <f t="shared" si="2"/>
        <v>246687.87</v>
      </c>
      <c r="J17" s="27">
        <f t="shared" si="2"/>
        <v>195371.66999999998</v>
      </c>
      <c r="K17" s="27">
        <f t="shared" si="2"/>
        <v>195371.66999999998</v>
      </c>
      <c r="L17" s="27">
        <f t="shared" si="2"/>
        <v>195371.66999999998</v>
      </c>
      <c r="M17" s="27">
        <f t="shared" si="2"/>
        <v>212767.28999999998</v>
      </c>
      <c r="N17" s="27">
        <f t="shared" si="2"/>
        <v>2545101.4899999998</v>
      </c>
      <c r="O17" s="27">
        <f t="shared" si="2"/>
        <v>636275.37249999994</v>
      </c>
      <c r="P17" s="7">
        <f>O17-O5</f>
        <v>215624.39500000002</v>
      </c>
    </row>
    <row r="18" spans="1:16" ht="13.8" thickTop="1" x14ac:dyDescent="0.25"/>
    <row r="19" spans="1:16" x14ac:dyDescent="0.25">
      <c r="A19" s="15" t="s">
        <v>209</v>
      </c>
      <c r="B19" s="17">
        <f>B17*0.25</f>
        <v>52606.41</v>
      </c>
      <c r="C19" s="17">
        <f>C17*0.25</f>
        <v>52693.66</v>
      </c>
      <c r="D19" s="17">
        <f>D17*0.25</f>
        <v>52699.435000000005</v>
      </c>
      <c r="E19" s="17">
        <f t="shared" ref="E19:M19" si="3">E17*0.25</f>
        <v>50010.727500000001</v>
      </c>
      <c r="F19" s="17">
        <f t="shared" si="3"/>
        <v>50677.567500000005</v>
      </c>
      <c r="G19" s="17">
        <f t="shared" si="3"/>
        <v>55831.484999999993</v>
      </c>
      <c r="H19" s="17">
        <f t="shared" si="3"/>
        <v>60363.544999999998</v>
      </c>
      <c r="I19" s="17">
        <f t="shared" si="3"/>
        <v>61671.967499999999</v>
      </c>
      <c r="J19" s="17">
        <f t="shared" si="3"/>
        <v>48842.917499999996</v>
      </c>
      <c r="K19" s="17">
        <f t="shared" si="3"/>
        <v>48842.917499999996</v>
      </c>
      <c r="L19" s="17">
        <f t="shared" si="3"/>
        <v>48842.917499999996</v>
      </c>
      <c r="M19" s="17">
        <f t="shared" si="3"/>
        <v>53191.822499999995</v>
      </c>
      <c r="O19" s="17">
        <f>SUM(B19:M19)</f>
        <v>636275.37249999994</v>
      </c>
    </row>
    <row r="21" spans="1:16" ht="13.8" thickBot="1" x14ac:dyDescent="0.3">
      <c r="A21" s="189" t="s">
        <v>212</v>
      </c>
      <c r="B21" s="27">
        <f t="shared" ref="B21:L21" si="4">SUM(B8:B16)</f>
        <v>62035.540000000008</v>
      </c>
      <c r="C21" s="27">
        <f t="shared" si="4"/>
        <v>62384.540000000008</v>
      </c>
      <c r="D21" s="27">
        <f t="shared" si="4"/>
        <v>62407.64</v>
      </c>
      <c r="E21" s="27">
        <f t="shared" si="4"/>
        <v>70061.960000000006</v>
      </c>
      <c r="F21" s="27">
        <f t="shared" si="4"/>
        <v>72729.320000000007</v>
      </c>
      <c r="G21" s="27">
        <f t="shared" si="4"/>
        <v>91018.010000000009</v>
      </c>
      <c r="H21" s="27">
        <f t="shared" si="4"/>
        <v>109146.25</v>
      </c>
      <c r="I21" s="27">
        <f t="shared" si="4"/>
        <v>63063.740000000005</v>
      </c>
      <c r="J21" s="27">
        <f t="shared" si="4"/>
        <v>63063.740000000005</v>
      </c>
      <c r="K21" s="27">
        <f t="shared" si="4"/>
        <v>63063.740000000005</v>
      </c>
      <c r="L21" s="27">
        <f t="shared" si="4"/>
        <v>63063.740000000005</v>
      </c>
      <c r="M21" s="27">
        <f>SUM(M8:M16)</f>
        <v>80459.360000000001</v>
      </c>
      <c r="N21" s="27">
        <f>SUM(B21:M21)</f>
        <v>862497.58</v>
      </c>
    </row>
    <row r="22" spans="1:16" ht="13.8" thickTop="1" x14ac:dyDescent="0.25">
      <c r="M22" s="16" t="s">
        <v>104</v>
      </c>
      <c r="N22" s="190">
        <v>0.25</v>
      </c>
    </row>
    <row r="23" spans="1:16" ht="13.8" thickBot="1" x14ac:dyDescent="0.3">
      <c r="N23" s="27">
        <f>N21*N22</f>
        <v>215624.39499999999</v>
      </c>
    </row>
    <row r="24" spans="1:16" ht="13.8" thickTop="1" x14ac:dyDescent="0.25">
      <c r="N24" s="28"/>
    </row>
    <row r="25" spans="1:16" x14ac:dyDescent="0.25">
      <c r="N25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sqref="A1:XFD1048576"/>
    </sheetView>
  </sheetViews>
  <sheetFormatPr defaultColWidth="9.109375" defaultRowHeight="13.2" x14ac:dyDescent="0.25"/>
  <cols>
    <col min="1" max="1" width="6.6640625" style="263" customWidth="1"/>
    <col min="2" max="2" width="30.33203125" style="263" bestFit="1" customWidth="1"/>
    <col min="3" max="3" width="4.6640625" style="263" customWidth="1"/>
    <col min="4" max="4" width="11.88671875" style="263" bestFit="1" customWidth="1"/>
    <col min="5" max="5" width="13.44140625" style="263" bestFit="1" customWidth="1"/>
    <col min="6" max="6" width="14.6640625" style="263" bestFit="1" customWidth="1"/>
    <col min="7" max="7" width="13.44140625" style="263" bestFit="1" customWidth="1"/>
    <col min="8" max="8" width="14.6640625" style="263" bestFit="1" customWidth="1"/>
    <col min="9" max="16384" width="9.109375" style="263"/>
  </cols>
  <sheetData>
    <row r="1" spans="1:9" x14ac:dyDescent="0.25">
      <c r="A1" s="481"/>
      <c r="B1" s="482"/>
      <c r="C1" s="482"/>
      <c r="D1" s="483"/>
      <c r="E1" s="483"/>
      <c r="F1" s="483"/>
      <c r="G1" s="484"/>
      <c r="H1" s="484"/>
    </row>
    <row r="2" spans="1:9" x14ac:dyDescent="0.25">
      <c r="A2" s="481" t="s">
        <v>0</v>
      </c>
      <c r="B2" s="485"/>
      <c r="C2" s="485"/>
      <c r="D2" s="486"/>
      <c r="E2" s="486"/>
      <c r="F2" s="486"/>
      <c r="G2" s="484"/>
      <c r="H2" s="484"/>
    </row>
    <row r="3" spans="1:9" x14ac:dyDescent="0.25">
      <c r="A3" s="483" t="s">
        <v>167</v>
      </c>
      <c r="B3" s="487"/>
      <c r="C3" s="487"/>
      <c r="D3" s="488"/>
      <c r="E3" s="488"/>
      <c r="F3" s="488"/>
      <c r="G3" s="484"/>
      <c r="H3" s="484"/>
    </row>
    <row r="4" spans="1:9" x14ac:dyDescent="0.25">
      <c r="A4" s="481" t="s">
        <v>213</v>
      </c>
      <c r="B4" s="482"/>
      <c r="C4" s="482"/>
      <c r="D4" s="483"/>
      <c r="E4" s="483"/>
      <c r="F4" s="483"/>
      <c r="G4" s="484"/>
      <c r="H4" s="484"/>
    </row>
    <row r="5" spans="1:9" x14ac:dyDescent="0.25">
      <c r="A5" s="481"/>
      <c r="B5" s="482"/>
      <c r="C5" s="482"/>
      <c r="D5" s="483"/>
      <c r="E5" s="483"/>
      <c r="F5" s="483"/>
    </row>
    <row r="6" spans="1:9" ht="13.8" x14ac:dyDescent="0.25">
      <c r="A6" s="489"/>
      <c r="B6" s="489"/>
      <c r="C6" s="489"/>
      <c r="D6" s="490" t="s">
        <v>303</v>
      </c>
      <c r="E6" s="490"/>
      <c r="F6" s="490" t="s">
        <v>162</v>
      </c>
      <c r="G6" s="490"/>
      <c r="H6" s="490" t="s">
        <v>216</v>
      </c>
    </row>
    <row r="7" spans="1:9" ht="13.8" x14ac:dyDescent="0.25">
      <c r="A7" s="490" t="s">
        <v>1</v>
      </c>
      <c r="B7" s="490"/>
      <c r="C7" s="490"/>
      <c r="D7" s="491" t="s">
        <v>4</v>
      </c>
      <c r="E7" s="491" t="s">
        <v>162</v>
      </c>
      <c r="F7" s="491" t="s">
        <v>5</v>
      </c>
      <c r="G7" s="491" t="s">
        <v>216</v>
      </c>
      <c r="H7" s="491" t="s">
        <v>5</v>
      </c>
    </row>
    <row r="8" spans="1:9" ht="13.8" x14ac:dyDescent="0.25">
      <c r="A8" s="492" t="s">
        <v>2</v>
      </c>
      <c r="B8" s="492" t="s">
        <v>3</v>
      </c>
      <c r="C8" s="492" t="s">
        <v>304</v>
      </c>
      <c r="D8" s="493" t="s">
        <v>305</v>
      </c>
      <c r="E8" s="493" t="s">
        <v>306</v>
      </c>
      <c r="F8" s="493" t="s">
        <v>307</v>
      </c>
      <c r="G8" s="493" t="s">
        <v>308</v>
      </c>
      <c r="H8" s="493" t="s">
        <v>309</v>
      </c>
    </row>
    <row r="9" spans="1:9" ht="13.8" x14ac:dyDescent="0.25">
      <c r="A9" s="494"/>
      <c r="B9" s="494"/>
      <c r="C9" s="494"/>
      <c r="D9" s="491"/>
      <c r="E9" s="491"/>
      <c r="F9" s="491"/>
      <c r="G9" s="491"/>
      <c r="H9" s="491"/>
    </row>
    <row r="10" spans="1:9" x14ac:dyDescent="0.25">
      <c r="A10" s="495">
        <v>1</v>
      </c>
      <c r="B10" s="494" t="s">
        <v>6</v>
      </c>
      <c r="C10" s="494"/>
      <c r="D10" s="496">
        <f>'Summary Prop &amp; Liab Ins'!H16</f>
        <v>149851.99538199999</v>
      </c>
      <c r="E10" s="496">
        <f>'Summary Prop &amp; Liab Ins'!L16</f>
        <v>121922.86461600001</v>
      </c>
      <c r="F10" s="497">
        <f>E10-D10</f>
        <v>-27929.130765999987</v>
      </c>
      <c r="G10" s="390">
        <f>'Summary Prop &amp; Liab Ins'!T16</f>
        <v>139710.59841226495</v>
      </c>
      <c r="H10" s="390">
        <f>G10-E10</f>
        <v>17787.733796264947</v>
      </c>
    </row>
    <row r="11" spans="1:9" x14ac:dyDescent="0.25">
      <c r="A11" s="495">
        <f>A10+1</f>
        <v>2</v>
      </c>
      <c r="B11" s="494" t="s">
        <v>7</v>
      </c>
      <c r="C11" s="494"/>
      <c r="D11" s="498">
        <f>'Summary Prop &amp; Liab Ins'!H42</f>
        <v>1079998.6559106729</v>
      </c>
      <c r="E11" s="498">
        <f>'Summary Prop &amp; Liab Ins'!L42</f>
        <v>1174568.4443488119</v>
      </c>
      <c r="F11" s="497">
        <f>E11-D11</f>
        <v>94569.788438139018</v>
      </c>
      <c r="G11" s="390">
        <f>'Summary Prop &amp; Liab Ins'!T42</f>
        <v>1187768.3315261228</v>
      </c>
      <c r="H11" s="390">
        <f t="shared" ref="H11" si="0">G11-E11</f>
        <v>13199.887177310884</v>
      </c>
      <c r="I11" s="16"/>
    </row>
    <row r="12" spans="1:9" x14ac:dyDescent="0.25">
      <c r="A12" s="495">
        <f>A11+1</f>
        <v>3</v>
      </c>
      <c r="B12" s="499" t="s">
        <v>8</v>
      </c>
      <c r="C12" s="499"/>
      <c r="D12" s="500">
        <f>SUM(D10:D11)</f>
        <v>1229850.6512926728</v>
      </c>
      <c r="E12" s="500">
        <f>SUM(E10:E11)</f>
        <v>1296491.308964812</v>
      </c>
      <c r="F12" s="501">
        <f>SUM(F10:F11)</f>
        <v>66640.65767213903</v>
      </c>
      <c r="G12" s="502">
        <f>SUM(G10:G11)</f>
        <v>1327478.9299383876</v>
      </c>
      <c r="H12" s="502">
        <f>SUM(H10:H11)</f>
        <v>30987.620973575831</v>
      </c>
    </row>
    <row r="13" spans="1:9" ht="13.8" x14ac:dyDescent="0.3">
      <c r="A13" s="495">
        <f>A12+1</f>
        <v>4</v>
      </c>
      <c r="B13" s="499"/>
      <c r="C13" s="499"/>
      <c r="D13" s="503"/>
      <c r="E13" s="504"/>
      <c r="F13" s="505"/>
    </row>
    <row r="14" spans="1:9" x14ac:dyDescent="0.25">
      <c r="A14" s="495">
        <f>A13+1</f>
        <v>5</v>
      </c>
      <c r="B14" s="499" t="s">
        <v>310</v>
      </c>
      <c r="C14" s="506">
        <v>0.21</v>
      </c>
      <c r="D14" s="507">
        <f t="shared" ref="D14:E14" si="1">-D12*$C$14</f>
        <v>-258268.63677146129</v>
      </c>
      <c r="E14" s="507">
        <f t="shared" si="1"/>
        <v>-272263.1748826105</v>
      </c>
      <c r="F14" s="497">
        <f>E14-D14</f>
        <v>-13994.538111149217</v>
      </c>
      <c r="G14" s="390">
        <f>-G12*C14</f>
        <v>-278770.57528706139</v>
      </c>
      <c r="H14" s="390">
        <f t="shared" ref="H14" si="2">G14-E14</f>
        <v>-6507.4004044508911</v>
      </c>
    </row>
    <row r="15" spans="1:9" ht="13.8" thickBot="1" x14ac:dyDescent="0.3">
      <c r="A15" s="495">
        <f>A14+1</f>
        <v>6</v>
      </c>
      <c r="B15" s="499" t="s">
        <v>9</v>
      </c>
      <c r="C15" s="499"/>
      <c r="D15" s="508">
        <f>-D12-D14</f>
        <v>-971582.01452121162</v>
      </c>
      <c r="E15" s="508">
        <f t="shared" ref="E15:H15" si="3">-E12-E14</f>
        <v>-1024228.1340822014</v>
      </c>
      <c r="F15" s="508">
        <f t="shared" si="3"/>
        <v>-52646.119560989813</v>
      </c>
      <c r="G15" s="508">
        <f t="shared" si="3"/>
        <v>-1048708.3546513263</v>
      </c>
      <c r="H15" s="508">
        <f t="shared" si="3"/>
        <v>-24480.22056912494</v>
      </c>
    </row>
    <row r="16" spans="1:9" ht="13.8" thickTop="1" x14ac:dyDescent="0.25">
      <c r="D16" s="427"/>
      <c r="E16" s="427"/>
      <c r="F16" s="427"/>
    </row>
    <row r="17" spans="4:9" x14ac:dyDescent="0.25">
      <c r="D17" s="427"/>
      <c r="E17" s="427"/>
      <c r="F17" s="427"/>
    </row>
    <row r="32" spans="4:9" x14ac:dyDescent="0.25">
      <c r="I32" s="16"/>
    </row>
    <row r="33" spans="2:9" x14ac:dyDescent="0.25">
      <c r="I33" s="16"/>
    </row>
    <row r="34" spans="2:9" x14ac:dyDescent="0.25">
      <c r="I34" s="16"/>
    </row>
    <row r="35" spans="2:9" x14ac:dyDescent="0.25">
      <c r="I35" s="16"/>
    </row>
    <row r="36" spans="2:9" x14ac:dyDescent="0.25">
      <c r="I36" s="16"/>
    </row>
    <row r="37" spans="2:9" x14ac:dyDescent="0.25">
      <c r="I37" s="16"/>
    </row>
    <row r="38" spans="2:9" x14ac:dyDescent="0.25">
      <c r="B38" s="16"/>
      <c r="C38" s="16"/>
      <c r="D38" s="7"/>
      <c r="E38" s="7"/>
      <c r="F38" s="7"/>
      <c r="G38" s="7"/>
      <c r="H38" s="7"/>
      <c r="I38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57"/>
  <sheetViews>
    <sheetView zoomScale="83" zoomScaleNormal="83" workbookViewId="0">
      <pane xSplit="4" ySplit="8" topLeftCell="G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3.2" x14ac:dyDescent="0.25"/>
  <cols>
    <col min="1" max="1" width="2.6640625" style="16" customWidth="1"/>
    <col min="2" max="2" width="18.5546875" style="16" customWidth="1"/>
    <col min="3" max="3" width="64.6640625" style="16" customWidth="1"/>
    <col min="4" max="4" width="8.33203125" style="16" bestFit="1" customWidth="1"/>
    <col min="5" max="5" width="17" style="16" bestFit="1" customWidth="1"/>
    <col min="6" max="6" width="10.6640625" style="35" bestFit="1" customWidth="1"/>
    <col min="7" max="7" width="15.109375" style="35" bestFit="1" customWidth="1"/>
    <col min="8" max="8" width="11.88671875" style="16" bestFit="1" customWidth="1"/>
    <col min="9" max="9" width="2.33203125" style="16" customWidth="1"/>
    <col min="10" max="10" width="10.6640625" style="16" bestFit="1" customWidth="1"/>
    <col min="11" max="11" width="13" style="16" bestFit="1" customWidth="1"/>
    <col min="12" max="12" width="12.109375" style="16" customWidth="1"/>
    <col min="13" max="13" width="1.5546875" style="16" customWidth="1"/>
    <col min="14" max="15" width="11.5546875" style="16" bestFit="1" customWidth="1"/>
    <col min="16" max="16" width="10.6640625" style="16" bestFit="1" customWidth="1"/>
    <col min="17" max="17" width="2.6640625" style="16" customWidth="1"/>
    <col min="18" max="18" width="13.109375" style="16" bestFit="1" customWidth="1"/>
    <col min="19" max="19" width="14.109375" style="16" bestFit="1" customWidth="1"/>
    <col min="20" max="20" width="13.109375" style="16" bestFit="1" customWidth="1"/>
    <col min="21" max="21" width="2.88671875" style="16" customWidth="1"/>
    <col min="22" max="22" width="13.6640625" style="16" bestFit="1" customWidth="1"/>
    <col min="23" max="23" width="13.44140625" style="16" bestFit="1" customWidth="1"/>
    <col min="24" max="24" width="11.6640625" style="16" bestFit="1" customWidth="1"/>
    <col min="25" max="16384" width="8.88671875" style="16"/>
  </cols>
  <sheetData>
    <row r="2" spans="2:24" x14ac:dyDescent="0.25">
      <c r="B2" s="15" t="s">
        <v>16</v>
      </c>
      <c r="H2" s="36"/>
      <c r="I2" s="36"/>
      <c r="J2" s="36"/>
      <c r="K2" s="36"/>
      <c r="L2" s="37"/>
      <c r="M2" s="37"/>
      <c r="N2" s="37"/>
    </row>
    <row r="3" spans="2:24" x14ac:dyDescent="0.25">
      <c r="B3" s="15" t="s">
        <v>33</v>
      </c>
      <c r="H3" s="36"/>
      <c r="I3" s="36"/>
      <c r="J3" s="36"/>
      <c r="K3" s="36"/>
      <c r="L3" s="37"/>
      <c r="M3" s="37"/>
      <c r="N3" s="37"/>
    </row>
    <row r="4" spans="2:24" x14ac:dyDescent="0.25">
      <c r="B4" s="15" t="s">
        <v>211</v>
      </c>
      <c r="H4" s="36"/>
      <c r="I4" s="36"/>
      <c r="J4" s="36"/>
      <c r="K4" s="36"/>
      <c r="L4" s="37"/>
      <c r="M4" s="37"/>
      <c r="N4" s="37"/>
    </row>
    <row r="5" spans="2:24" ht="13.8" thickBot="1" x14ac:dyDescent="0.3">
      <c r="C5" s="37"/>
      <c r="D5" s="37"/>
      <c r="E5" s="37"/>
      <c r="F5" s="38"/>
      <c r="G5" s="38"/>
      <c r="H5" s="37"/>
      <c r="I5" s="37"/>
      <c r="J5" s="37"/>
      <c r="K5" s="37"/>
      <c r="L5" s="37"/>
      <c r="M5" s="37"/>
      <c r="N5" s="37"/>
    </row>
    <row r="6" spans="2:24" ht="20.399999999999999" customHeight="1" x14ac:dyDescent="0.25">
      <c r="B6" s="511" t="s">
        <v>160</v>
      </c>
      <c r="C6" s="512"/>
      <c r="D6" s="512"/>
      <c r="E6" s="512"/>
      <c r="F6" s="512"/>
      <c r="G6" s="512"/>
      <c r="H6" s="513"/>
      <c r="J6" s="39"/>
      <c r="K6" s="40" t="s">
        <v>162</v>
      </c>
      <c r="L6" s="41"/>
      <c r="N6" s="42" t="s">
        <v>152</v>
      </c>
      <c r="O6" s="43"/>
      <c r="P6" s="44"/>
      <c r="R6" s="45"/>
      <c r="S6" s="40" t="s">
        <v>216</v>
      </c>
      <c r="T6" s="46"/>
      <c r="V6" s="42" t="s">
        <v>152</v>
      </c>
      <c r="W6" s="43"/>
      <c r="X6" s="44"/>
    </row>
    <row r="7" spans="2:24" x14ac:dyDescent="0.25">
      <c r="B7" s="47" t="s">
        <v>30</v>
      </c>
      <c r="C7" s="48" t="s">
        <v>29</v>
      </c>
      <c r="D7" s="48" t="s">
        <v>28</v>
      </c>
      <c r="E7" s="49"/>
      <c r="F7" s="49" t="s">
        <v>27</v>
      </c>
      <c r="G7" s="48" t="s">
        <v>17</v>
      </c>
      <c r="H7" s="50" t="s">
        <v>18</v>
      </c>
      <c r="J7" s="51" t="s">
        <v>27</v>
      </c>
      <c r="K7" s="52" t="s">
        <v>17</v>
      </c>
      <c r="L7" s="53" t="s">
        <v>18</v>
      </c>
      <c r="N7" s="54" t="s">
        <v>27</v>
      </c>
      <c r="O7" s="55" t="s">
        <v>17</v>
      </c>
      <c r="P7" s="56" t="s">
        <v>18</v>
      </c>
      <c r="R7" s="57" t="s">
        <v>27</v>
      </c>
      <c r="S7" s="58" t="s">
        <v>17</v>
      </c>
      <c r="T7" s="59" t="s">
        <v>18</v>
      </c>
      <c r="V7" s="54" t="s">
        <v>27</v>
      </c>
      <c r="W7" s="55" t="s">
        <v>17</v>
      </c>
      <c r="X7" s="56" t="s">
        <v>18</v>
      </c>
    </row>
    <row r="8" spans="2:24" x14ac:dyDescent="0.25">
      <c r="B8" s="60"/>
      <c r="C8" s="61"/>
      <c r="D8" s="61"/>
      <c r="E8" s="61"/>
      <c r="F8" s="61"/>
      <c r="G8" s="62">
        <v>0.6038</v>
      </c>
      <c r="H8" s="63">
        <v>0.3962</v>
      </c>
      <c r="J8" s="64"/>
      <c r="K8" s="65">
        <f>G8</f>
        <v>0.6038</v>
      </c>
      <c r="L8" s="66">
        <f>H8</f>
        <v>0.3962</v>
      </c>
      <c r="N8" s="67"/>
      <c r="O8" s="68"/>
      <c r="P8" s="69"/>
      <c r="R8" s="67"/>
      <c r="S8" s="65">
        <f>K8</f>
        <v>0.6038</v>
      </c>
      <c r="T8" s="66">
        <f>L8</f>
        <v>0.3962</v>
      </c>
      <c r="V8" s="67"/>
      <c r="W8" s="65">
        <f>S8</f>
        <v>0.6038</v>
      </c>
      <c r="X8" s="66">
        <f>T8</f>
        <v>0.3962</v>
      </c>
    </row>
    <row r="9" spans="2:24" x14ac:dyDescent="0.25">
      <c r="B9" s="70" t="s">
        <v>86</v>
      </c>
      <c r="C9" s="71" t="s">
        <v>82</v>
      </c>
      <c r="D9" s="72" t="s">
        <v>18</v>
      </c>
      <c r="E9" s="73">
        <f>'SAP Download'!B5+'SAP Download'!B6</f>
        <v>60057.579999999987</v>
      </c>
      <c r="F9" s="74"/>
      <c r="G9" s="19">
        <v>0</v>
      </c>
      <c r="H9" s="75">
        <f>E9</f>
        <v>60057.579999999987</v>
      </c>
      <c r="J9" s="76">
        <f>Proposal!E14</f>
        <v>55925.691136000001</v>
      </c>
      <c r="K9" s="77"/>
      <c r="L9" s="78">
        <f>J9</f>
        <v>55925.691136000001</v>
      </c>
      <c r="M9" s="79"/>
      <c r="N9" s="76">
        <f>J9-SUM(E9:F9)</f>
        <v>-4131.8888639999859</v>
      </c>
      <c r="O9" s="80">
        <f>K9-G9</f>
        <v>0</v>
      </c>
      <c r="P9" s="78">
        <f>L9-H9</f>
        <v>-4131.8888639999859</v>
      </c>
      <c r="R9" s="81">
        <f>Amortiz!L17</f>
        <v>65077.607985050425</v>
      </c>
      <c r="S9" s="58"/>
      <c r="T9" s="75">
        <f>R9</f>
        <v>65077.607985050425</v>
      </c>
      <c r="V9" s="76">
        <f>R9-J9</f>
        <v>9151.9168490504235</v>
      </c>
      <c r="W9" s="80">
        <f>S9-K9</f>
        <v>0</v>
      </c>
      <c r="X9" s="78">
        <f>T9-L9</f>
        <v>9151.9168490504235</v>
      </c>
    </row>
    <row r="10" spans="2:24" x14ac:dyDescent="0.25">
      <c r="B10" s="70">
        <v>92400013</v>
      </c>
      <c r="C10" s="71" t="s">
        <v>81</v>
      </c>
      <c r="D10" s="72" t="s">
        <v>17</v>
      </c>
      <c r="E10" s="73">
        <f>'SAP Download'!B7</f>
        <v>2606398.02</v>
      </c>
      <c r="F10" s="74"/>
      <c r="G10" s="19">
        <f>E10</f>
        <v>2606398.02</v>
      </c>
      <c r="H10" s="75">
        <v>0</v>
      </c>
      <c r="J10" s="82">
        <f>Proposal!E4+Proposal!E8</f>
        <v>2483803.1934000002</v>
      </c>
      <c r="K10" s="83">
        <f>J10</f>
        <v>2483803.1934000002</v>
      </c>
      <c r="L10" s="84"/>
      <c r="M10" s="79"/>
      <c r="N10" s="82">
        <f t="shared" ref="N10:N13" si="0">J10-SUM(E10:F10)</f>
        <v>-122594.8265999998</v>
      </c>
      <c r="O10" s="83">
        <f t="shared" ref="O10:P14" si="1">K10-G10</f>
        <v>-122594.8265999998</v>
      </c>
      <c r="P10" s="84">
        <f t="shared" si="1"/>
        <v>0</v>
      </c>
      <c r="R10" s="81">
        <f>Amortiz!L7+Amortiz!L11</f>
        <v>2981697.2738404209</v>
      </c>
      <c r="S10" s="19">
        <f>R10</f>
        <v>2981697.2738404209</v>
      </c>
      <c r="T10" s="85">
        <v>0</v>
      </c>
      <c r="V10" s="86">
        <f t="shared" ref="V10:V14" si="2">R10-J10</f>
        <v>497894.08044042066</v>
      </c>
      <c r="W10" s="80">
        <f t="shared" ref="W10:W14" si="3">S10-K10</f>
        <v>497894.08044042066</v>
      </c>
      <c r="X10" s="84">
        <f>T10-L10</f>
        <v>0</v>
      </c>
    </row>
    <row r="11" spans="2:24" x14ac:dyDescent="0.25">
      <c r="B11" s="70">
        <v>92400005</v>
      </c>
      <c r="C11" s="71" t="s">
        <v>107</v>
      </c>
      <c r="D11" s="72" t="s">
        <v>17</v>
      </c>
      <c r="E11" s="73">
        <f>'Colstrip Ins '!O9+'Colstrip Ins '!O33</f>
        <v>783749.46750000003</v>
      </c>
      <c r="F11" s="74"/>
      <c r="G11" s="19">
        <f>E11</f>
        <v>783749.46750000003</v>
      </c>
      <c r="H11" s="75">
        <v>0</v>
      </c>
      <c r="J11" s="82">
        <f>Proposal!E5+Proposal!E6</f>
        <v>756947.90999999992</v>
      </c>
      <c r="K11" s="83">
        <f>J11</f>
        <v>756947.90999999992</v>
      </c>
      <c r="L11" s="84"/>
      <c r="M11" s="79"/>
      <c r="N11" s="82">
        <f t="shared" si="0"/>
        <v>-26801.557500000112</v>
      </c>
      <c r="O11" s="83">
        <f t="shared" si="1"/>
        <v>-26801.557500000112</v>
      </c>
      <c r="P11" s="84">
        <f t="shared" si="1"/>
        <v>0</v>
      </c>
      <c r="R11" s="81">
        <f>Amortiz!L8+Amortiz!L9</f>
        <v>761458</v>
      </c>
      <c r="S11" s="19">
        <f>R11</f>
        <v>761458</v>
      </c>
      <c r="T11" s="85">
        <v>0</v>
      </c>
      <c r="V11" s="86">
        <f t="shared" si="2"/>
        <v>4510.0900000000838</v>
      </c>
      <c r="W11" s="80">
        <f t="shared" si="3"/>
        <v>4510.0900000000838</v>
      </c>
      <c r="X11" s="84">
        <f t="shared" ref="X11:X14" si="4">T11-L11</f>
        <v>0</v>
      </c>
    </row>
    <row r="12" spans="2:24" x14ac:dyDescent="0.25">
      <c r="B12" s="70">
        <v>92400005</v>
      </c>
      <c r="C12" s="71" t="s">
        <v>146</v>
      </c>
      <c r="D12" s="72" t="s">
        <v>17</v>
      </c>
      <c r="E12" s="73">
        <f>'Freddy1 Ins 2018'!O5</f>
        <v>145719.74700166669</v>
      </c>
      <c r="F12" s="74"/>
      <c r="G12" s="19">
        <f>E12</f>
        <v>145719.74700166669</v>
      </c>
      <c r="H12" s="75">
        <v>0</v>
      </c>
      <c r="J12" s="82">
        <f>Proposal!E7</f>
        <v>147552.0660041667</v>
      </c>
      <c r="K12" s="83">
        <f>J12</f>
        <v>147552.0660041667</v>
      </c>
      <c r="L12" s="84"/>
      <c r="M12" s="79"/>
      <c r="N12" s="82">
        <f t="shared" si="0"/>
        <v>1832.3190025000076</v>
      </c>
      <c r="O12" s="83">
        <f t="shared" si="1"/>
        <v>1832.3190025000076</v>
      </c>
      <c r="P12" s="84">
        <f t="shared" si="1"/>
        <v>0</v>
      </c>
      <c r="R12" s="81">
        <f>Amortiz!L10</f>
        <v>152284</v>
      </c>
      <c r="S12" s="19">
        <f>R12</f>
        <v>152284</v>
      </c>
      <c r="T12" s="85">
        <v>0</v>
      </c>
      <c r="V12" s="86">
        <f t="shared" si="2"/>
        <v>4731.9339958333003</v>
      </c>
      <c r="W12" s="80">
        <f t="shared" si="3"/>
        <v>4731.9339958333003</v>
      </c>
      <c r="X12" s="84">
        <f t="shared" si="4"/>
        <v>0</v>
      </c>
    </row>
    <row r="13" spans="2:24" x14ac:dyDescent="0.25">
      <c r="B13" s="70">
        <v>92400634</v>
      </c>
      <c r="C13" s="71" t="s">
        <v>38</v>
      </c>
      <c r="D13" s="72" t="s">
        <v>31</v>
      </c>
      <c r="E13" s="19"/>
      <c r="F13" s="73">
        <f>'SAP Download'!B8</f>
        <v>197881.39</v>
      </c>
      <c r="G13" s="19">
        <f>F13*G8</f>
        <v>119480.783282</v>
      </c>
      <c r="H13" s="75">
        <f>F13*H8</f>
        <v>78400.60671800001</v>
      </c>
      <c r="J13" s="82">
        <f>Proposal!E18</f>
        <v>138587.79</v>
      </c>
      <c r="K13" s="83">
        <f>$J13*K$8</f>
        <v>83679.307602000001</v>
      </c>
      <c r="L13" s="84">
        <f>$J13*L$8</f>
        <v>54908.482398</v>
      </c>
      <c r="M13" s="79"/>
      <c r="N13" s="82">
        <f t="shared" si="0"/>
        <v>-59293.600000000006</v>
      </c>
      <c r="O13" s="83">
        <f t="shared" si="1"/>
        <v>-35801.475680000003</v>
      </c>
      <c r="P13" s="84">
        <f t="shared" si="1"/>
        <v>-23492.12432000001</v>
      </c>
      <c r="R13" s="81">
        <f>Amortiz!L21</f>
        <v>160146.61016460005</v>
      </c>
      <c r="S13" s="19">
        <f>R13*S8</f>
        <v>96696.523217385504</v>
      </c>
      <c r="T13" s="75">
        <f>R13*T8</f>
        <v>63450.086947214535</v>
      </c>
      <c r="V13" s="86">
        <f t="shared" si="2"/>
        <v>21558.820164600038</v>
      </c>
      <c r="W13" s="80">
        <f t="shared" si="3"/>
        <v>13017.215615385503</v>
      </c>
      <c r="X13" s="84">
        <f t="shared" si="4"/>
        <v>8541.6045492145349</v>
      </c>
    </row>
    <row r="14" spans="2:24" s="58" customFormat="1" x14ac:dyDescent="0.25">
      <c r="B14" s="70">
        <v>92400635</v>
      </c>
      <c r="C14" s="71" t="s">
        <v>23</v>
      </c>
      <c r="D14" s="72" t="s">
        <v>31</v>
      </c>
      <c r="E14" s="19"/>
      <c r="F14" s="73">
        <f>'SAP Download'!B9</f>
        <v>28757.719999999998</v>
      </c>
      <c r="G14" s="19">
        <f>F14*$G$8</f>
        <v>17363.911335999997</v>
      </c>
      <c r="H14" s="75">
        <f>F14*$H$8</f>
        <v>11393.808663999998</v>
      </c>
      <c r="J14" s="82">
        <f>Proposal!E19</f>
        <v>27987.61</v>
      </c>
      <c r="K14" s="83">
        <f>$J14*K$8</f>
        <v>16898.918917999999</v>
      </c>
      <c r="L14" s="84">
        <f>$J14*L$8</f>
        <v>11088.691081999999</v>
      </c>
      <c r="M14" s="77"/>
      <c r="N14" s="82">
        <f t="shared" ref="N14" si="5">J14-SUM(E14:F14)</f>
        <v>-770.10999999999694</v>
      </c>
      <c r="O14" s="83">
        <f t="shared" si="1"/>
        <v>-464.992417999998</v>
      </c>
      <c r="P14" s="84">
        <f t="shared" si="1"/>
        <v>-305.11758199999895</v>
      </c>
      <c r="R14" s="81">
        <f>Amortiz!L22</f>
        <v>28225.400000000009</v>
      </c>
      <c r="S14" s="19">
        <f>S8*R14</f>
        <v>17042.496520000004</v>
      </c>
      <c r="T14" s="75">
        <f>T8*R14</f>
        <v>11182.903480000003</v>
      </c>
      <c r="V14" s="86">
        <f t="shared" si="2"/>
        <v>237.79000000000815</v>
      </c>
      <c r="W14" s="80">
        <f t="shared" si="3"/>
        <v>143.57760200000484</v>
      </c>
      <c r="X14" s="84">
        <f t="shared" si="4"/>
        <v>94.212398000003304</v>
      </c>
    </row>
    <row r="15" spans="2:24" x14ac:dyDescent="0.25">
      <c r="B15" s="87"/>
      <c r="C15" s="71"/>
      <c r="D15" s="72"/>
      <c r="E15" s="88"/>
      <c r="F15" s="73"/>
      <c r="G15" s="19"/>
      <c r="H15" s="75"/>
      <c r="J15" s="82"/>
      <c r="K15" s="83"/>
      <c r="L15" s="84"/>
      <c r="M15" s="79"/>
      <c r="N15" s="82"/>
      <c r="O15" s="83"/>
      <c r="P15" s="84"/>
      <c r="R15" s="57"/>
      <c r="S15" s="58"/>
      <c r="T15" s="59"/>
      <c r="V15" s="82"/>
      <c r="W15" s="83"/>
      <c r="X15" s="84"/>
    </row>
    <row r="16" spans="2:24" ht="13.8" thickBot="1" x14ac:dyDescent="0.3">
      <c r="B16" s="87"/>
      <c r="C16" s="89" t="s">
        <v>37</v>
      </c>
      <c r="D16" s="72"/>
      <c r="E16" s="90">
        <f>SUM(E9:E15)</f>
        <v>3595924.8145016665</v>
      </c>
      <c r="F16" s="91">
        <f>SUM(F9:F15)</f>
        <v>226639.11000000002</v>
      </c>
      <c r="G16" s="92">
        <f>SUM(G9:G15)</f>
        <v>3672711.9291196666</v>
      </c>
      <c r="H16" s="93">
        <f>SUM(H9:H15)</f>
        <v>149851.99538199999</v>
      </c>
      <c r="J16" s="94">
        <f>SUM(J9:J15)</f>
        <v>3610804.2605401669</v>
      </c>
      <c r="K16" s="95">
        <f>SUM(K9:K15)</f>
        <v>3488881.3959241672</v>
      </c>
      <c r="L16" s="96">
        <f>SUM(L9:L15)</f>
        <v>121922.86461600001</v>
      </c>
      <c r="M16" s="79"/>
      <c r="N16" s="94">
        <f>SUM(N9:N15)</f>
        <v>-211759.66396149987</v>
      </c>
      <c r="O16" s="95">
        <f>SUM(O9:O15)</f>
        <v>-183830.53319549991</v>
      </c>
      <c r="P16" s="96">
        <f>SUM(P9:P15)</f>
        <v>-27929.130765999995</v>
      </c>
      <c r="R16" s="97">
        <f>SUM(R9:R15)</f>
        <v>4148888.8919900712</v>
      </c>
      <c r="S16" s="98">
        <f>SUM(S9:S15)</f>
        <v>4009178.2935778066</v>
      </c>
      <c r="T16" s="99">
        <f>SUM(T9:T15)</f>
        <v>139710.59841226495</v>
      </c>
      <c r="V16" s="94">
        <f>SUM(V9:V15)</f>
        <v>538084.63144990453</v>
      </c>
      <c r="W16" s="95">
        <f>SUM(W9:W15)</f>
        <v>520296.89765363955</v>
      </c>
      <c r="X16" s="96">
        <f>SUM(X9:X15)</f>
        <v>17787.733796264962</v>
      </c>
    </row>
    <row r="17" spans="2:24" ht="14.4" thickTop="1" thickBot="1" x14ac:dyDescent="0.3">
      <c r="B17" s="100"/>
      <c r="C17" s="101"/>
      <c r="D17" s="102"/>
      <c r="E17" s="102"/>
      <c r="F17" s="103"/>
      <c r="G17" s="104"/>
      <c r="H17" s="105"/>
      <c r="J17" s="106"/>
      <c r="K17" s="107"/>
      <c r="L17" s="108"/>
      <c r="M17" s="79"/>
      <c r="N17" s="109"/>
      <c r="O17" s="107"/>
      <c r="P17" s="108"/>
      <c r="R17" s="109"/>
      <c r="S17" s="110"/>
      <c r="T17" s="111"/>
      <c r="V17" s="109"/>
      <c r="W17" s="107"/>
      <c r="X17" s="108"/>
    </row>
    <row r="18" spans="2:24" ht="13.8" thickBot="1" x14ac:dyDescent="0.3">
      <c r="B18" s="71"/>
      <c r="C18" s="55"/>
      <c r="D18" s="55"/>
      <c r="E18" s="55"/>
      <c r="F18" s="55"/>
      <c r="G18" s="55"/>
      <c r="H18" s="55"/>
      <c r="I18" s="71"/>
      <c r="J18" s="112"/>
      <c r="K18" s="112"/>
      <c r="L18" s="112"/>
      <c r="M18" s="77"/>
      <c r="N18" s="55"/>
      <c r="O18" s="112"/>
      <c r="P18" s="112"/>
      <c r="Q18" s="58"/>
      <c r="R18" s="112"/>
      <c r="S18" s="112"/>
      <c r="T18" s="112"/>
      <c r="U18" s="58"/>
      <c r="V18" s="55"/>
      <c r="W18" s="112"/>
      <c r="X18" s="112"/>
    </row>
    <row r="19" spans="2:24" ht="19.2" customHeight="1" x14ac:dyDescent="0.25">
      <c r="B19" s="514" t="s">
        <v>161</v>
      </c>
      <c r="C19" s="515"/>
      <c r="D19" s="515"/>
      <c r="E19" s="515"/>
      <c r="F19" s="515"/>
      <c r="G19" s="515"/>
      <c r="H19" s="516"/>
      <c r="I19" s="113"/>
      <c r="J19" s="39"/>
      <c r="K19" s="40" t="s">
        <v>162</v>
      </c>
      <c r="L19" s="41"/>
      <c r="N19" s="114"/>
      <c r="O19" s="115"/>
      <c r="P19" s="116"/>
      <c r="R19" s="45"/>
      <c r="S19" s="117" t="s">
        <v>353</v>
      </c>
      <c r="T19" s="46"/>
      <c r="V19" s="114"/>
      <c r="W19" s="115"/>
      <c r="X19" s="116"/>
    </row>
    <row r="20" spans="2:24" x14ac:dyDescent="0.25">
      <c r="B20" s="47" t="s">
        <v>30</v>
      </c>
      <c r="C20" s="48" t="s">
        <v>29</v>
      </c>
      <c r="D20" s="48" t="s">
        <v>28</v>
      </c>
      <c r="E20" s="48"/>
      <c r="F20" s="48" t="s">
        <v>27</v>
      </c>
      <c r="G20" s="48" t="s">
        <v>17</v>
      </c>
      <c r="H20" s="50" t="s">
        <v>18</v>
      </c>
      <c r="I20" s="113"/>
      <c r="J20" s="54" t="s">
        <v>27</v>
      </c>
      <c r="K20" s="55" t="s">
        <v>17</v>
      </c>
      <c r="L20" s="56" t="s">
        <v>18</v>
      </c>
      <c r="N20" s="57"/>
      <c r="O20" s="58"/>
      <c r="P20" s="59"/>
      <c r="R20" s="54" t="s">
        <v>27</v>
      </c>
      <c r="S20" s="55" t="s">
        <v>17</v>
      </c>
      <c r="T20" s="56" t="s">
        <v>18</v>
      </c>
      <c r="V20" s="57"/>
      <c r="W20" s="58"/>
      <c r="X20" s="59"/>
    </row>
    <row r="21" spans="2:24" x14ac:dyDescent="0.25">
      <c r="B21" s="60"/>
      <c r="C21" s="61"/>
      <c r="D21" s="61"/>
      <c r="E21" s="61"/>
      <c r="F21" s="61"/>
      <c r="G21" s="62">
        <v>0.58050000000000002</v>
      </c>
      <c r="H21" s="63">
        <v>0.41949999999999998</v>
      </c>
      <c r="I21" s="113"/>
      <c r="J21" s="67"/>
      <c r="K21" s="65">
        <f>G21</f>
        <v>0.58050000000000002</v>
      </c>
      <c r="L21" s="66">
        <f>H21</f>
        <v>0.41949999999999998</v>
      </c>
      <c r="N21" s="57"/>
      <c r="O21" s="58"/>
      <c r="P21" s="59"/>
      <c r="R21" s="67"/>
      <c r="S21" s="65">
        <f>K21</f>
        <v>0.58050000000000002</v>
      </c>
      <c r="T21" s="66">
        <f>L21</f>
        <v>0.41949999999999998</v>
      </c>
      <c r="V21" s="57"/>
      <c r="W21" s="58"/>
      <c r="X21" s="59"/>
    </row>
    <row r="22" spans="2:24" x14ac:dyDescent="0.25">
      <c r="B22" s="70">
        <v>92500602</v>
      </c>
      <c r="C22" s="71" t="s">
        <v>20</v>
      </c>
      <c r="D22" s="72" t="s">
        <v>31</v>
      </c>
      <c r="E22" s="73"/>
      <c r="F22" s="88">
        <f>'SAP Download'!B13</f>
        <v>482997.92</v>
      </c>
      <c r="G22" s="88">
        <f>$G$21*F22</f>
        <v>280380.29255999997</v>
      </c>
      <c r="H22" s="118">
        <f>$H$21*F22</f>
        <v>202617.62743999998</v>
      </c>
      <c r="I22" s="113"/>
      <c r="J22" s="82"/>
      <c r="K22" s="83"/>
      <c r="L22" s="84"/>
      <c r="M22" s="79"/>
      <c r="N22" s="57"/>
      <c r="O22" s="58"/>
      <c r="P22" s="59"/>
      <c r="R22" s="57"/>
      <c r="S22" s="58"/>
      <c r="T22" s="59"/>
      <c r="V22" s="57"/>
      <c r="W22" s="58"/>
      <c r="X22" s="59"/>
    </row>
    <row r="23" spans="2:24" x14ac:dyDescent="0.25">
      <c r="B23" s="70">
        <v>92500636</v>
      </c>
      <c r="C23" s="71" t="s">
        <v>89</v>
      </c>
      <c r="D23" s="72" t="s">
        <v>31</v>
      </c>
      <c r="E23" s="73"/>
      <c r="F23" s="88">
        <f>'SAP Download'!B14</f>
        <v>0</v>
      </c>
      <c r="G23" s="88">
        <f>$G$21*F23</f>
        <v>0</v>
      </c>
      <c r="H23" s="118">
        <f>$H$21*F23</f>
        <v>0</v>
      </c>
      <c r="I23" s="113"/>
      <c r="J23" s="82"/>
      <c r="K23" s="83"/>
      <c r="L23" s="84"/>
      <c r="M23" s="79"/>
      <c r="N23" s="119"/>
      <c r="O23" s="120"/>
      <c r="P23" s="121"/>
      <c r="R23" s="57"/>
      <c r="S23" s="58"/>
      <c r="T23" s="59"/>
      <c r="V23" s="119"/>
      <c r="W23" s="120"/>
      <c r="X23" s="121"/>
    </row>
    <row r="24" spans="2:24" x14ac:dyDescent="0.25">
      <c r="B24" s="70">
        <v>92500637</v>
      </c>
      <c r="C24" s="71" t="s">
        <v>32</v>
      </c>
      <c r="D24" s="72" t="s">
        <v>31</v>
      </c>
      <c r="E24" s="73"/>
      <c r="F24" s="88">
        <f>'SAP Download'!B15</f>
        <v>4325123.3400000008</v>
      </c>
      <c r="G24" s="88">
        <f>$G$21*F24</f>
        <v>2510734.0988700003</v>
      </c>
      <c r="H24" s="118">
        <f>$H$21*F24</f>
        <v>1814389.2411300002</v>
      </c>
      <c r="I24" s="113"/>
      <c r="J24" s="82"/>
      <c r="K24" s="83"/>
      <c r="L24" s="84"/>
      <c r="M24" s="79"/>
      <c r="N24" s="119"/>
      <c r="O24" s="120"/>
      <c r="P24" s="121"/>
      <c r="R24" s="57"/>
      <c r="S24" s="58"/>
      <c r="T24" s="59"/>
      <c r="V24" s="119"/>
      <c r="W24" s="120"/>
      <c r="X24" s="121"/>
    </row>
    <row r="25" spans="2:24" x14ac:dyDescent="0.25">
      <c r="B25" s="70">
        <v>92500638</v>
      </c>
      <c r="C25" s="71" t="s">
        <v>22</v>
      </c>
      <c r="D25" s="72" t="s">
        <v>31</v>
      </c>
      <c r="E25" s="73"/>
      <c r="F25" s="88">
        <f>'SAP Download'!B16</f>
        <v>122500</v>
      </c>
      <c r="G25" s="88">
        <f>$G$21*F25</f>
        <v>71111.25</v>
      </c>
      <c r="H25" s="118">
        <f>$H$21*F25</f>
        <v>51388.75</v>
      </c>
      <c r="I25" s="113"/>
      <c r="J25" s="82"/>
      <c r="K25" s="83"/>
      <c r="L25" s="84"/>
      <c r="M25" s="79"/>
      <c r="N25" s="119"/>
      <c r="O25" s="120"/>
      <c r="P25" s="121"/>
      <c r="R25" s="57"/>
      <c r="S25" s="58"/>
      <c r="T25" s="59"/>
      <c r="V25" s="119"/>
      <c r="W25" s="120"/>
      <c r="X25" s="121"/>
    </row>
    <row r="26" spans="2:24" x14ac:dyDescent="0.25">
      <c r="B26" s="70">
        <v>92500702</v>
      </c>
      <c r="C26" s="71" t="s">
        <v>39</v>
      </c>
      <c r="D26" s="72" t="s">
        <v>31</v>
      </c>
      <c r="E26" s="122"/>
      <c r="F26" s="88">
        <f>'SAP Download'!B17</f>
        <v>0</v>
      </c>
      <c r="G26" s="88">
        <f>$G$21*F26</f>
        <v>0</v>
      </c>
      <c r="H26" s="118">
        <f>$H$21*F26</f>
        <v>0</v>
      </c>
      <c r="I26" s="113"/>
      <c r="J26" s="82"/>
      <c r="K26" s="83"/>
      <c r="L26" s="84"/>
      <c r="M26" s="79"/>
      <c r="N26" s="119"/>
      <c r="O26" s="120"/>
      <c r="P26" s="121"/>
      <c r="R26" s="67"/>
      <c r="S26" s="123"/>
      <c r="T26" s="124"/>
      <c r="V26" s="119"/>
      <c r="W26" s="120"/>
      <c r="X26" s="121"/>
    </row>
    <row r="27" spans="2:24" x14ac:dyDescent="0.25">
      <c r="B27" s="87"/>
      <c r="C27" s="89" t="s">
        <v>69</v>
      </c>
      <c r="D27" s="72"/>
      <c r="E27" s="125">
        <f>SUM(E22:E26)</f>
        <v>0</v>
      </c>
      <c r="F27" s="126">
        <f>SUM(F22:F26)</f>
        <v>4930621.2600000007</v>
      </c>
      <c r="G27" s="126">
        <f>SUM(G22:G26)</f>
        <v>2862225.6414300003</v>
      </c>
      <c r="H27" s="127">
        <f>SUM(H22:H26)</f>
        <v>2068395.6185700002</v>
      </c>
      <c r="I27" s="128"/>
      <c r="J27" s="129">
        <f>SUM('Liability Ins - RY'!D11:D37)</f>
        <v>5342838.43</v>
      </c>
      <c r="K27" s="130">
        <f>$J27*K$21</f>
        <v>3101517.7086149999</v>
      </c>
      <c r="L27" s="131">
        <f>$J27*L$21</f>
        <v>2241320.7213849998</v>
      </c>
      <c r="M27" s="79"/>
      <c r="N27" s="129">
        <f t="shared" ref="N27" si="6">J27-SUM(E27:F27)</f>
        <v>412217.16999999899</v>
      </c>
      <c r="O27" s="130">
        <f t="shared" ref="O27:P27" si="7">K27-G27</f>
        <v>239292.06718499959</v>
      </c>
      <c r="P27" s="131">
        <f t="shared" si="7"/>
        <v>172925.10281499964</v>
      </c>
      <c r="R27" s="132">
        <f>SUM('Liability Ins - RY (2)'!D11:D37)</f>
        <v>5403147.8200000003</v>
      </c>
      <c r="S27" s="19">
        <f>R27*S21</f>
        <v>3136527.3095100001</v>
      </c>
      <c r="T27" s="75">
        <f>R27*T21</f>
        <v>2266620.5104900002</v>
      </c>
      <c r="V27" s="129">
        <f>R27-J27</f>
        <v>60309.390000000596</v>
      </c>
      <c r="W27" s="130">
        <f>S27-K27</f>
        <v>35009.600895000156</v>
      </c>
      <c r="X27" s="131">
        <f>T27-L27</f>
        <v>25299.78910500044</v>
      </c>
    </row>
    <row r="28" spans="2:24" ht="17.399999999999999" x14ac:dyDescent="0.25">
      <c r="B28" s="133" t="s">
        <v>354</v>
      </c>
      <c r="C28" s="55"/>
      <c r="D28" s="134"/>
      <c r="E28" s="135"/>
      <c r="F28" s="136">
        <f>G28</f>
        <v>0.49997132880489842</v>
      </c>
      <c r="G28" s="137">
        <v>0.49997132880489842</v>
      </c>
      <c r="H28" s="138">
        <f>G28</f>
        <v>0.49997132880489842</v>
      </c>
      <c r="I28" s="113"/>
      <c r="J28" s="139">
        <f>G28</f>
        <v>0.49997132880489842</v>
      </c>
      <c r="K28" s="140">
        <f>J28</f>
        <v>0.49997132880489842</v>
      </c>
      <c r="L28" s="141">
        <f>K28</f>
        <v>0.49997132880489842</v>
      </c>
      <c r="M28" s="142"/>
      <c r="N28" s="139">
        <f>J28</f>
        <v>0.49997132880489842</v>
      </c>
      <c r="O28" s="140">
        <f>K28</f>
        <v>0.49997132880489842</v>
      </c>
      <c r="P28" s="141">
        <f>L28</f>
        <v>0.49997132880489842</v>
      </c>
      <c r="R28" s="143">
        <f>J28</f>
        <v>0.49997132880489842</v>
      </c>
      <c r="S28" s="144">
        <f>O28</f>
        <v>0.49997132880489842</v>
      </c>
      <c r="T28" s="145">
        <f>P28</f>
        <v>0.49997132880489842</v>
      </c>
      <c r="V28" s="139">
        <f>R28</f>
        <v>0.49997132880489842</v>
      </c>
      <c r="W28" s="140">
        <f>S28</f>
        <v>0.49997132880489842</v>
      </c>
      <c r="X28" s="141">
        <f>T28</f>
        <v>0.49997132880489842</v>
      </c>
    </row>
    <row r="29" spans="2:24" x14ac:dyDescent="0.25">
      <c r="B29" s="70"/>
      <c r="C29" s="89" t="s">
        <v>70</v>
      </c>
      <c r="D29" s="72"/>
      <c r="E29" s="55"/>
      <c r="F29" s="146">
        <f>F27*F28</f>
        <v>2465169.263195883</v>
      </c>
      <c r="G29" s="125">
        <f>G27*G28</f>
        <v>1431030.7572852101</v>
      </c>
      <c r="H29" s="147">
        <f>H27*H28</f>
        <v>1034138.5059106728</v>
      </c>
      <c r="I29" s="113"/>
      <c r="J29" s="129">
        <f>J27*J28</f>
        <v>2671266.0294369771</v>
      </c>
      <c r="K29" s="130">
        <f>K27*K28</f>
        <v>1550669.9300881652</v>
      </c>
      <c r="L29" s="131">
        <f>L27*L28</f>
        <v>1120596.0993488119</v>
      </c>
      <c r="M29" s="79"/>
      <c r="N29" s="129">
        <f t="shared" ref="N29" si="8">J29-SUM(E29:F29)</f>
        <v>206096.7662410941</v>
      </c>
      <c r="O29" s="130">
        <f t="shared" ref="O29:P29" si="9">K29-G29</f>
        <v>119639.17280295515</v>
      </c>
      <c r="P29" s="131">
        <f t="shared" si="9"/>
        <v>86457.593438139069</v>
      </c>
      <c r="R29" s="81">
        <f>R27*R28</f>
        <v>2701418.9952946901</v>
      </c>
      <c r="S29" s="19">
        <f>S27*S28</f>
        <v>1568173.7267685677</v>
      </c>
      <c r="T29" s="75">
        <f>T27*T28</f>
        <v>1133245.2685261227</v>
      </c>
      <c r="V29" s="129">
        <f>R29-J29</f>
        <v>30152.965857713018</v>
      </c>
      <c r="W29" s="130">
        <f>S29-K29</f>
        <v>17503.796680402476</v>
      </c>
      <c r="X29" s="131">
        <f>T29-L29</f>
        <v>12649.169177310774</v>
      </c>
    </row>
    <row r="30" spans="2:24" x14ac:dyDescent="0.25">
      <c r="B30" s="70"/>
      <c r="C30" s="89"/>
      <c r="D30" s="72"/>
      <c r="E30" s="55"/>
      <c r="F30" s="148"/>
      <c r="G30" s="149"/>
      <c r="H30" s="150"/>
      <c r="I30" s="113"/>
      <c r="J30" s="82"/>
      <c r="K30" s="151"/>
      <c r="L30" s="152"/>
      <c r="M30" s="79"/>
      <c r="N30" s="119"/>
      <c r="O30" s="151"/>
      <c r="P30" s="152"/>
      <c r="R30" s="57"/>
      <c r="S30" s="58"/>
      <c r="T30" s="59"/>
      <c r="V30" s="119"/>
      <c r="W30" s="151"/>
      <c r="X30" s="152"/>
    </row>
    <row r="31" spans="2:24" x14ac:dyDescent="0.25">
      <c r="B31" s="47" t="s">
        <v>30</v>
      </c>
      <c r="C31" s="48" t="s">
        <v>29</v>
      </c>
      <c r="D31" s="48" t="s">
        <v>28</v>
      </c>
      <c r="E31" s="52"/>
      <c r="F31" s="52" t="s">
        <v>27</v>
      </c>
      <c r="G31" s="48" t="s">
        <v>17</v>
      </c>
      <c r="H31" s="50" t="s">
        <v>18</v>
      </c>
      <c r="I31" s="113"/>
      <c r="J31" s="54" t="s">
        <v>27</v>
      </c>
      <c r="K31" s="55" t="s">
        <v>17</v>
      </c>
      <c r="L31" s="56" t="s">
        <v>18</v>
      </c>
      <c r="N31" s="54" t="s">
        <v>27</v>
      </c>
      <c r="O31" s="55" t="s">
        <v>17</v>
      </c>
      <c r="P31" s="56" t="s">
        <v>18</v>
      </c>
      <c r="R31" s="57" t="s">
        <v>27</v>
      </c>
      <c r="S31" s="58" t="s">
        <v>17</v>
      </c>
      <c r="T31" s="59" t="s">
        <v>18</v>
      </c>
      <c r="V31" s="54" t="s">
        <v>27</v>
      </c>
      <c r="W31" s="55" t="s">
        <v>17</v>
      </c>
      <c r="X31" s="56" t="s">
        <v>18</v>
      </c>
    </row>
    <row r="32" spans="2:24" x14ac:dyDescent="0.25">
      <c r="B32" s="60"/>
      <c r="C32" s="61"/>
      <c r="D32" s="61"/>
      <c r="E32" s="61"/>
      <c r="F32" s="61"/>
      <c r="G32" s="62">
        <f>G8</f>
        <v>0.6038</v>
      </c>
      <c r="H32" s="63">
        <f>H8</f>
        <v>0.3962</v>
      </c>
      <c r="I32" s="113"/>
      <c r="J32" s="67"/>
      <c r="K32" s="65">
        <f>G32</f>
        <v>0.6038</v>
      </c>
      <c r="L32" s="66">
        <f>H32</f>
        <v>0.3962</v>
      </c>
      <c r="N32" s="67"/>
      <c r="O32" s="68"/>
      <c r="P32" s="69"/>
      <c r="R32" s="67"/>
      <c r="S32" s="65">
        <f>K32</f>
        <v>0.6038</v>
      </c>
      <c r="T32" s="66">
        <f>L32</f>
        <v>0.3962</v>
      </c>
      <c r="V32" s="67"/>
      <c r="W32" s="68"/>
      <c r="X32" s="69"/>
    </row>
    <row r="33" spans="2:24" x14ac:dyDescent="0.25">
      <c r="B33" s="70">
        <v>92400605</v>
      </c>
      <c r="C33" s="71" t="s">
        <v>19</v>
      </c>
      <c r="D33" s="72" t="s">
        <v>31</v>
      </c>
      <c r="E33" s="72"/>
      <c r="F33" s="73">
        <v>0</v>
      </c>
      <c r="G33" s="88">
        <f>$G$32*F33</f>
        <v>0</v>
      </c>
      <c r="H33" s="118">
        <f>$H$32*F33</f>
        <v>0</v>
      </c>
      <c r="I33" s="153"/>
      <c r="J33" s="82"/>
      <c r="K33" s="83"/>
      <c r="L33" s="84"/>
      <c r="M33" s="79"/>
      <c r="N33" s="154"/>
      <c r="O33" s="120"/>
      <c r="P33" s="121"/>
      <c r="R33" s="57"/>
      <c r="S33" s="58"/>
      <c r="T33" s="59"/>
      <c r="V33" s="154"/>
      <c r="W33" s="120"/>
      <c r="X33" s="121"/>
    </row>
    <row r="34" spans="2:24" x14ac:dyDescent="0.25">
      <c r="B34" s="70">
        <v>92400631</v>
      </c>
      <c r="C34" s="71" t="s">
        <v>24</v>
      </c>
      <c r="D34" s="72" t="s">
        <v>31</v>
      </c>
      <c r="E34" s="72"/>
      <c r="F34" s="73">
        <f>'SAP Download'!B18</f>
        <v>0</v>
      </c>
      <c r="G34" s="88">
        <f>$G$32*F34</f>
        <v>0</v>
      </c>
      <c r="H34" s="118">
        <f>$H$32*F34</f>
        <v>0</v>
      </c>
      <c r="I34" s="153"/>
      <c r="J34" s="82">
        <f>'Liability Ins - RY'!D41</f>
        <v>13725</v>
      </c>
      <c r="K34" s="83">
        <f>$J34*K$32</f>
        <v>8287.1550000000007</v>
      </c>
      <c r="L34" s="84">
        <f>$J34*L$32</f>
        <v>5437.8450000000003</v>
      </c>
      <c r="M34" s="79"/>
      <c r="N34" s="82">
        <f t="shared" ref="N34:N35" si="10">J34-SUM(E34:F34)</f>
        <v>13725</v>
      </c>
      <c r="O34" s="83">
        <f t="shared" ref="O34:P35" si="11">K34-G34</f>
        <v>8287.1550000000007</v>
      </c>
      <c r="P34" s="84">
        <f t="shared" si="11"/>
        <v>5437.8450000000003</v>
      </c>
      <c r="R34" s="132">
        <f>'Liability Ins - RY (2)'!D41</f>
        <v>15115</v>
      </c>
      <c r="S34" s="10">
        <f>R34*S32</f>
        <v>9126.4369999999999</v>
      </c>
      <c r="T34" s="155">
        <f>R34*T32</f>
        <v>5988.5630000000001</v>
      </c>
      <c r="V34" s="82">
        <f t="shared" ref="V34:X35" si="12">R34-J34</f>
        <v>1390</v>
      </c>
      <c r="W34" s="83">
        <f t="shared" si="12"/>
        <v>839.28199999999924</v>
      </c>
      <c r="X34" s="84">
        <f t="shared" si="12"/>
        <v>550.71799999999985</v>
      </c>
    </row>
    <row r="35" spans="2:24" x14ac:dyDescent="0.25">
      <c r="B35" s="70">
        <v>92400632</v>
      </c>
      <c r="C35" s="71" t="s">
        <v>21</v>
      </c>
      <c r="D35" s="72" t="s">
        <v>31</v>
      </c>
      <c r="E35" s="72"/>
      <c r="F35" s="122">
        <f>'SAP Download'!B19</f>
        <v>115750</v>
      </c>
      <c r="G35" s="156">
        <f>$G$32*F35</f>
        <v>69889.850000000006</v>
      </c>
      <c r="H35" s="157">
        <f>$H$32*F35</f>
        <v>45860.15</v>
      </c>
      <c r="I35" s="153"/>
      <c r="J35" s="82">
        <f>'Liability Ins - RY'!D39</f>
        <v>122500</v>
      </c>
      <c r="K35" s="83">
        <f>$J35*K$32</f>
        <v>73965.5</v>
      </c>
      <c r="L35" s="84">
        <f>$J35*L$32</f>
        <v>48534.5</v>
      </c>
      <c r="M35" s="79"/>
      <c r="N35" s="82">
        <f t="shared" si="10"/>
        <v>6750</v>
      </c>
      <c r="O35" s="83">
        <f t="shared" si="11"/>
        <v>4075.6499999999942</v>
      </c>
      <c r="P35" s="84">
        <f t="shared" si="11"/>
        <v>2674.3499999999985</v>
      </c>
      <c r="R35" s="132">
        <f>'Liability Ins - RY (2)'!D39</f>
        <v>122500</v>
      </c>
      <c r="S35" s="158">
        <f>R35*S32</f>
        <v>73965.5</v>
      </c>
      <c r="T35" s="159">
        <f>R35*T32</f>
        <v>48534.5</v>
      </c>
      <c r="V35" s="82">
        <f t="shared" si="12"/>
        <v>0</v>
      </c>
      <c r="W35" s="83">
        <f t="shared" si="12"/>
        <v>0</v>
      </c>
      <c r="X35" s="84">
        <f t="shared" si="12"/>
        <v>0</v>
      </c>
    </row>
    <row r="36" spans="2:24" x14ac:dyDescent="0.25">
      <c r="B36" s="70"/>
      <c r="C36" s="89" t="s">
        <v>71</v>
      </c>
      <c r="D36" s="72"/>
      <c r="E36" s="160"/>
      <c r="F36" s="161">
        <f>SUM(F33:F35)</f>
        <v>115750</v>
      </c>
      <c r="G36" s="126">
        <f>SUM(G33:G35)</f>
        <v>69889.850000000006</v>
      </c>
      <c r="H36" s="127">
        <f>SUM(H33:H35)</f>
        <v>45860.15</v>
      </c>
      <c r="I36" s="153"/>
      <c r="J36" s="129">
        <f>SUM(J34:J35)</f>
        <v>136225</v>
      </c>
      <c r="K36" s="130">
        <f>SUM(K34:K35)</f>
        <v>82252.654999999999</v>
      </c>
      <c r="L36" s="131">
        <f>SUM(L34:L35)</f>
        <v>53972.345000000001</v>
      </c>
      <c r="M36" s="79"/>
      <c r="N36" s="129">
        <f>SUM(N34:N35)</f>
        <v>20475</v>
      </c>
      <c r="O36" s="130">
        <f>SUM(O34:O35)</f>
        <v>12362.804999999995</v>
      </c>
      <c r="P36" s="131">
        <f>SUM(P34:P35)</f>
        <v>8112.1949999999988</v>
      </c>
      <c r="R36" s="129">
        <f>SUM(R34:R35)</f>
        <v>137615</v>
      </c>
      <c r="S36" s="130">
        <f t="shared" ref="S36:T36" si="13">SUM(S34:S35)</f>
        <v>83091.937000000005</v>
      </c>
      <c r="T36" s="131">
        <f t="shared" si="13"/>
        <v>54523.063000000002</v>
      </c>
      <c r="V36" s="129">
        <f>SUM(V34:V35)</f>
        <v>1390</v>
      </c>
      <c r="W36" s="130">
        <f>SUM(W34:W35)</f>
        <v>839.28199999999924</v>
      </c>
      <c r="X36" s="131">
        <f>SUM(X34:X35)</f>
        <v>550.71799999999985</v>
      </c>
    </row>
    <row r="37" spans="2:24" x14ac:dyDescent="0.25">
      <c r="B37" s="70"/>
      <c r="C37" s="89"/>
      <c r="D37" s="72"/>
      <c r="E37" s="160"/>
      <c r="F37" s="161"/>
      <c r="G37" s="160"/>
      <c r="H37" s="162"/>
      <c r="I37" s="153"/>
      <c r="J37" s="119"/>
      <c r="K37" s="77"/>
      <c r="L37" s="163"/>
      <c r="M37" s="79"/>
      <c r="N37" s="154"/>
      <c r="O37" s="120"/>
      <c r="P37" s="121"/>
      <c r="R37" s="57"/>
      <c r="S37" s="58"/>
      <c r="T37" s="59"/>
      <c r="V37" s="154"/>
      <c r="W37" s="120"/>
      <c r="X37" s="121"/>
    </row>
    <row r="38" spans="2:24" ht="14.4" x14ac:dyDescent="0.3">
      <c r="B38" s="70">
        <v>92400005</v>
      </c>
      <c r="C38" s="164" t="s">
        <v>133</v>
      </c>
      <c r="D38" s="72" t="s">
        <v>123</v>
      </c>
      <c r="E38" s="160"/>
      <c r="F38" s="19">
        <f>'Colstrip 1&amp;2 2018 '!N23+'Colstrip 3&amp;4 2018'!N23</f>
        <v>565566.08000000007</v>
      </c>
      <c r="G38" s="73">
        <f>F38</f>
        <v>565566.08000000007</v>
      </c>
      <c r="H38" s="147">
        <v>0</v>
      </c>
      <c r="I38" s="153"/>
      <c r="J38" s="82">
        <f>SUM('Liability Ins - RY'!D45:D55)</f>
        <v>212393</v>
      </c>
      <c r="K38" s="83">
        <f>J38</f>
        <v>212393</v>
      </c>
      <c r="L38" s="84">
        <v>0</v>
      </c>
      <c r="M38" s="79"/>
      <c r="N38" s="82">
        <f t="shared" ref="N38:N39" si="14">J38-SUM(E38:F38)</f>
        <v>-353173.08000000007</v>
      </c>
      <c r="O38" s="83">
        <f t="shared" ref="O38:P39" si="15">K38-G38</f>
        <v>-353173.08000000007</v>
      </c>
      <c r="P38" s="84">
        <f t="shared" si="15"/>
        <v>0</v>
      </c>
      <c r="R38" s="132">
        <f>SUM('Liability Ins - RY (2)'!D45:D55)</f>
        <v>228590</v>
      </c>
      <c r="S38" s="19">
        <f>R38</f>
        <v>228590</v>
      </c>
      <c r="T38" s="59">
        <v>0</v>
      </c>
      <c r="V38" s="82">
        <f t="shared" ref="V38:X39" si="16">R38-J38</f>
        <v>16197</v>
      </c>
      <c r="W38" s="83">
        <f t="shared" si="16"/>
        <v>16197</v>
      </c>
      <c r="X38" s="84">
        <f t="shared" si="16"/>
        <v>0</v>
      </c>
    </row>
    <row r="39" spans="2:24" ht="14.4" x14ac:dyDescent="0.3">
      <c r="B39" s="70">
        <v>92400005</v>
      </c>
      <c r="C39" s="164" t="s">
        <v>144</v>
      </c>
      <c r="D39" s="72" t="s">
        <v>123</v>
      </c>
      <c r="E39" s="160"/>
      <c r="F39" s="165">
        <f>'Freddy1 Ins 2018'!O14</f>
        <v>48837.123605833338</v>
      </c>
      <c r="G39" s="122">
        <f>F39</f>
        <v>48837.123605833338</v>
      </c>
      <c r="H39" s="166">
        <v>0</v>
      </c>
      <c r="I39" s="153"/>
      <c r="J39" s="82">
        <f>'Liability Ins - RY'!D59</f>
        <v>48837</v>
      </c>
      <c r="K39" s="83">
        <f>J39</f>
        <v>48837</v>
      </c>
      <c r="L39" s="84">
        <v>0</v>
      </c>
      <c r="M39" s="79"/>
      <c r="N39" s="82">
        <f t="shared" si="14"/>
        <v>-0.12360583333793329</v>
      </c>
      <c r="O39" s="83">
        <f t="shared" si="15"/>
        <v>-0.12360583333793329</v>
      </c>
      <c r="P39" s="84">
        <f t="shared" si="15"/>
        <v>0</v>
      </c>
      <c r="R39" s="132">
        <f>'Liability Ins - RY (2)'!D59</f>
        <v>54238</v>
      </c>
      <c r="S39" s="19">
        <f>R39</f>
        <v>54238</v>
      </c>
      <c r="T39" s="59">
        <v>0</v>
      </c>
      <c r="V39" s="82">
        <f t="shared" si="16"/>
        <v>5401</v>
      </c>
      <c r="W39" s="83">
        <f t="shared" si="16"/>
        <v>5401</v>
      </c>
      <c r="X39" s="84">
        <f t="shared" si="16"/>
        <v>0</v>
      </c>
    </row>
    <row r="40" spans="2:24" x14ac:dyDescent="0.25">
      <c r="B40" s="70"/>
      <c r="C40" s="89" t="s">
        <v>145</v>
      </c>
      <c r="D40" s="72"/>
      <c r="E40" s="160"/>
      <c r="F40" s="73">
        <f>SUM(F38:F39)</f>
        <v>614403.20360583346</v>
      </c>
      <c r="G40" s="73">
        <f>SUM(G38:G39)</f>
        <v>614403.20360583346</v>
      </c>
      <c r="H40" s="147">
        <f>SUM(H38:H39)</f>
        <v>0</v>
      </c>
      <c r="I40" s="153"/>
      <c r="J40" s="129">
        <f>SUM(J38:J39)</f>
        <v>261230</v>
      </c>
      <c r="K40" s="130">
        <f>SUM(K38:K39)</f>
        <v>261230</v>
      </c>
      <c r="L40" s="131">
        <f>SUM(L38:L39)</f>
        <v>0</v>
      </c>
      <c r="M40" s="79"/>
      <c r="N40" s="129">
        <f>SUM(N38:N39)</f>
        <v>-353173.20360583341</v>
      </c>
      <c r="O40" s="130">
        <f>SUM(O38:O39)</f>
        <v>-353173.20360583341</v>
      </c>
      <c r="P40" s="131">
        <f>SUM(P38:P39)</f>
        <v>0</v>
      </c>
      <c r="R40" s="167">
        <f>SUM(R38:R39)</f>
        <v>282828</v>
      </c>
      <c r="S40" s="168">
        <f>SUM(S38:S39)</f>
        <v>282828</v>
      </c>
      <c r="T40" s="169">
        <f>SUM(T38:T39)</f>
        <v>0</v>
      </c>
      <c r="V40" s="129">
        <f>SUM(V38:V39)</f>
        <v>21598</v>
      </c>
      <c r="W40" s="130">
        <f>SUM(W38:W39)</f>
        <v>21598</v>
      </c>
      <c r="X40" s="131">
        <f>SUM(X38:X39)</f>
        <v>0</v>
      </c>
    </row>
    <row r="41" spans="2:24" x14ac:dyDescent="0.25">
      <c r="B41" s="70"/>
      <c r="C41" s="89"/>
      <c r="D41" s="72"/>
      <c r="E41" s="170"/>
      <c r="F41" s="58"/>
      <c r="G41" s="151"/>
      <c r="H41" s="152"/>
      <c r="J41" s="171"/>
      <c r="K41" s="172"/>
      <c r="L41" s="173"/>
      <c r="M41" s="79"/>
      <c r="N41" s="171"/>
      <c r="O41" s="172"/>
      <c r="P41" s="173"/>
      <c r="R41" s="57"/>
      <c r="S41" s="58"/>
      <c r="T41" s="59"/>
      <c r="V41" s="171"/>
      <c r="W41" s="172"/>
      <c r="X41" s="173"/>
    </row>
    <row r="42" spans="2:24" ht="13.8" thickBot="1" x14ac:dyDescent="0.3">
      <c r="B42" s="87"/>
      <c r="C42" s="89" t="s">
        <v>56</v>
      </c>
      <c r="D42" s="72"/>
      <c r="E42" s="72"/>
      <c r="F42" s="95">
        <f>F29+F36+F40</f>
        <v>3195322.4668017165</v>
      </c>
      <c r="G42" s="174">
        <f>G29+G36+G40</f>
        <v>2115323.8108910434</v>
      </c>
      <c r="H42" s="175">
        <f>H29+H36+H40</f>
        <v>1079998.6559106729</v>
      </c>
      <c r="I42" s="176"/>
      <c r="J42" s="94">
        <f>J29+J36+J40</f>
        <v>3068721.0294369771</v>
      </c>
      <c r="K42" s="174">
        <f>K29+K36+K40</f>
        <v>1894152.5850881652</v>
      </c>
      <c r="L42" s="175">
        <f>L29+L36+L40</f>
        <v>1174568.4443488119</v>
      </c>
      <c r="M42" s="79"/>
      <c r="N42" s="177">
        <f t="shared" ref="N42:P42" si="17">N29+N36+N40</f>
        <v>-126601.43736473931</v>
      </c>
      <c r="O42" s="175">
        <f t="shared" si="17"/>
        <v>-221171.22580287827</v>
      </c>
      <c r="P42" s="96">
        <f t="shared" si="17"/>
        <v>94569.788438139061</v>
      </c>
      <c r="R42" s="97">
        <f>R29+R36+R40</f>
        <v>3121861.9952946901</v>
      </c>
      <c r="S42" s="98">
        <f>S29+S36+S40</f>
        <v>1934093.6637685676</v>
      </c>
      <c r="T42" s="99">
        <f>T29+T36+T40</f>
        <v>1187768.3315261228</v>
      </c>
      <c r="V42" s="177">
        <f t="shared" ref="V42:X42" si="18">V29+V36+V40</f>
        <v>53140.965857713018</v>
      </c>
      <c r="W42" s="175">
        <f t="shared" si="18"/>
        <v>39941.078680402476</v>
      </c>
      <c r="X42" s="96">
        <f t="shared" si="18"/>
        <v>13199.887177310775</v>
      </c>
    </row>
    <row r="43" spans="2:24" ht="14.4" thickTop="1" thickBot="1" x14ac:dyDescent="0.3">
      <c r="B43" s="178"/>
      <c r="C43" s="179"/>
      <c r="D43" s="179"/>
      <c r="E43" s="179"/>
      <c r="F43" s="102"/>
      <c r="G43" s="102"/>
      <c r="H43" s="180"/>
      <c r="I43" s="37"/>
      <c r="J43" s="181"/>
      <c r="K43" s="182"/>
      <c r="L43" s="183"/>
      <c r="M43" s="79"/>
      <c r="N43" s="184"/>
      <c r="O43" s="185"/>
      <c r="P43" s="186"/>
      <c r="R43" s="109"/>
      <c r="S43" s="110"/>
      <c r="T43" s="111"/>
      <c r="V43" s="184"/>
      <c r="W43" s="185"/>
      <c r="X43" s="186"/>
    </row>
    <row r="44" spans="2:24" x14ac:dyDescent="0.25">
      <c r="B44" s="37"/>
      <c r="C44" s="37"/>
      <c r="D44" s="37"/>
      <c r="E44" s="37"/>
      <c r="F44" s="38"/>
      <c r="G44" s="38"/>
      <c r="H44" s="37"/>
      <c r="I44" s="37"/>
      <c r="J44" s="79"/>
      <c r="K44" s="79"/>
      <c r="L44" s="79"/>
      <c r="M44" s="79"/>
      <c r="N44" s="79"/>
      <c r="O44" s="26"/>
      <c r="P44" s="26"/>
    </row>
    <row r="45" spans="2:24" x14ac:dyDescent="0.25">
      <c r="B45" s="37"/>
      <c r="C45" s="37"/>
      <c r="D45" s="37"/>
      <c r="E45" s="37"/>
      <c r="F45" s="38"/>
      <c r="G45" s="38"/>
      <c r="H45" s="37"/>
      <c r="I45" s="37"/>
      <c r="J45" s="79"/>
      <c r="K45" s="79"/>
      <c r="L45" s="79"/>
      <c r="M45" s="79"/>
      <c r="N45" s="79"/>
      <c r="O45" s="26"/>
      <c r="P45" s="26"/>
    </row>
    <row r="46" spans="2:24" x14ac:dyDescent="0.25">
      <c r="B46" s="37"/>
      <c r="C46" s="37"/>
      <c r="D46" s="37"/>
      <c r="E46" s="37"/>
      <c r="F46" s="38"/>
      <c r="G46" s="38"/>
      <c r="H46" s="37"/>
      <c r="I46" s="37"/>
      <c r="J46" s="79"/>
      <c r="K46" s="79"/>
      <c r="L46" s="79"/>
      <c r="M46" s="79"/>
      <c r="N46" s="79"/>
      <c r="O46" s="26"/>
      <c r="P46" s="26"/>
    </row>
    <row r="47" spans="2:24" x14ac:dyDescent="0.25">
      <c r="B47" s="37"/>
      <c r="C47" s="37"/>
      <c r="D47" s="37"/>
      <c r="E47" s="37"/>
      <c r="F47" s="38"/>
      <c r="G47" s="38"/>
      <c r="H47" s="37"/>
      <c r="I47" s="37"/>
      <c r="J47" s="37"/>
      <c r="K47" s="37"/>
      <c r="L47" s="37"/>
      <c r="M47" s="37"/>
      <c r="N47" s="37"/>
    </row>
    <row r="48" spans="2:24" x14ac:dyDescent="0.25">
      <c r="B48" s="37"/>
      <c r="C48" s="37"/>
      <c r="D48" s="37"/>
      <c r="E48" s="37"/>
      <c r="F48" s="38"/>
      <c r="G48" s="38"/>
      <c r="H48" s="37"/>
      <c r="I48" s="37"/>
      <c r="J48" s="37"/>
      <c r="K48" s="37"/>
      <c r="L48" s="37"/>
      <c r="M48" s="37"/>
      <c r="N48" s="37"/>
    </row>
    <row r="49" spans="2:14" x14ac:dyDescent="0.25">
      <c r="B49" s="37"/>
      <c r="C49" s="37"/>
      <c r="D49" s="37"/>
      <c r="E49" s="37"/>
      <c r="F49" s="38"/>
      <c r="G49" s="38"/>
      <c r="H49" s="37"/>
      <c r="I49" s="37"/>
      <c r="J49" s="37"/>
      <c r="K49" s="37"/>
      <c r="L49" s="37"/>
      <c r="M49" s="37"/>
      <c r="N49" s="37"/>
    </row>
    <row r="50" spans="2:14" x14ac:dyDescent="0.25">
      <c r="B50" s="37"/>
      <c r="C50" s="37"/>
      <c r="D50" s="37"/>
      <c r="E50" s="37"/>
      <c r="F50" s="38"/>
      <c r="G50" s="38"/>
      <c r="H50" s="37"/>
      <c r="I50" s="37"/>
      <c r="J50" s="37"/>
      <c r="K50" s="37"/>
      <c r="L50" s="37"/>
      <c r="M50" s="37"/>
      <c r="N50" s="37"/>
    </row>
    <row r="51" spans="2:14" x14ac:dyDescent="0.25">
      <c r="B51" s="37"/>
      <c r="C51" s="37"/>
      <c r="D51" s="37"/>
      <c r="E51" s="37"/>
      <c r="F51" s="38"/>
      <c r="G51" s="38"/>
      <c r="H51" s="37"/>
      <c r="I51" s="37"/>
      <c r="J51" s="37"/>
      <c r="K51" s="37"/>
      <c r="L51" s="37"/>
      <c r="M51" s="37"/>
      <c r="N51" s="37"/>
    </row>
    <row r="52" spans="2:14" x14ac:dyDescent="0.25">
      <c r="B52" s="37"/>
      <c r="C52" s="37"/>
      <c r="D52" s="37"/>
      <c r="E52" s="37"/>
      <c r="F52" s="38"/>
      <c r="G52" s="38"/>
      <c r="H52" s="37"/>
      <c r="I52" s="37"/>
      <c r="J52" s="37"/>
      <c r="K52" s="37"/>
      <c r="L52" s="37"/>
      <c r="M52" s="37"/>
      <c r="N52" s="37"/>
    </row>
    <row r="53" spans="2:14" x14ac:dyDescent="0.25">
      <c r="B53" s="37"/>
      <c r="C53" s="37"/>
      <c r="D53" s="37"/>
      <c r="E53" s="37"/>
      <c r="F53" s="38"/>
      <c r="G53" s="38"/>
      <c r="H53" s="37"/>
      <c r="I53" s="37"/>
      <c r="J53" s="37"/>
      <c r="K53" s="37"/>
      <c r="L53" s="37"/>
      <c r="M53" s="37"/>
      <c r="N53" s="37"/>
    </row>
    <row r="54" spans="2:14" x14ac:dyDescent="0.25">
      <c r="B54" s="37"/>
      <c r="C54" s="37"/>
      <c r="D54" s="37"/>
      <c r="E54" s="37"/>
      <c r="F54" s="38"/>
      <c r="G54" s="38"/>
      <c r="H54" s="37"/>
      <c r="I54" s="37"/>
      <c r="J54" s="37"/>
      <c r="K54" s="37"/>
      <c r="L54" s="37"/>
      <c r="M54" s="37"/>
      <c r="N54" s="37"/>
    </row>
    <row r="55" spans="2:14" x14ac:dyDescent="0.25">
      <c r="B55" s="37"/>
      <c r="C55" s="37"/>
      <c r="D55" s="37"/>
      <c r="E55" s="37"/>
      <c r="F55" s="38"/>
      <c r="G55" s="38"/>
      <c r="H55" s="37"/>
      <c r="I55" s="37"/>
      <c r="J55" s="37"/>
      <c r="K55" s="37"/>
      <c r="L55" s="37"/>
      <c r="M55" s="37"/>
      <c r="N55" s="37"/>
    </row>
    <row r="56" spans="2:14" x14ac:dyDescent="0.25">
      <c r="B56" s="37"/>
      <c r="C56" s="37"/>
      <c r="D56" s="37"/>
      <c r="E56" s="37"/>
      <c r="F56" s="38"/>
      <c r="G56" s="38"/>
      <c r="H56" s="37"/>
      <c r="I56" s="37"/>
      <c r="J56" s="37"/>
      <c r="K56" s="37"/>
      <c r="L56" s="37"/>
      <c r="M56" s="37"/>
      <c r="N56" s="37"/>
    </row>
    <row r="57" spans="2:14" x14ac:dyDescent="0.25">
      <c r="B57" s="37"/>
      <c r="C57" s="37"/>
      <c r="D57" s="37"/>
      <c r="E57" s="37"/>
      <c r="F57" s="38"/>
      <c r="G57" s="38"/>
      <c r="H57" s="37"/>
      <c r="I57" s="37"/>
      <c r="J57" s="37"/>
      <c r="K57" s="37"/>
      <c r="L57" s="37"/>
      <c r="M57" s="37"/>
      <c r="N57" s="37"/>
    </row>
  </sheetData>
  <mergeCells count="2">
    <mergeCell ref="B6:H6"/>
    <mergeCell ref="B19:H19"/>
  </mergeCells>
  <printOptions horizontalCentered="1"/>
  <pageMargins left="0.2" right="0.21" top="0.52" bottom="0.42" header="0.39" footer="0.41"/>
  <pageSetup scale="1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7"/>
  <sheetViews>
    <sheetView zoomScale="82" zoomScaleNormal="82" workbookViewId="0">
      <selection sqref="A1:XFD1048576"/>
    </sheetView>
  </sheetViews>
  <sheetFormatPr defaultColWidth="9.109375" defaultRowHeight="13.2" x14ac:dyDescent="0.25"/>
  <cols>
    <col min="1" max="1" width="60.6640625" style="263" customWidth="1"/>
    <col min="2" max="2" width="13.5546875" style="263" customWidth="1"/>
    <col min="3" max="3" width="17.6640625" style="263" customWidth="1"/>
    <col min="4" max="6" width="13.5546875" style="263" customWidth="1"/>
    <col min="7" max="7" width="16" style="263" customWidth="1"/>
    <col min="8" max="8" width="13.5546875" style="263" customWidth="1"/>
    <col min="9" max="10" width="16.6640625" style="263" customWidth="1"/>
    <col min="11" max="11" width="14.88671875" style="263" bestFit="1" customWidth="1"/>
    <col min="12" max="12" width="13.5546875" style="263" customWidth="1"/>
    <col min="13" max="13" width="18.44140625" style="263" customWidth="1"/>
    <col min="14" max="14" width="13.5546875" style="263" customWidth="1"/>
    <col min="15" max="15" width="7.6640625" style="263" customWidth="1"/>
    <col min="16" max="16" width="2.88671875" style="263" customWidth="1"/>
    <col min="17" max="17" width="10.6640625" style="263" bestFit="1" customWidth="1"/>
    <col min="18" max="18" width="11.44140625" style="263" bestFit="1" customWidth="1"/>
    <col min="19" max="19" width="13.109375" style="263" bestFit="1" customWidth="1"/>
    <col min="20" max="20" width="10.44140625" style="263" bestFit="1" customWidth="1"/>
    <col min="21" max="21" width="13.109375" style="263" bestFit="1" customWidth="1"/>
    <col min="22" max="16384" width="9.109375" style="263"/>
  </cols>
  <sheetData>
    <row r="1" spans="1:26" ht="14.4" x14ac:dyDescent="0.3">
      <c r="A1" s="1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</row>
    <row r="2" spans="1:26" ht="18" x14ac:dyDescent="0.35">
      <c r="A2" s="1" t="s">
        <v>175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450"/>
      <c r="M2" s="450"/>
      <c r="N2" s="450"/>
    </row>
    <row r="3" spans="1:26" ht="13.8" thickBot="1" x14ac:dyDescent="0.3"/>
    <row r="4" spans="1:26" s="12" customFormat="1" ht="14.4" x14ac:dyDescent="0.3">
      <c r="A4" s="2" t="s">
        <v>98</v>
      </c>
      <c r="B4" s="3" t="s">
        <v>79</v>
      </c>
      <c r="C4" s="451">
        <v>43435</v>
      </c>
      <c r="D4" s="451">
        <v>43405</v>
      </c>
      <c r="E4" s="451">
        <v>43374</v>
      </c>
      <c r="F4" s="451">
        <v>43344</v>
      </c>
      <c r="G4" s="451">
        <v>43313</v>
      </c>
      <c r="H4" s="451">
        <v>43282</v>
      </c>
      <c r="I4" s="451">
        <v>43252</v>
      </c>
      <c r="J4" s="451">
        <v>43221</v>
      </c>
      <c r="K4" s="451">
        <v>43191</v>
      </c>
      <c r="L4" s="451">
        <v>43160</v>
      </c>
      <c r="M4" s="451">
        <v>43132</v>
      </c>
      <c r="N4" s="452">
        <v>43118</v>
      </c>
      <c r="W4" s="263"/>
      <c r="X4" s="263"/>
      <c r="Y4" s="263"/>
      <c r="Z4" s="263"/>
    </row>
    <row r="5" spans="1:26" ht="13.2" customHeight="1" x14ac:dyDescent="0.3">
      <c r="A5" s="453" t="s">
        <v>174</v>
      </c>
      <c r="B5" s="454">
        <f>SUM(C5:N5)</f>
        <v>11387.11</v>
      </c>
      <c r="C5" s="455">
        <v>0</v>
      </c>
      <c r="D5" s="455">
        <v>0</v>
      </c>
      <c r="E5" s="455">
        <v>0</v>
      </c>
      <c r="F5" s="455">
        <v>0</v>
      </c>
      <c r="G5" s="455">
        <v>0</v>
      </c>
      <c r="H5" s="455">
        <v>0</v>
      </c>
      <c r="I5" s="455">
        <v>0</v>
      </c>
      <c r="J5" s="455">
        <v>0</v>
      </c>
      <c r="K5" s="455">
        <v>11387.11</v>
      </c>
      <c r="L5" s="455">
        <v>0</v>
      </c>
      <c r="M5" s="455">
        <v>0</v>
      </c>
      <c r="N5" s="455">
        <v>0</v>
      </c>
      <c r="O5" s="187"/>
      <c r="P5" s="187"/>
      <c r="Q5" s="187"/>
      <c r="R5" s="187"/>
      <c r="S5" s="187"/>
      <c r="T5" s="187"/>
      <c r="U5" s="187"/>
    </row>
    <row r="6" spans="1:26" ht="13.2" customHeight="1" x14ac:dyDescent="0.3">
      <c r="A6" s="453" t="s">
        <v>311</v>
      </c>
      <c r="B6" s="454">
        <f>SUM(C6:N6)</f>
        <v>48670.469999999987</v>
      </c>
      <c r="C6" s="455">
        <v>3711.74</v>
      </c>
      <c r="D6" s="455">
        <v>3711.74</v>
      </c>
      <c r="E6" s="455">
        <v>3711.74</v>
      </c>
      <c r="F6" s="455">
        <v>3711.74</v>
      </c>
      <c r="G6" s="455">
        <v>3711.74</v>
      </c>
      <c r="H6" s="455">
        <v>3711.74</v>
      </c>
      <c r="I6" s="455">
        <v>3711.74</v>
      </c>
      <c r="J6" s="455">
        <v>4419.74</v>
      </c>
      <c r="K6" s="455">
        <v>3711.74</v>
      </c>
      <c r="L6" s="455">
        <v>4852.25</v>
      </c>
      <c r="M6" s="455">
        <v>4852.28</v>
      </c>
      <c r="N6" s="455">
        <v>4852.28</v>
      </c>
      <c r="O6" s="187"/>
      <c r="P6" s="187"/>
      <c r="Q6" s="187"/>
      <c r="R6" s="187"/>
      <c r="S6" s="187"/>
      <c r="T6" s="187"/>
      <c r="U6" s="187"/>
    </row>
    <row r="7" spans="1:26" ht="13.2" customHeight="1" x14ac:dyDescent="0.3">
      <c r="A7" s="453" t="s">
        <v>312</v>
      </c>
      <c r="B7" s="454">
        <f t="shared" ref="B7:B9" si="0">SUM(C7:N7)</f>
        <v>2606398.02</v>
      </c>
      <c r="C7" s="455">
        <v>206945.76</v>
      </c>
      <c r="D7" s="455">
        <v>206945.76</v>
      </c>
      <c r="E7" s="455">
        <v>206945.76</v>
      </c>
      <c r="F7" s="455">
        <v>206945.76</v>
      </c>
      <c r="G7" s="455">
        <v>206945.76</v>
      </c>
      <c r="H7" s="455">
        <v>206945.76</v>
      </c>
      <c r="I7" s="455">
        <v>206945.76</v>
      </c>
      <c r="J7" s="455">
        <v>206945.76</v>
      </c>
      <c r="K7" s="455">
        <v>207354.42</v>
      </c>
      <c r="L7" s="455">
        <v>247825.82</v>
      </c>
      <c r="M7" s="455">
        <v>247825.85</v>
      </c>
      <c r="N7" s="455">
        <v>247825.85</v>
      </c>
      <c r="O7" s="187"/>
      <c r="P7" s="187"/>
      <c r="Q7" s="187"/>
      <c r="R7" s="187"/>
      <c r="S7" s="187"/>
      <c r="T7" s="187"/>
      <c r="U7" s="187"/>
    </row>
    <row r="8" spans="1:26" ht="13.2" customHeight="1" x14ac:dyDescent="0.3">
      <c r="A8" s="453" t="s">
        <v>313</v>
      </c>
      <c r="B8" s="454">
        <f t="shared" si="0"/>
        <v>197881.39</v>
      </c>
      <c r="C8" s="455">
        <v>11548.98</v>
      </c>
      <c r="D8" s="455">
        <v>11548.98</v>
      </c>
      <c r="E8" s="455">
        <v>11548.98</v>
      </c>
      <c r="F8" s="455">
        <v>11548.98</v>
      </c>
      <c r="G8" s="455">
        <v>53900.959999999999</v>
      </c>
      <c r="H8" s="455">
        <v>11548.98</v>
      </c>
      <c r="I8" s="455">
        <v>11548.98</v>
      </c>
      <c r="J8" s="455">
        <v>11548.98</v>
      </c>
      <c r="K8" s="455">
        <v>11548.98</v>
      </c>
      <c r="L8" s="455">
        <v>17196.21</v>
      </c>
      <c r="M8" s="456">
        <v>17196.189999999999</v>
      </c>
      <c r="N8" s="455">
        <v>17196.189999999999</v>
      </c>
      <c r="O8" s="187"/>
      <c r="P8" s="187"/>
      <c r="Q8" s="187"/>
      <c r="R8" s="187"/>
      <c r="S8" s="187"/>
      <c r="T8" s="187"/>
      <c r="U8" s="187"/>
    </row>
    <row r="9" spans="1:26" ht="13.2" customHeight="1" x14ac:dyDescent="0.3">
      <c r="A9" s="453" t="s">
        <v>314</v>
      </c>
      <c r="B9" s="457">
        <f t="shared" si="0"/>
        <v>28757.719999999998</v>
      </c>
      <c r="C9" s="458">
        <v>2332.3000000000002</v>
      </c>
      <c r="D9" s="458">
        <v>2332.3000000000002</v>
      </c>
      <c r="E9" s="458">
        <v>2332.3000000000002</v>
      </c>
      <c r="F9" s="458">
        <v>2332.3000000000002</v>
      </c>
      <c r="G9" s="458">
        <v>2332.3000000000002</v>
      </c>
      <c r="H9" s="458">
        <v>2332.3000000000002</v>
      </c>
      <c r="I9" s="458">
        <v>2332.3000000000002</v>
      </c>
      <c r="J9" s="458">
        <v>2332.3000000000002</v>
      </c>
      <c r="K9" s="458">
        <v>2332.3000000000002</v>
      </c>
      <c r="L9" s="458">
        <v>2588.98</v>
      </c>
      <c r="M9" s="458">
        <v>2589.02</v>
      </c>
      <c r="N9" s="458">
        <v>2589.02</v>
      </c>
      <c r="O9" s="187"/>
      <c r="P9" s="187"/>
      <c r="Q9" s="187"/>
      <c r="R9" s="187"/>
      <c r="S9" s="187"/>
      <c r="T9" s="187"/>
      <c r="U9" s="187"/>
    </row>
    <row r="10" spans="1:26" ht="15" thickBot="1" x14ac:dyDescent="0.35">
      <c r="A10" s="459" t="s">
        <v>95</v>
      </c>
      <c r="B10" s="460">
        <f>SUM(B5:B9)</f>
        <v>2893094.7100000004</v>
      </c>
      <c r="C10" s="460">
        <f>SUM(C5:C9)</f>
        <v>224538.78</v>
      </c>
      <c r="D10" s="460">
        <f t="shared" ref="D10:N10" si="1">SUM(D5:D9)</f>
        <v>224538.78</v>
      </c>
      <c r="E10" s="460">
        <f t="shared" si="1"/>
        <v>224538.78</v>
      </c>
      <c r="F10" s="460">
        <f>SUM(F5:F9)</f>
        <v>224538.78</v>
      </c>
      <c r="G10" s="460">
        <f>SUM(G5:G9)</f>
        <v>266890.76</v>
      </c>
      <c r="H10" s="460">
        <f t="shared" si="1"/>
        <v>224538.78</v>
      </c>
      <c r="I10" s="460">
        <f t="shared" si="1"/>
        <v>224538.78</v>
      </c>
      <c r="J10" s="460">
        <f t="shared" si="1"/>
        <v>225246.78</v>
      </c>
      <c r="K10" s="460">
        <f t="shared" si="1"/>
        <v>236334.55000000002</v>
      </c>
      <c r="L10" s="460">
        <f t="shared" si="1"/>
        <v>272463.26</v>
      </c>
      <c r="M10" s="460">
        <f>SUM(M5:M9)</f>
        <v>272463.34000000003</v>
      </c>
      <c r="N10" s="461">
        <f t="shared" si="1"/>
        <v>272463.34000000003</v>
      </c>
      <c r="O10" s="187"/>
      <c r="P10" s="187"/>
      <c r="Q10" s="187"/>
      <c r="R10" s="187"/>
      <c r="S10" s="187"/>
      <c r="T10" s="187"/>
      <c r="U10" s="187"/>
    </row>
    <row r="11" spans="1:26" ht="8.4" customHeight="1" thickBot="1" x14ac:dyDescent="0.35">
      <c r="A11" s="331"/>
      <c r="B11" s="462"/>
      <c r="C11" s="454"/>
      <c r="D11" s="454"/>
      <c r="E11" s="454"/>
      <c r="F11" s="454"/>
      <c r="G11" s="454"/>
      <c r="H11" s="454"/>
      <c r="I11" s="454"/>
      <c r="J11" s="454"/>
      <c r="K11" s="454"/>
      <c r="L11" s="454"/>
      <c r="M11" s="454"/>
      <c r="N11" s="463"/>
      <c r="O11" s="187"/>
      <c r="P11" s="187"/>
      <c r="Q11" s="187"/>
      <c r="R11" s="187"/>
      <c r="S11" s="187"/>
      <c r="T11" s="187"/>
      <c r="U11" s="187"/>
    </row>
    <row r="12" spans="1:26" ht="13.2" customHeight="1" x14ac:dyDescent="0.3">
      <c r="A12" s="2" t="s">
        <v>99</v>
      </c>
      <c r="B12" s="18" t="s">
        <v>79</v>
      </c>
      <c r="C12" s="451">
        <v>43435</v>
      </c>
      <c r="D12" s="451">
        <v>43405</v>
      </c>
      <c r="E12" s="451">
        <v>43374</v>
      </c>
      <c r="F12" s="451">
        <v>43344</v>
      </c>
      <c r="G12" s="451">
        <v>43313</v>
      </c>
      <c r="H12" s="451">
        <v>43282</v>
      </c>
      <c r="I12" s="451">
        <v>43252</v>
      </c>
      <c r="J12" s="451">
        <v>43221</v>
      </c>
      <c r="K12" s="451">
        <v>43191</v>
      </c>
      <c r="L12" s="451">
        <v>43160</v>
      </c>
      <c r="M12" s="451">
        <v>43132</v>
      </c>
      <c r="N12" s="452">
        <v>43118</v>
      </c>
      <c r="O12" s="187"/>
      <c r="P12" s="187"/>
      <c r="Q12" s="187"/>
      <c r="R12" s="187"/>
      <c r="S12" s="187"/>
      <c r="T12" s="187"/>
      <c r="U12" s="187"/>
    </row>
    <row r="13" spans="1:26" ht="15.6" customHeight="1" x14ac:dyDescent="0.3">
      <c r="A13" s="464" t="s">
        <v>176</v>
      </c>
      <c r="B13" s="465">
        <f t="shared" ref="B13:B18" si="2">SUM(C13:N13)</f>
        <v>482997.92</v>
      </c>
      <c r="C13" s="465">
        <v>48369.61</v>
      </c>
      <c r="D13" s="465">
        <v>89094.61</v>
      </c>
      <c r="E13" s="465">
        <v>33254.61</v>
      </c>
      <c r="F13" s="465">
        <v>33254.61</v>
      </c>
      <c r="G13" s="465">
        <v>33254.61</v>
      </c>
      <c r="H13" s="465">
        <v>33254.61</v>
      </c>
      <c r="I13" s="465">
        <v>33254.61</v>
      </c>
      <c r="J13" s="465">
        <v>65926.61</v>
      </c>
      <c r="K13" s="465">
        <v>24902.26</v>
      </c>
      <c r="L13" s="465">
        <v>24902.26</v>
      </c>
      <c r="M13" s="465">
        <v>24902.26</v>
      </c>
      <c r="N13" s="465">
        <v>38627.26</v>
      </c>
      <c r="O13" s="187"/>
      <c r="P13" s="187"/>
      <c r="Q13" s="187"/>
      <c r="R13" s="187"/>
      <c r="S13" s="187"/>
      <c r="T13" s="187"/>
      <c r="U13" s="187"/>
    </row>
    <row r="14" spans="1:26" ht="15.6" customHeight="1" x14ac:dyDescent="0.3">
      <c r="A14" s="466" t="s">
        <v>298</v>
      </c>
      <c r="B14" s="465">
        <f t="shared" si="2"/>
        <v>0</v>
      </c>
      <c r="C14" s="465"/>
      <c r="D14" s="465"/>
      <c r="E14" s="465"/>
      <c r="F14" s="465"/>
      <c r="G14" s="465"/>
      <c r="H14" s="465"/>
      <c r="I14" s="465"/>
      <c r="J14" s="465"/>
      <c r="K14" s="465"/>
      <c r="L14" s="465"/>
      <c r="M14" s="465"/>
      <c r="N14" s="465"/>
      <c r="O14" s="187"/>
      <c r="P14" s="187"/>
      <c r="Q14" s="187"/>
      <c r="R14" s="187"/>
      <c r="S14" s="187"/>
      <c r="T14" s="187"/>
      <c r="U14" s="187"/>
    </row>
    <row r="15" spans="1:26" ht="15.6" customHeight="1" x14ac:dyDescent="0.3">
      <c r="A15" s="464" t="s">
        <v>299</v>
      </c>
      <c r="B15" s="465">
        <f>SUM(C15:N15)</f>
        <v>4325123.3400000008</v>
      </c>
      <c r="C15" s="465">
        <v>278283.8</v>
      </c>
      <c r="D15" s="465">
        <v>383374.14</v>
      </c>
      <c r="E15" s="465">
        <v>383374.14</v>
      </c>
      <c r="F15" s="465">
        <v>383374.14</v>
      </c>
      <c r="G15" s="465">
        <v>383374.14</v>
      </c>
      <c r="H15" s="465">
        <v>383374.14</v>
      </c>
      <c r="I15" s="465">
        <v>383374.14</v>
      </c>
      <c r="J15" s="465">
        <v>383374.14</v>
      </c>
      <c r="K15" s="465">
        <v>213098.14</v>
      </c>
      <c r="L15" s="465">
        <v>383374.14</v>
      </c>
      <c r="M15" s="465">
        <v>383374.14</v>
      </c>
      <c r="N15" s="465">
        <v>383374.14</v>
      </c>
      <c r="O15" s="187"/>
      <c r="P15" s="187"/>
      <c r="Q15" s="187"/>
      <c r="R15" s="187"/>
      <c r="S15" s="187"/>
      <c r="T15" s="187"/>
      <c r="U15" s="187"/>
    </row>
    <row r="16" spans="1:26" ht="15.6" customHeight="1" x14ac:dyDescent="0.3">
      <c r="A16" s="464" t="s">
        <v>300</v>
      </c>
      <c r="B16" s="465">
        <f t="shared" si="2"/>
        <v>122500</v>
      </c>
      <c r="C16" s="465">
        <v>10208.33</v>
      </c>
      <c r="D16" s="465">
        <v>10208.33</v>
      </c>
      <c r="E16" s="465">
        <v>10208.33</v>
      </c>
      <c r="F16" s="465">
        <v>10208.33</v>
      </c>
      <c r="G16" s="465">
        <v>10208.34</v>
      </c>
      <c r="H16" s="465">
        <v>10208.34</v>
      </c>
      <c r="I16" s="465">
        <v>10208.34</v>
      </c>
      <c r="J16" s="465">
        <v>10208.33</v>
      </c>
      <c r="K16" s="465">
        <v>10208.33</v>
      </c>
      <c r="L16" s="465">
        <v>10208.34</v>
      </c>
      <c r="M16" s="465">
        <v>10208.33</v>
      </c>
      <c r="N16" s="465">
        <v>10208.33</v>
      </c>
      <c r="O16" s="187"/>
      <c r="P16" s="187"/>
      <c r="Q16" s="187"/>
      <c r="R16" s="187"/>
      <c r="S16" s="187"/>
      <c r="T16" s="187"/>
      <c r="U16" s="187"/>
    </row>
    <row r="17" spans="1:25" ht="15.6" customHeight="1" x14ac:dyDescent="0.3">
      <c r="A17" s="466" t="s">
        <v>80</v>
      </c>
      <c r="B17" s="465">
        <f>SUM(C17:N17)</f>
        <v>0</v>
      </c>
      <c r="C17" s="465"/>
      <c r="D17" s="465"/>
      <c r="E17" s="465"/>
      <c r="F17" s="465"/>
      <c r="G17" s="465"/>
      <c r="H17" s="465"/>
      <c r="I17" s="465"/>
      <c r="J17" s="465"/>
      <c r="K17" s="465"/>
      <c r="L17" s="465"/>
      <c r="M17" s="465"/>
      <c r="N17" s="465"/>
      <c r="O17" s="187"/>
      <c r="P17" s="187"/>
      <c r="Q17" s="187"/>
      <c r="R17" s="187"/>
      <c r="S17" s="187"/>
      <c r="T17" s="187"/>
      <c r="U17" s="187"/>
    </row>
    <row r="18" spans="1:25" ht="15.6" customHeight="1" x14ac:dyDescent="0.3">
      <c r="A18" s="466" t="s">
        <v>301</v>
      </c>
      <c r="B18" s="465">
        <f t="shared" si="2"/>
        <v>0</v>
      </c>
      <c r="C18" s="465"/>
      <c r="D18" s="465"/>
      <c r="E18" s="465"/>
      <c r="F18" s="465"/>
      <c r="G18" s="465"/>
      <c r="H18" s="465"/>
      <c r="I18" s="465"/>
      <c r="J18" s="465"/>
      <c r="K18" s="465"/>
      <c r="L18" s="465"/>
      <c r="M18" s="465"/>
      <c r="N18" s="465"/>
      <c r="O18" s="187"/>
      <c r="P18" s="187"/>
      <c r="Q18" s="187"/>
      <c r="R18" s="187"/>
      <c r="S18" s="187"/>
      <c r="T18" s="187"/>
      <c r="U18" s="187"/>
      <c r="Y18" s="390"/>
    </row>
    <row r="19" spans="1:25" ht="15.6" customHeight="1" x14ac:dyDescent="0.3">
      <c r="A19" s="464" t="s">
        <v>302</v>
      </c>
      <c r="B19" s="467">
        <f>SUM(C19:N19)</f>
        <v>115750</v>
      </c>
      <c r="C19" s="467">
        <v>10208.33</v>
      </c>
      <c r="D19" s="467">
        <v>10208.33</v>
      </c>
      <c r="E19" s="467">
        <v>10208.33</v>
      </c>
      <c r="F19" s="467">
        <v>3458.33</v>
      </c>
      <c r="G19" s="467">
        <v>10208.34</v>
      </c>
      <c r="H19" s="467">
        <v>10208.34</v>
      </c>
      <c r="I19" s="467">
        <v>10208.34</v>
      </c>
      <c r="J19" s="467">
        <v>10208.33</v>
      </c>
      <c r="K19" s="467">
        <v>10208.33</v>
      </c>
      <c r="L19" s="467">
        <v>10208.34</v>
      </c>
      <c r="M19" s="467">
        <v>10208.33</v>
      </c>
      <c r="N19" s="467">
        <v>10208.33</v>
      </c>
      <c r="O19" s="187"/>
      <c r="P19" s="187"/>
      <c r="Q19" s="187"/>
      <c r="R19" s="187"/>
      <c r="S19" s="187"/>
      <c r="T19" s="187"/>
      <c r="U19" s="187"/>
      <c r="Y19" s="390"/>
    </row>
    <row r="20" spans="1:25" ht="14.4" x14ac:dyDescent="0.3">
      <c r="A20" s="466" t="s">
        <v>96</v>
      </c>
      <c r="B20" s="454">
        <f t="shared" ref="B20:N20" si="3">SUM(B13:B19)</f>
        <v>5046371.2600000007</v>
      </c>
      <c r="C20" s="454">
        <f t="shared" si="3"/>
        <v>347070.07</v>
      </c>
      <c r="D20" s="454">
        <f t="shared" si="3"/>
        <v>492885.41000000003</v>
      </c>
      <c r="E20" s="454">
        <f>SUM(E13:E19)</f>
        <v>437045.41000000003</v>
      </c>
      <c r="F20" s="454">
        <f t="shared" si="3"/>
        <v>430295.41000000003</v>
      </c>
      <c r="G20" s="454">
        <f t="shared" si="3"/>
        <v>437045.43000000005</v>
      </c>
      <c r="H20" s="454">
        <f t="shared" si="3"/>
        <v>437045.43000000005</v>
      </c>
      <c r="I20" s="454">
        <f t="shared" si="3"/>
        <v>437045.43000000005</v>
      </c>
      <c r="J20" s="454">
        <f t="shared" si="3"/>
        <v>469717.41000000003</v>
      </c>
      <c r="K20" s="454">
        <f t="shared" si="3"/>
        <v>258417.06</v>
      </c>
      <c r="L20" s="454">
        <f t="shared" si="3"/>
        <v>428693.08000000007</v>
      </c>
      <c r="M20" s="454">
        <f t="shared" si="3"/>
        <v>428693.06000000006</v>
      </c>
      <c r="N20" s="463">
        <f t="shared" si="3"/>
        <v>442418.06000000006</v>
      </c>
      <c r="O20" s="187"/>
      <c r="P20" s="187"/>
      <c r="Q20" s="187"/>
      <c r="R20" s="187"/>
      <c r="S20" s="187"/>
      <c r="T20" s="187"/>
      <c r="U20" s="187"/>
      <c r="Y20" s="390"/>
    </row>
    <row r="21" spans="1:25" s="12" customFormat="1" ht="15" thickBot="1" x14ac:dyDescent="0.35">
      <c r="A21" s="4" t="s">
        <v>97</v>
      </c>
      <c r="B21" s="5">
        <f t="shared" ref="B21:N21" si="4">B10+B20</f>
        <v>7939465.9700000007</v>
      </c>
      <c r="C21" s="5">
        <f t="shared" si="4"/>
        <v>571608.85</v>
      </c>
      <c r="D21" s="5">
        <f t="shared" si="4"/>
        <v>717424.19000000006</v>
      </c>
      <c r="E21" s="5">
        <f t="shared" si="4"/>
        <v>661584.19000000006</v>
      </c>
      <c r="F21" s="5">
        <f t="shared" si="4"/>
        <v>654834.19000000006</v>
      </c>
      <c r="G21" s="5">
        <f t="shared" si="4"/>
        <v>703936.19000000006</v>
      </c>
      <c r="H21" s="5">
        <f t="shared" si="4"/>
        <v>661584.21000000008</v>
      </c>
      <c r="I21" s="5">
        <f t="shared" si="4"/>
        <v>661584.21000000008</v>
      </c>
      <c r="J21" s="5">
        <f t="shared" si="4"/>
        <v>694964.19000000006</v>
      </c>
      <c r="K21" s="5">
        <f t="shared" si="4"/>
        <v>494751.61</v>
      </c>
      <c r="L21" s="5">
        <f t="shared" si="4"/>
        <v>701156.34000000008</v>
      </c>
      <c r="M21" s="5">
        <f t="shared" si="4"/>
        <v>701156.40000000014</v>
      </c>
      <c r="N21" s="6">
        <f t="shared" si="4"/>
        <v>714881.40000000014</v>
      </c>
      <c r="O21" s="17"/>
      <c r="P21" s="17"/>
      <c r="Q21" s="17"/>
      <c r="R21" s="17"/>
      <c r="S21" s="17"/>
      <c r="T21" s="17"/>
      <c r="U21" s="17"/>
    </row>
    <row r="22" spans="1:25" ht="14.4" thickTop="1" thickBot="1" x14ac:dyDescent="0.3">
      <c r="A22" s="468"/>
      <c r="B22" s="469"/>
      <c r="C22" s="469"/>
      <c r="D22" s="469"/>
      <c r="E22" s="469"/>
      <c r="F22" s="469"/>
      <c r="G22" s="469"/>
      <c r="H22" s="469"/>
      <c r="I22" s="469"/>
      <c r="J22" s="469"/>
      <c r="K22" s="469"/>
      <c r="L22" s="469"/>
      <c r="M22" s="469"/>
      <c r="N22" s="470"/>
      <c r="O22" s="187"/>
      <c r="P22" s="187"/>
      <c r="Q22" s="187"/>
      <c r="R22" s="187"/>
      <c r="S22" s="187"/>
      <c r="T22" s="187"/>
      <c r="U22" s="187"/>
    </row>
    <row r="23" spans="1:25" ht="4.95" customHeight="1" x14ac:dyDescent="0.25"/>
    <row r="24" spans="1:25" ht="14.4" customHeight="1" thickBot="1" x14ac:dyDescent="0.3">
      <c r="A24" s="517"/>
      <c r="B24" s="517"/>
      <c r="C24" s="517"/>
      <c r="D24" s="517"/>
      <c r="E24" s="517"/>
      <c r="F24" s="517"/>
      <c r="G24" s="517"/>
      <c r="H24" s="517"/>
      <c r="I24" s="517"/>
      <c r="J24" s="517"/>
      <c r="K24" s="517"/>
      <c r="L24" s="517"/>
      <c r="M24" s="517"/>
      <c r="N24" s="517"/>
      <c r="O24" s="15"/>
    </row>
    <row r="25" spans="1:25" x14ac:dyDescent="0.25">
      <c r="A25" s="471"/>
      <c r="B25" s="472" t="s">
        <v>94</v>
      </c>
      <c r="D25" s="473" t="s">
        <v>215</v>
      </c>
    </row>
    <row r="26" spans="1:25" ht="13.8" x14ac:dyDescent="0.25">
      <c r="A26" s="211" t="s">
        <v>193</v>
      </c>
      <c r="B26" s="474">
        <f>'Prop Ins - RYupdated'!D12-'Prop Ins - RYupdated'!D8</f>
        <v>3633573</v>
      </c>
    </row>
    <row r="27" spans="1:25" ht="14.4" thickBot="1" x14ac:dyDescent="0.3">
      <c r="A27" s="211" t="s">
        <v>108</v>
      </c>
      <c r="B27" s="474">
        <f>-M55</f>
        <v>-2694465.38</v>
      </c>
      <c r="C27" s="431"/>
      <c r="D27" s="427"/>
    </row>
    <row r="28" spans="1:25" ht="14.4" thickBot="1" x14ac:dyDescent="0.3">
      <c r="A28" s="211" t="s">
        <v>113</v>
      </c>
      <c r="B28" s="474">
        <f>-'.Rates - Updated'!M32</f>
        <v>-34154.493408000002</v>
      </c>
      <c r="C28" s="475">
        <v>0.33333333333333331</v>
      </c>
      <c r="D28" s="476">
        <f>B28*C28</f>
        <v>-11384.831136000001</v>
      </c>
      <c r="F28" s="187"/>
    </row>
    <row r="29" spans="1:25" ht="13.8" x14ac:dyDescent="0.25">
      <c r="A29" s="211" t="s">
        <v>114</v>
      </c>
      <c r="B29" s="474">
        <f>-'.Rates - Updated'!M21</f>
        <v>-454.07339999999999</v>
      </c>
      <c r="C29" s="279"/>
      <c r="D29" s="187"/>
      <c r="F29" s="187"/>
      <c r="M29" s="16"/>
    </row>
    <row r="30" spans="1:25" ht="13.8" x14ac:dyDescent="0.25">
      <c r="A30" s="211" t="s">
        <v>146</v>
      </c>
      <c r="B30" s="474">
        <f>-'Prop Ins - RYupdated'!D40</f>
        <v>-147552</v>
      </c>
      <c r="C30" s="390"/>
      <c r="F30" s="187"/>
    </row>
    <row r="31" spans="1:25" ht="13.8" x14ac:dyDescent="0.25">
      <c r="A31" s="211" t="s">
        <v>122</v>
      </c>
      <c r="B31" s="474">
        <f>-'Colstrip Ins '!O7</f>
        <v>-756947.90999999992</v>
      </c>
      <c r="C31" s="390"/>
    </row>
    <row r="32" spans="1:25" ht="13.8" thickBot="1" x14ac:dyDescent="0.3">
      <c r="A32" s="477" t="s">
        <v>115</v>
      </c>
      <c r="B32" s="478">
        <f>SUM(B26:B31)</f>
        <v>-0.85680799977853894</v>
      </c>
    </row>
    <row r="33" spans="1:21" x14ac:dyDescent="0.25">
      <c r="A33" s="479"/>
    </row>
    <row r="35" spans="1:21" x14ac:dyDescent="0.25">
      <c r="B35" s="187"/>
    </row>
    <row r="39" spans="1:21" x14ac:dyDescent="0.25">
      <c r="Q39" s="373"/>
      <c r="R39" s="373"/>
      <c r="S39" s="373"/>
      <c r="T39" s="373"/>
      <c r="U39" s="373"/>
    </row>
    <row r="40" spans="1:21" x14ac:dyDescent="0.25">
      <c r="Q40" s="202"/>
      <c r="R40" s="202"/>
      <c r="S40" s="202"/>
      <c r="T40" s="202"/>
      <c r="U40" s="202"/>
    </row>
    <row r="41" spans="1:21" x14ac:dyDescent="0.25">
      <c r="Q41" s="427"/>
      <c r="R41" s="427"/>
      <c r="S41" s="427"/>
      <c r="T41" s="427"/>
      <c r="U41" s="427"/>
    </row>
    <row r="42" spans="1:21" x14ac:dyDescent="0.25">
      <c r="Q42" s="202"/>
      <c r="R42" s="202"/>
      <c r="S42" s="202"/>
      <c r="T42" s="202"/>
      <c r="U42" s="202"/>
    </row>
    <row r="54" spans="4:14" x14ac:dyDescent="0.25">
      <c r="D54" s="473"/>
    </row>
    <row r="55" spans="4:14" x14ac:dyDescent="0.25">
      <c r="D55" s="473"/>
      <c r="I55" s="480">
        <v>27987.61</v>
      </c>
      <c r="J55" s="480">
        <v>138587.79</v>
      </c>
      <c r="K55" s="480">
        <v>2483349.12</v>
      </c>
      <c r="L55" s="480">
        <v>44540.86</v>
      </c>
      <c r="M55" s="480">
        <v>2694465.38</v>
      </c>
      <c r="N55" s="16"/>
    </row>
    <row r="56" spans="4:14" x14ac:dyDescent="0.25">
      <c r="D56" s="473"/>
      <c r="I56" s="16"/>
      <c r="J56" s="16"/>
      <c r="K56" s="16"/>
      <c r="L56" s="16"/>
      <c r="M56" s="16"/>
      <c r="N56" s="16"/>
    </row>
    <row r="57" spans="4:14" x14ac:dyDescent="0.25">
      <c r="D57" s="473"/>
      <c r="I57" s="7"/>
      <c r="J57" s="16"/>
      <c r="K57" s="16"/>
      <c r="L57" s="16"/>
      <c r="M57" s="16"/>
      <c r="N57" s="16"/>
    </row>
    <row r="58" spans="4:14" x14ac:dyDescent="0.25">
      <c r="D58" s="473"/>
    </row>
    <row r="59" spans="4:14" x14ac:dyDescent="0.25">
      <c r="J59" s="390"/>
    </row>
    <row r="60" spans="4:14" x14ac:dyDescent="0.25">
      <c r="J60" s="390"/>
    </row>
    <row r="61" spans="4:14" x14ac:dyDescent="0.25">
      <c r="J61" s="390"/>
    </row>
    <row r="62" spans="4:14" x14ac:dyDescent="0.25">
      <c r="J62" s="390"/>
    </row>
    <row r="63" spans="4:14" x14ac:dyDescent="0.25">
      <c r="J63" s="390"/>
    </row>
    <row r="64" spans="4:14" s="16" customFormat="1" x14ac:dyDescent="0.25">
      <c r="J64" s="153"/>
    </row>
    <row r="65" spans="10:10" x14ac:dyDescent="0.25">
      <c r="J65" s="390"/>
    </row>
    <row r="66" spans="10:10" x14ac:dyDescent="0.25">
      <c r="J66" s="390"/>
    </row>
    <row r="67" spans="10:10" x14ac:dyDescent="0.25">
      <c r="J67" s="390"/>
    </row>
  </sheetData>
  <mergeCells count="1">
    <mergeCell ref="A24:N24"/>
  </mergeCells>
  <pageMargins left="0.7" right="0.7" top="0.75" bottom="0.75" header="0.3" footer="0.3"/>
  <pageSetup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zoomScale="80" zoomScaleNormal="80" workbookViewId="0">
      <pane xSplit="1" ySplit="8" topLeftCell="B4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09375" defaultRowHeight="13.2" x14ac:dyDescent="0.25"/>
  <cols>
    <col min="1" max="1" width="27" style="263" customWidth="1"/>
    <col min="2" max="2" width="17.33203125" style="263" bestFit="1" customWidth="1"/>
    <col min="3" max="3" width="6.5546875" style="263" bestFit="1" customWidth="1"/>
    <col min="4" max="4" width="14.88671875" style="263" customWidth="1"/>
    <col min="5" max="5" width="10.6640625" style="263" bestFit="1" customWidth="1"/>
    <col min="6" max="6" width="13.109375" style="263" bestFit="1" customWidth="1"/>
    <col min="7" max="7" width="16.109375" style="263" bestFit="1" customWidth="1"/>
    <col min="8" max="8" width="15.6640625" style="263" customWidth="1"/>
    <col min="9" max="9" width="6.5546875" style="263" bestFit="1" customWidth="1"/>
    <col min="10" max="10" width="8.33203125" style="263" bestFit="1" customWidth="1"/>
    <col min="11" max="13" width="10.33203125" style="263" bestFit="1" customWidth="1"/>
    <col min="14" max="14" width="6.6640625" style="263" bestFit="1" customWidth="1"/>
    <col min="15" max="16" width="8" style="263" bestFit="1" customWidth="1"/>
    <col min="17" max="17" width="6.6640625" style="263" bestFit="1" customWidth="1"/>
    <col min="18" max="16384" width="9.109375" style="263"/>
  </cols>
  <sheetData>
    <row r="1" spans="1:21" ht="4.95" customHeight="1" x14ac:dyDescent="0.3">
      <c r="A1" s="262"/>
    </row>
    <row r="2" spans="1:21" ht="17.399999999999999" x14ac:dyDescent="0.3">
      <c r="A2" s="264" t="s">
        <v>16</v>
      </c>
    </row>
    <row r="3" spans="1:21" ht="17.399999999999999" x14ac:dyDescent="0.3">
      <c r="A3" s="264" t="s">
        <v>36</v>
      </c>
      <c r="B3" s="265"/>
      <c r="C3" s="265"/>
      <c r="D3" s="19"/>
      <c r="E3" s="518"/>
      <c r="F3" s="518"/>
    </row>
    <row r="4" spans="1:21" ht="17.399999999999999" x14ac:dyDescent="0.3">
      <c r="A4" s="264" t="s">
        <v>112</v>
      </c>
      <c r="B4" s="265"/>
      <c r="C4" s="265"/>
      <c r="D4" s="19"/>
    </row>
    <row r="5" spans="1:21" ht="4.95" customHeight="1" thickBot="1" x14ac:dyDescent="0.3">
      <c r="A5" s="12"/>
    </row>
    <row r="6" spans="1:21" x14ac:dyDescent="0.25">
      <c r="A6" s="266" t="s">
        <v>12</v>
      </c>
      <c r="B6" s="267" t="s">
        <v>13</v>
      </c>
      <c r="C6" s="268" t="s">
        <v>68</v>
      </c>
      <c r="D6" s="267" t="s">
        <v>10</v>
      </c>
      <c r="E6" s="269" t="s">
        <v>60</v>
      </c>
      <c r="F6" s="269" t="s">
        <v>61</v>
      </c>
      <c r="G6" s="269" t="s">
        <v>65</v>
      </c>
      <c r="H6" s="269" t="s">
        <v>67</v>
      </c>
      <c r="U6" s="12"/>
    </row>
    <row r="7" spans="1:21" x14ac:dyDescent="0.25">
      <c r="A7" s="270"/>
      <c r="B7" s="271"/>
      <c r="C7" s="272" t="s">
        <v>26</v>
      </c>
      <c r="D7" s="271"/>
      <c r="E7" s="271" t="s">
        <v>59</v>
      </c>
      <c r="F7" s="271" t="s">
        <v>59</v>
      </c>
      <c r="G7" s="271" t="s">
        <v>66</v>
      </c>
      <c r="H7" s="271" t="s">
        <v>66</v>
      </c>
    </row>
    <row r="8" spans="1:21" ht="13.8" thickBot="1" x14ac:dyDescent="0.3">
      <c r="A8" s="273"/>
      <c r="B8" s="274"/>
      <c r="C8" s="275" t="s">
        <v>57</v>
      </c>
      <c r="D8" s="274" t="s">
        <v>62</v>
      </c>
      <c r="E8" s="274" t="s">
        <v>63</v>
      </c>
      <c r="F8" s="274" t="s">
        <v>64</v>
      </c>
      <c r="G8" s="276"/>
      <c r="H8" s="276"/>
    </row>
    <row r="10" spans="1:21" x14ac:dyDescent="0.25">
      <c r="A10" s="277" t="s">
        <v>11</v>
      </c>
      <c r="B10" s="37"/>
      <c r="C10" s="37"/>
      <c r="D10" s="37"/>
    </row>
    <row r="11" spans="1:21" x14ac:dyDescent="0.25">
      <c r="A11" s="16" t="s">
        <v>109</v>
      </c>
      <c r="B11" s="265" t="s">
        <v>177</v>
      </c>
      <c r="C11" s="35">
        <v>925</v>
      </c>
      <c r="D11" s="278">
        <v>3590968</v>
      </c>
      <c r="E11" s="449">
        <v>0.49997132880489842</v>
      </c>
      <c r="F11" s="447">
        <f>D11*E11</f>
        <v>1795381.0426558685</v>
      </c>
      <c r="G11" s="447">
        <f>F11*$F$66</f>
        <v>1042218.6952617316</v>
      </c>
      <c r="H11" s="447">
        <f>F11*$G$66</f>
        <v>753162.34739413683</v>
      </c>
    </row>
    <row r="12" spans="1:21" x14ac:dyDescent="0.25">
      <c r="A12" s="16"/>
      <c r="B12" s="265"/>
      <c r="C12" s="35"/>
      <c r="D12" s="278"/>
      <c r="E12" s="449"/>
      <c r="F12" s="447"/>
      <c r="G12" s="447"/>
      <c r="H12" s="447"/>
    </row>
    <row r="13" spans="1:21" x14ac:dyDescent="0.25">
      <c r="A13" s="16" t="s">
        <v>110</v>
      </c>
      <c r="B13" s="265" t="s">
        <v>177</v>
      </c>
      <c r="C13" s="35">
        <v>925</v>
      </c>
      <c r="D13" s="278">
        <v>671660</v>
      </c>
      <c r="E13" s="449">
        <v>0.5</v>
      </c>
      <c r="F13" s="447">
        <f t="shared" ref="F13:F59" si="0">D13*E13</f>
        <v>335830</v>
      </c>
      <c r="G13" s="447">
        <f>F13*$F$66</f>
        <v>194949.315</v>
      </c>
      <c r="H13" s="447">
        <f>F13*$G$66</f>
        <v>140880.685</v>
      </c>
    </row>
    <row r="14" spans="1:21" x14ac:dyDescent="0.25">
      <c r="A14" s="16"/>
      <c r="B14" s="265"/>
      <c r="C14" s="35"/>
      <c r="D14" s="278"/>
      <c r="E14" s="449"/>
      <c r="F14" s="447"/>
      <c r="G14" s="447"/>
      <c r="H14" s="447"/>
    </row>
    <row r="15" spans="1:21" x14ac:dyDescent="0.25">
      <c r="A15" s="16" t="s">
        <v>178</v>
      </c>
      <c r="B15" s="265" t="s">
        <v>177</v>
      </c>
      <c r="C15" s="35">
        <v>925</v>
      </c>
      <c r="D15" s="278">
        <v>295000</v>
      </c>
      <c r="E15" s="449">
        <v>0.5</v>
      </c>
      <c r="F15" s="447">
        <f t="shared" si="0"/>
        <v>147500</v>
      </c>
      <c r="G15" s="447">
        <f>F15*$F$66</f>
        <v>85623.75</v>
      </c>
      <c r="H15" s="447">
        <f>F15*$G$66</f>
        <v>61876.25</v>
      </c>
    </row>
    <row r="16" spans="1:21" x14ac:dyDescent="0.25">
      <c r="A16" s="16"/>
      <c r="B16" s="265"/>
      <c r="C16" s="35"/>
      <c r="D16" s="278"/>
      <c r="E16" s="449"/>
      <c r="F16" s="447"/>
      <c r="G16" s="447"/>
      <c r="H16" s="447"/>
    </row>
    <row r="17" spans="1:8" x14ac:dyDescent="0.25">
      <c r="A17" s="16" t="s">
        <v>25</v>
      </c>
      <c r="B17" s="265" t="s">
        <v>177</v>
      </c>
      <c r="C17" s="35">
        <v>925</v>
      </c>
      <c r="D17" s="278">
        <v>42862</v>
      </c>
      <c r="E17" s="449">
        <v>0.5</v>
      </c>
      <c r="F17" s="447">
        <f t="shared" si="0"/>
        <v>21431</v>
      </c>
      <c r="G17" s="447">
        <f>F17*$F$66</f>
        <v>12440.6955</v>
      </c>
      <c r="H17" s="447">
        <f>F17*$G$66</f>
        <v>8990.3045000000002</v>
      </c>
    </row>
    <row r="18" spans="1:8" x14ac:dyDescent="0.25">
      <c r="A18" s="16"/>
      <c r="B18" s="265"/>
      <c r="C18" s="265"/>
      <c r="D18" s="278"/>
      <c r="E18" s="449"/>
      <c r="F18" s="447"/>
      <c r="G18" s="447"/>
      <c r="H18" s="447"/>
    </row>
    <row r="19" spans="1:8" x14ac:dyDescent="0.25">
      <c r="A19" s="16" t="s">
        <v>179</v>
      </c>
      <c r="B19" s="265" t="s">
        <v>180</v>
      </c>
      <c r="C19" s="35">
        <v>925</v>
      </c>
      <c r="D19" s="278">
        <v>32000</v>
      </c>
      <c r="E19" s="449">
        <v>1</v>
      </c>
      <c r="F19" s="447">
        <f>D19*E19</f>
        <v>32000</v>
      </c>
      <c r="G19" s="447">
        <f>F19*$F$66</f>
        <v>18576</v>
      </c>
      <c r="H19" s="447">
        <f>F19*$G$66</f>
        <v>13424</v>
      </c>
    </row>
    <row r="20" spans="1:8" x14ac:dyDescent="0.25">
      <c r="A20" s="16"/>
      <c r="B20" s="265"/>
      <c r="C20" s="35"/>
      <c r="D20" s="278"/>
      <c r="E20" s="449"/>
      <c r="F20" s="447"/>
      <c r="G20" s="447"/>
      <c r="H20" s="447"/>
    </row>
    <row r="21" spans="1:8" x14ac:dyDescent="0.25">
      <c r="A21" s="16" t="s">
        <v>181</v>
      </c>
      <c r="B21" s="35" t="s">
        <v>180</v>
      </c>
      <c r="C21" s="35">
        <v>925</v>
      </c>
      <c r="D21" s="278">
        <v>43608</v>
      </c>
      <c r="E21" s="449">
        <v>0.5</v>
      </c>
      <c r="F21" s="447">
        <f>D21*E21</f>
        <v>21804</v>
      </c>
      <c r="G21" s="447">
        <f>F21*$F$66</f>
        <v>12657.222</v>
      </c>
      <c r="H21" s="447">
        <f>F21*$G$66</f>
        <v>9146.7780000000002</v>
      </c>
    </row>
    <row r="22" spans="1:8" x14ac:dyDescent="0.25">
      <c r="A22" s="16"/>
      <c r="B22" s="265"/>
      <c r="C22" s="35"/>
      <c r="D22" s="278"/>
      <c r="E22" s="449"/>
      <c r="F22" s="447"/>
      <c r="G22" s="447"/>
      <c r="H22" s="447"/>
    </row>
    <row r="23" spans="1:8" x14ac:dyDescent="0.25">
      <c r="A23" s="16" t="s">
        <v>182</v>
      </c>
      <c r="B23" s="35" t="s">
        <v>180</v>
      </c>
      <c r="C23" s="35">
        <v>925</v>
      </c>
      <c r="D23" s="278">
        <v>14439</v>
      </c>
      <c r="E23" s="449">
        <v>0.5</v>
      </c>
      <c r="F23" s="447">
        <f>D23*E23</f>
        <v>7219.5</v>
      </c>
      <c r="G23" s="447">
        <f>F23*$F$66</f>
        <v>4190.91975</v>
      </c>
      <c r="H23" s="447">
        <f>F23*$G$66</f>
        <v>3028.58025</v>
      </c>
    </row>
    <row r="24" spans="1:8" x14ac:dyDescent="0.25">
      <c r="A24" s="16"/>
      <c r="B24" s="265"/>
      <c r="C24" s="35"/>
      <c r="D24" s="278"/>
      <c r="E24" s="449"/>
      <c r="F24" s="447"/>
      <c r="G24" s="447"/>
      <c r="H24" s="447"/>
    </row>
    <row r="25" spans="1:8" x14ac:dyDescent="0.25">
      <c r="A25" s="16" t="s">
        <v>384</v>
      </c>
      <c r="B25" s="35" t="s">
        <v>111</v>
      </c>
      <c r="C25" s="35">
        <v>925</v>
      </c>
      <c r="D25" s="278">
        <v>0</v>
      </c>
      <c r="E25" s="449">
        <v>0.5</v>
      </c>
      <c r="F25" s="447">
        <f>D25*E25</f>
        <v>0</v>
      </c>
      <c r="G25" s="447">
        <f>F25*$F$66</f>
        <v>0</v>
      </c>
      <c r="H25" s="447">
        <f>F25*$G$66</f>
        <v>0</v>
      </c>
    </row>
    <row r="26" spans="1:8" x14ac:dyDescent="0.25">
      <c r="A26" s="16"/>
      <c r="B26" s="265"/>
      <c r="C26" s="35"/>
      <c r="D26" s="278"/>
      <c r="E26" s="449"/>
      <c r="F26" s="447"/>
      <c r="G26" s="447"/>
      <c r="H26" s="447"/>
    </row>
    <row r="27" spans="1:8" x14ac:dyDescent="0.25">
      <c r="A27" s="16" t="s">
        <v>183</v>
      </c>
      <c r="B27" s="265" t="s">
        <v>184</v>
      </c>
      <c r="C27" s="35">
        <v>925</v>
      </c>
      <c r="D27" s="278">
        <v>215157</v>
      </c>
      <c r="E27" s="449">
        <v>0.5</v>
      </c>
      <c r="F27" s="447">
        <f>D27*E27</f>
        <v>107578.5</v>
      </c>
      <c r="G27" s="447">
        <f>F27*$F$66</f>
        <v>62449.31925</v>
      </c>
      <c r="H27" s="447">
        <f>F27*$G$66</f>
        <v>45129.18075</v>
      </c>
    </row>
    <row r="28" spans="1:8" x14ac:dyDescent="0.25">
      <c r="A28" s="16"/>
      <c r="B28" s="265"/>
      <c r="C28" s="35"/>
      <c r="D28" s="278"/>
      <c r="E28" s="449"/>
      <c r="F28" s="447"/>
      <c r="G28" s="447"/>
      <c r="H28" s="447"/>
    </row>
    <row r="29" spans="1:8" x14ac:dyDescent="0.25">
      <c r="A29" s="16" t="s">
        <v>185</v>
      </c>
      <c r="B29" s="265" t="s">
        <v>184</v>
      </c>
      <c r="C29" s="35">
        <v>925</v>
      </c>
      <c r="D29" s="278">
        <v>137000</v>
      </c>
      <c r="E29" s="449">
        <v>0.5</v>
      </c>
      <c r="F29" s="447">
        <f>D29*E29</f>
        <v>68500</v>
      </c>
      <c r="G29" s="447">
        <f>F29*$F$66</f>
        <v>39764.25</v>
      </c>
      <c r="H29" s="447">
        <f>F29*$G$66</f>
        <v>28735.75</v>
      </c>
    </row>
    <row r="30" spans="1:8" x14ac:dyDescent="0.25">
      <c r="A30" s="16"/>
      <c r="B30" s="265"/>
      <c r="C30" s="35"/>
      <c r="D30" s="278"/>
      <c r="E30" s="449"/>
      <c r="F30" s="447"/>
      <c r="G30" s="447"/>
      <c r="H30" s="447"/>
    </row>
    <row r="31" spans="1:8" x14ac:dyDescent="0.25">
      <c r="A31" s="16" t="s">
        <v>35</v>
      </c>
      <c r="B31" s="265" t="s">
        <v>184</v>
      </c>
      <c r="C31" s="35">
        <v>925</v>
      </c>
      <c r="D31" s="278">
        <v>510.43</v>
      </c>
      <c r="E31" s="449">
        <v>0.5</v>
      </c>
      <c r="F31" s="447">
        <f>D31*E31</f>
        <v>255.215</v>
      </c>
      <c r="G31" s="447">
        <f>F31*$F$66</f>
        <v>148.15230750000001</v>
      </c>
      <c r="H31" s="447">
        <f>F31*$G$66</f>
        <v>107.0626925</v>
      </c>
    </row>
    <row r="32" spans="1:8" x14ac:dyDescent="0.25">
      <c r="A32" s="16"/>
      <c r="B32" s="265"/>
      <c r="C32" s="35"/>
      <c r="D32" s="278"/>
      <c r="E32" s="449"/>
      <c r="F32" s="447"/>
      <c r="G32" s="447"/>
      <c r="H32" s="447"/>
    </row>
    <row r="33" spans="1:8" x14ac:dyDescent="0.25">
      <c r="A33" s="16" t="s">
        <v>186</v>
      </c>
      <c r="B33" s="265" t="s">
        <v>180</v>
      </c>
      <c r="C33" s="35">
        <v>925</v>
      </c>
      <c r="D33" s="278">
        <v>110709</v>
      </c>
      <c r="E33" s="449">
        <v>0.5</v>
      </c>
      <c r="F33" s="447">
        <f t="shared" si="0"/>
        <v>55354.5</v>
      </c>
      <c r="G33" s="447">
        <f>F33*$F$66</f>
        <v>32133.287250000001</v>
      </c>
      <c r="H33" s="447">
        <f>F33*$G$66</f>
        <v>23221.212749999999</v>
      </c>
    </row>
    <row r="34" spans="1:8" x14ac:dyDescent="0.25">
      <c r="A34" s="16"/>
      <c r="B34" s="265"/>
      <c r="C34" s="35"/>
      <c r="D34" s="278"/>
      <c r="E34" s="449"/>
      <c r="F34" s="447"/>
      <c r="G34" s="447"/>
      <c r="H34" s="447"/>
    </row>
    <row r="35" spans="1:8" x14ac:dyDescent="0.25">
      <c r="A35" s="16" t="s">
        <v>187</v>
      </c>
      <c r="B35" s="265" t="s">
        <v>180</v>
      </c>
      <c r="C35" s="35">
        <v>925</v>
      </c>
      <c r="D35" s="278">
        <v>66425</v>
      </c>
      <c r="E35" s="449">
        <v>0.5</v>
      </c>
      <c r="F35" s="447">
        <f t="shared" si="0"/>
        <v>33212.5</v>
      </c>
      <c r="G35" s="447">
        <f>F35*$F$66</f>
        <v>19279.856250000001</v>
      </c>
      <c r="H35" s="447">
        <f>F35*$G$66</f>
        <v>13932.643749999999</v>
      </c>
    </row>
    <row r="36" spans="1:8" x14ac:dyDescent="0.25">
      <c r="A36" s="16"/>
      <c r="B36" s="265"/>
      <c r="C36" s="35"/>
      <c r="D36" s="278"/>
      <c r="E36" s="449"/>
      <c r="F36" s="447"/>
      <c r="G36" s="447"/>
      <c r="H36" s="447"/>
    </row>
    <row r="37" spans="1:8" x14ac:dyDescent="0.25">
      <c r="A37" s="16" t="s">
        <v>14</v>
      </c>
      <c r="B37" s="265" t="s">
        <v>188</v>
      </c>
      <c r="C37" s="35">
        <v>925</v>
      </c>
      <c r="D37" s="278">
        <v>122500</v>
      </c>
      <c r="E37" s="449">
        <v>0.5</v>
      </c>
      <c r="F37" s="447">
        <f t="shared" si="0"/>
        <v>61250</v>
      </c>
      <c r="G37" s="447">
        <f>F37*$F$66</f>
        <v>35555.625</v>
      </c>
      <c r="H37" s="447">
        <f>F37*$G$66</f>
        <v>25694.375</v>
      </c>
    </row>
    <row r="38" spans="1:8" x14ac:dyDescent="0.25">
      <c r="A38" s="16"/>
      <c r="B38" s="265"/>
      <c r="C38" s="35"/>
      <c r="D38" s="278"/>
      <c r="E38" s="449"/>
      <c r="F38" s="447"/>
      <c r="G38" s="447"/>
      <c r="H38" s="447"/>
    </row>
    <row r="39" spans="1:8" x14ac:dyDescent="0.25">
      <c r="A39" s="16" t="s">
        <v>14</v>
      </c>
      <c r="B39" s="265" t="s">
        <v>188</v>
      </c>
      <c r="C39" s="35">
        <v>924</v>
      </c>
      <c r="D39" s="278">
        <v>122500</v>
      </c>
      <c r="E39" s="449">
        <v>1</v>
      </c>
      <c r="F39" s="447">
        <f t="shared" si="0"/>
        <v>122500</v>
      </c>
      <c r="G39" s="447">
        <f>F39*$F$65</f>
        <v>73965.5</v>
      </c>
      <c r="H39" s="447">
        <f>F39*$G$65</f>
        <v>48534.5</v>
      </c>
    </row>
    <row r="40" spans="1:8" x14ac:dyDescent="0.25">
      <c r="A40" s="16"/>
      <c r="B40" s="265"/>
      <c r="C40" s="35"/>
      <c r="D40" s="278"/>
      <c r="E40" s="449"/>
      <c r="F40" s="447"/>
      <c r="G40" s="447"/>
      <c r="H40" s="447"/>
    </row>
    <row r="41" spans="1:8" x14ac:dyDescent="0.25">
      <c r="A41" s="58" t="s">
        <v>15</v>
      </c>
      <c r="B41" s="265" t="s">
        <v>184</v>
      </c>
      <c r="C41" s="35">
        <v>924</v>
      </c>
      <c r="D41" s="278">
        <v>13725</v>
      </c>
      <c r="E41" s="449">
        <v>0.5</v>
      </c>
      <c r="F41" s="447">
        <f t="shared" si="0"/>
        <v>6862.5</v>
      </c>
      <c r="G41" s="447">
        <f>F41*$F$65</f>
        <v>4143.5775000000003</v>
      </c>
      <c r="H41" s="447">
        <f>F41*$G$65</f>
        <v>2718.9225000000001</v>
      </c>
    </row>
    <row r="42" spans="1:8" x14ac:dyDescent="0.25">
      <c r="A42" s="58"/>
      <c r="B42" s="58"/>
      <c r="C42" s="265"/>
      <c r="D42" s="19"/>
      <c r="E42" s="449"/>
      <c r="F42" s="447"/>
      <c r="G42" s="447"/>
      <c r="H42" s="447"/>
    </row>
    <row r="43" spans="1:8" x14ac:dyDescent="0.25">
      <c r="A43" s="277" t="s">
        <v>58</v>
      </c>
      <c r="B43" s="37"/>
      <c r="C43" s="37"/>
      <c r="D43" s="37"/>
      <c r="E43" s="449"/>
      <c r="F43" s="447"/>
      <c r="G43" s="447"/>
      <c r="H43" s="447"/>
    </row>
    <row r="44" spans="1:8" x14ac:dyDescent="0.25">
      <c r="A44" s="58"/>
      <c r="B44" s="58"/>
      <c r="C44" s="265"/>
      <c r="D44" s="74"/>
      <c r="E44" s="449"/>
      <c r="F44" s="447"/>
      <c r="G44" s="447"/>
      <c r="H44" s="447"/>
    </row>
    <row r="45" spans="1:8" x14ac:dyDescent="0.25">
      <c r="A45" s="58" t="s">
        <v>385</v>
      </c>
      <c r="B45" s="265" t="s">
        <v>189</v>
      </c>
      <c r="C45" s="35">
        <v>924</v>
      </c>
      <c r="D45" s="278">
        <v>130350</v>
      </c>
      <c r="E45" s="449">
        <v>1</v>
      </c>
      <c r="F45" s="447">
        <f t="shared" si="0"/>
        <v>130350</v>
      </c>
      <c r="G45" s="447">
        <f>F45</f>
        <v>130350</v>
      </c>
      <c r="H45" s="447">
        <v>0</v>
      </c>
    </row>
    <row r="46" spans="1:8" x14ac:dyDescent="0.25">
      <c r="A46" s="16"/>
      <c r="B46" s="265"/>
      <c r="C46" s="35"/>
      <c r="D46" s="19"/>
      <c r="E46" s="449"/>
      <c r="F46" s="447"/>
      <c r="G46" s="447"/>
      <c r="H46" s="447"/>
    </row>
    <row r="47" spans="1:8" x14ac:dyDescent="0.25">
      <c r="A47" s="16" t="s">
        <v>386</v>
      </c>
      <c r="B47" s="265" t="s">
        <v>189</v>
      </c>
      <c r="C47" s="35">
        <v>924</v>
      </c>
      <c r="D47" s="19">
        <v>5650</v>
      </c>
      <c r="E47" s="449">
        <v>1</v>
      </c>
      <c r="F47" s="447">
        <f t="shared" si="0"/>
        <v>5650</v>
      </c>
      <c r="G47" s="447">
        <f>F47</f>
        <v>5650</v>
      </c>
      <c r="H47" s="447">
        <v>0</v>
      </c>
    </row>
    <row r="48" spans="1:8" x14ac:dyDescent="0.25">
      <c r="A48" s="16"/>
      <c r="B48" s="265"/>
      <c r="C48" s="35"/>
      <c r="D48" s="19"/>
      <c r="E48" s="449"/>
      <c r="F48" s="447"/>
      <c r="G48" s="447"/>
      <c r="H48" s="447"/>
    </row>
    <row r="49" spans="1:8" x14ac:dyDescent="0.25">
      <c r="A49" s="16" t="s">
        <v>387</v>
      </c>
      <c r="B49" s="265" t="s">
        <v>189</v>
      </c>
      <c r="C49" s="281">
        <v>924</v>
      </c>
      <c r="D49" s="19">
        <v>8330</v>
      </c>
      <c r="E49" s="449">
        <v>1</v>
      </c>
      <c r="F49" s="447">
        <f t="shared" si="0"/>
        <v>8330</v>
      </c>
      <c r="G49" s="447">
        <f>F49</f>
        <v>8330</v>
      </c>
      <c r="H49" s="447">
        <v>0</v>
      </c>
    </row>
    <row r="50" spans="1:8" x14ac:dyDescent="0.25">
      <c r="A50" s="16"/>
      <c r="B50" s="265"/>
      <c r="C50" s="281"/>
      <c r="D50" s="19"/>
      <c r="E50" s="449"/>
      <c r="F50" s="447"/>
      <c r="G50" s="447"/>
      <c r="H50" s="447"/>
    </row>
    <row r="51" spans="1:8" x14ac:dyDescent="0.25">
      <c r="A51" s="16" t="s">
        <v>388</v>
      </c>
      <c r="B51" s="265" t="s">
        <v>189</v>
      </c>
      <c r="C51" s="281">
        <v>924</v>
      </c>
      <c r="D51" s="19">
        <v>60303</v>
      </c>
      <c r="E51" s="449">
        <v>1</v>
      </c>
      <c r="F51" s="447">
        <f t="shared" si="0"/>
        <v>60303</v>
      </c>
      <c r="G51" s="447">
        <f>F51</f>
        <v>60303</v>
      </c>
      <c r="H51" s="447">
        <v>0</v>
      </c>
    </row>
    <row r="52" spans="1:8" x14ac:dyDescent="0.25">
      <c r="A52" s="16"/>
      <c r="B52" s="265"/>
      <c r="C52" s="281"/>
      <c r="D52" s="19"/>
      <c r="E52" s="449"/>
      <c r="F52" s="447"/>
      <c r="G52" s="447"/>
      <c r="H52" s="447"/>
    </row>
    <row r="53" spans="1:8" x14ac:dyDescent="0.25">
      <c r="A53" s="16" t="s">
        <v>389</v>
      </c>
      <c r="B53" s="265" t="s">
        <v>189</v>
      </c>
      <c r="C53" s="281">
        <v>924</v>
      </c>
      <c r="D53" s="19">
        <v>3595</v>
      </c>
      <c r="E53" s="449">
        <v>1</v>
      </c>
      <c r="F53" s="447">
        <f t="shared" si="0"/>
        <v>3595</v>
      </c>
      <c r="G53" s="447">
        <f>F53</f>
        <v>3595</v>
      </c>
      <c r="H53" s="447">
        <v>0</v>
      </c>
    </row>
    <row r="54" spans="1:8" x14ac:dyDescent="0.25">
      <c r="A54" s="16"/>
      <c r="B54" s="265"/>
      <c r="C54" s="281"/>
      <c r="D54" s="19"/>
      <c r="E54" s="449"/>
      <c r="F54" s="447"/>
      <c r="H54" s="447"/>
    </row>
    <row r="55" spans="1:8" x14ac:dyDescent="0.25">
      <c r="A55" s="16" t="s">
        <v>390</v>
      </c>
      <c r="B55" s="265" t="s">
        <v>189</v>
      </c>
      <c r="C55" s="281">
        <v>924</v>
      </c>
      <c r="D55" s="19">
        <v>4165</v>
      </c>
      <c r="E55" s="449">
        <v>1</v>
      </c>
      <c r="F55" s="447">
        <f t="shared" si="0"/>
        <v>4165</v>
      </c>
      <c r="G55" s="447">
        <f>F55</f>
        <v>4165</v>
      </c>
      <c r="H55" s="447">
        <v>0</v>
      </c>
    </row>
    <row r="56" spans="1:8" x14ac:dyDescent="0.25">
      <c r="A56" s="16"/>
      <c r="B56" s="265"/>
      <c r="C56" s="281"/>
      <c r="D56" s="19"/>
      <c r="E56" s="449"/>
      <c r="F56" s="447"/>
      <c r="G56" s="447"/>
      <c r="H56" s="447"/>
    </row>
    <row r="57" spans="1:8" x14ac:dyDescent="0.25">
      <c r="A57" s="16"/>
      <c r="B57" s="265"/>
      <c r="C57" s="281"/>
      <c r="D57" s="153"/>
      <c r="E57" s="449"/>
      <c r="F57" s="447"/>
      <c r="G57" s="447"/>
      <c r="H57" s="447"/>
    </row>
    <row r="58" spans="1:8" x14ac:dyDescent="0.25">
      <c r="A58" s="16"/>
      <c r="B58" s="265"/>
      <c r="C58" s="281"/>
      <c r="D58" s="153"/>
      <c r="E58" s="449"/>
      <c r="F58" s="447"/>
      <c r="G58" s="447"/>
      <c r="H58" s="447"/>
    </row>
    <row r="59" spans="1:8" x14ac:dyDescent="0.25">
      <c r="A59" s="16" t="s">
        <v>151</v>
      </c>
      <c r="B59" s="265" t="s">
        <v>150</v>
      </c>
      <c r="C59" s="281">
        <v>924</v>
      </c>
      <c r="D59" s="153">
        <v>48837</v>
      </c>
      <c r="E59" s="449">
        <v>1</v>
      </c>
      <c r="F59" s="447">
        <f t="shared" si="0"/>
        <v>48837</v>
      </c>
      <c r="G59" s="447">
        <f t="shared" ref="G59" si="1">F59</f>
        <v>48837</v>
      </c>
      <c r="H59" s="447">
        <v>0</v>
      </c>
    </row>
    <row r="60" spans="1:8" x14ac:dyDescent="0.25">
      <c r="A60" s="16"/>
      <c r="B60" s="265"/>
      <c r="C60" s="281"/>
      <c r="D60" s="153"/>
      <c r="E60" s="449"/>
    </row>
    <row r="61" spans="1:8" x14ac:dyDescent="0.25">
      <c r="A61" s="16"/>
      <c r="B61" s="265"/>
      <c r="C61" s="265"/>
      <c r="D61" s="278"/>
    </row>
    <row r="62" spans="1:8" ht="13.8" thickBot="1" x14ac:dyDescent="0.3">
      <c r="A62" s="16"/>
      <c r="B62" s="265"/>
      <c r="C62" s="265"/>
      <c r="D62" s="283">
        <f>SUM(D11:D59)</f>
        <v>5740293.4299999997</v>
      </c>
      <c r="F62" s="283">
        <f>SUM(F11:F59)</f>
        <v>3077908.7576558683</v>
      </c>
      <c r="G62" s="283">
        <f t="shared" ref="G62" si="2">SUM(G11:G59)</f>
        <v>1899326.1650692313</v>
      </c>
      <c r="H62" s="283">
        <f>SUM(H11:H59)</f>
        <v>1178582.5925866368</v>
      </c>
    </row>
    <row r="63" spans="1:8" ht="14.4" thickTop="1" thickBot="1" x14ac:dyDescent="0.3">
      <c r="A63" s="16"/>
      <c r="B63" s="16"/>
      <c r="C63" s="16"/>
      <c r="D63" s="153"/>
    </row>
    <row r="64" spans="1:8" x14ac:dyDescent="0.25">
      <c r="A64" s="16"/>
      <c r="B64" s="114"/>
      <c r="C64" s="284"/>
      <c r="D64" s="29"/>
      <c r="E64" s="284"/>
      <c r="F64" s="285" t="s">
        <v>17</v>
      </c>
      <c r="G64" s="285" t="s">
        <v>18</v>
      </c>
      <c r="H64" s="286" t="s">
        <v>40</v>
      </c>
    </row>
    <row r="65" spans="1:8" x14ac:dyDescent="0.25">
      <c r="A65" s="16"/>
      <c r="B65" s="57" t="s">
        <v>72</v>
      </c>
      <c r="C65" s="58"/>
      <c r="D65" s="74">
        <v>924</v>
      </c>
      <c r="E65" s="265">
        <v>1</v>
      </c>
      <c r="F65" s="287">
        <v>0.6038</v>
      </c>
      <c r="G65" s="287">
        <v>0.3962</v>
      </c>
      <c r="H65" s="288">
        <f>SUM(F65:G65)</f>
        <v>1</v>
      </c>
    </row>
    <row r="66" spans="1:8" ht="13.8" thickBot="1" x14ac:dyDescent="0.3">
      <c r="A66" s="16"/>
      <c r="B66" s="109" t="s">
        <v>72</v>
      </c>
      <c r="C66" s="110"/>
      <c r="D66" s="289">
        <v>925</v>
      </c>
      <c r="E66" s="290">
        <v>2</v>
      </c>
      <c r="F66" s="291">
        <v>0.58050000000000002</v>
      </c>
      <c r="G66" s="291">
        <v>0.41949999999999998</v>
      </c>
      <c r="H66" s="292">
        <f>SUM(F66:G66)</f>
        <v>1</v>
      </c>
    </row>
    <row r="67" spans="1:8" x14ac:dyDescent="0.25">
      <c r="A67" s="16"/>
      <c r="B67" s="16"/>
      <c r="C67" s="16"/>
      <c r="D67" s="153"/>
    </row>
    <row r="68" spans="1:8" x14ac:dyDescent="0.25">
      <c r="A68" s="293"/>
      <c r="B68" s="16"/>
      <c r="C68" s="16"/>
      <c r="D68" s="153"/>
    </row>
    <row r="69" spans="1:8" x14ac:dyDescent="0.25">
      <c r="A69" s="293" t="s">
        <v>153</v>
      </c>
      <c r="B69" s="16"/>
      <c r="C69" s="16"/>
      <c r="D69" s="153"/>
    </row>
    <row r="70" spans="1:8" x14ac:dyDescent="0.25">
      <c r="D70" s="153"/>
    </row>
    <row r="71" spans="1:8" x14ac:dyDescent="0.25">
      <c r="D71" s="153"/>
    </row>
    <row r="72" spans="1:8" x14ac:dyDescent="0.25">
      <c r="D72" s="153"/>
    </row>
    <row r="73" spans="1:8" x14ac:dyDescent="0.25">
      <c r="D73" s="153"/>
    </row>
    <row r="74" spans="1:8" x14ac:dyDescent="0.25">
      <c r="D74" s="153"/>
    </row>
    <row r="75" spans="1:8" x14ac:dyDescent="0.25">
      <c r="D75" s="153"/>
    </row>
    <row r="76" spans="1:8" x14ac:dyDescent="0.25">
      <c r="D76" s="153"/>
    </row>
    <row r="77" spans="1:8" x14ac:dyDescent="0.25">
      <c r="D77" s="153"/>
    </row>
    <row r="78" spans="1:8" x14ac:dyDescent="0.25">
      <c r="D78" s="153"/>
    </row>
  </sheetData>
  <mergeCells count="1">
    <mergeCell ref="E3:F3"/>
  </mergeCells>
  <phoneticPr fontId="2" type="noConversion"/>
  <pageMargins left="0.56999999999999995" right="0.37" top="0.3" bottom="0.39" header="0.17" footer="0.17"/>
  <pageSetup scale="3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3"/>
  <sheetViews>
    <sheetView zoomScale="83" zoomScaleNormal="83" workbookViewId="0">
      <selection sqref="A1:XFD1048576"/>
    </sheetView>
  </sheetViews>
  <sheetFormatPr defaultColWidth="9.109375" defaultRowHeight="13.2" x14ac:dyDescent="0.25"/>
  <cols>
    <col min="1" max="1" width="16.6640625" style="263" customWidth="1"/>
    <col min="2" max="2" width="24.5546875" style="263" customWidth="1"/>
    <col min="3" max="3" width="19.88671875" style="263" customWidth="1"/>
    <col min="4" max="4" width="13.88671875" style="263" customWidth="1"/>
    <col min="5" max="5" width="17" style="263" customWidth="1"/>
    <col min="6" max="6" width="9.109375" style="263"/>
    <col min="7" max="7" width="13.44140625" style="263" customWidth="1"/>
    <col min="8" max="8" width="12.33203125" style="263" bestFit="1" customWidth="1"/>
    <col min="9" max="9" width="13.109375" style="263" bestFit="1" customWidth="1"/>
    <col min="10" max="10" width="25.44140625" style="263" bestFit="1" customWidth="1"/>
    <col min="11" max="11" width="13.33203125" style="263" bestFit="1" customWidth="1"/>
    <col min="12" max="12" width="13.109375" style="263" bestFit="1" customWidth="1"/>
    <col min="13" max="13" width="12.33203125" style="263" customWidth="1"/>
    <col min="14" max="14" width="13.6640625" style="263" customWidth="1"/>
    <col min="15" max="15" width="15" style="263" customWidth="1"/>
    <col min="16" max="16" width="11.33203125" style="263" bestFit="1" customWidth="1"/>
    <col min="17" max="16384" width="9.109375" style="263"/>
  </cols>
  <sheetData>
    <row r="2" spans="1:18" ht="13.8" thickBot="1" x14ac:dyDescent="0.3"/>
    <row r="3" spans="1:18" ht="40.5" customHeight="1" x14ac:dyDescent="0.25">
      <c r="A3" s="424"/>
      <c r="B3" s="197" t="s">
        <v>214</v>
      </c>
      <c r="C3" s="347" t="s">
        <v>163</v>
      </c>
      <c r="D3" s="347" t="s">
        <v>164</v>
      </c>
      <c r="E3" s="425" t="s">
        <v>40</v>
      </c>
      <c r="F3" s="426"/>
      <c r="G3" s="427"/>
      <c r="H3" s="427"/>
      <c r="I3" s="427"/>
      <c r="J3" s="427"/>
      <c r="K3" s="427"/>
      <c r="L3" s="427"/>
      <c r="M3" s="427"/>
    </row>
    <row r="4" spans="1:18" x14ac:dyDescent="0.25">
      <c r="A4" s="428">
        <v>92400013</v>
      </c>
      <c r="B4" s="19">
        <f>'SAP Download'!K55</f>
        <v>2483349.12</v>
      </c>
      <c r="C4" s="429">
        <f>'Prop Ins - RYupdated'!D41-C5-C6-C7-C8</f>
        <v>1783603</v>
      </c>
      <c r="D4" s="202">
        <f>B4-C4</f>
        <v>699746.12000000011</v>
      </c>
      <c r="E4" s="429">
        <f>SUM(C4:D4)</f>
        <v>2483349.12</v>
      </c>
      <c r="F4" s="430"/>
      <c r="G4" s="202"/>
      <c r="H4" s="431"/>
      <c r="I4" s="427"/>
      <c r="J4" s="202"/>
      <c r="K4" s="202"/>
      <c r="L4" s="202"/>
      <c r="M4" s="202"/>
      <c r="N4" s="390"/>
    </row>
    <row r="5" spans="1:18" x14ac:dyDescent="0.25">
      <c r="A5" s="432" t="s">
        <v>157</v>
      </c>
      <c r="B5" s="202">
        <f>'Colstrip Ins '!M7</f>
        <v>367005.06</v>
      </c>
      <c r="C5" s="429">
        <f>'Prop Ins - RYupdated'!D38</f>
        <v>367006</v>
      </c>
      <c r="D5" s="202">
        <f t="shared" ref="D5:D8" si="0">B5-C5</f>
        <v>-0.94000000000232831</v>
      </c>
      <c r="E5" s="429">
        <f t="shared" ref="E5:E8" si="1">SUM(C5:D5)</f>
        <v>367005.06</v>
      </c>
      <c r="F5" s="430"/>
      <c r="G5" s="427"/>
      <c r="H5" s="431"/>
      <c r="I5" s="427"/>
      <c r="J5" s="202"/>
      <c r="K5" s="202"/>
      <c r="L5" s="202"/>
      <c r="M5" s="202"/>
      <c r="N5" s="390"/>
    </row>
    <row r="6" spans="1:18" x14ac:dyDescent="0.25">
      <c r="A6" s="432" t="s">
        <v>158</v>
      </c>
      <c r="B6" s="202">
        <f>'Colstrip Ins '!N7</f>
        <v>389942.85</v>
      </c>
      <c r="C6" s="429">
        <f>'Prop Ins - RYupdated'!D39</f>
        <v>389943</v>
      </c>
      <c r="D6" s="202">
        <f t="shared" si="0"/>
        <v>-0.15000000002328306</v>
      </c>
      <c r="E6" s="429">
        <f t="shared" si="1"/>
        <v>389942.85</v>
      </c>
      <c r="F6" s="430"/>
      <c r="G6" s="427"/>
      <c r="H6" s="427"/>
      <c r="I6" s="427"/>
      <c r="J6" s="202"/>
      <c r="K6" s="202"/>
      <c r="L6" s="202"/>
      <c r="M6" s="202"/>
      <c r="N6" s="390"/>
    </row>
    <row r="7" spans="1:18" x14ac:dyDescent="0.25">
      <c r="A7" s="432" t="s">
        <v>146</v>
      </c>
      <c r="B7" s="202">
        <f>'Freddy1 Ins 2018'!T6</f>
        <v>147552.0660041667</v>
      </c>
      <c r="C7" s="429">
        <f>'Prop Ins - RYupdated'!D40</f>
        <v>147552</v>
      </c>
      <c r="D7" s="202">
        <f t="shared" si="0"/>
        <v>6.6004166699713096E-2</v>
      </c>
      <c r="E7" s="429">
        <f t="shared" si="1"/>
        <v>147552.0660041667</v>
      </c>
      <c r="F7" s="430"/>
      <c r="G7" s="431"/>
      <c r="H7" s="427"/>
      <c r="I7" s="427"/>
      <c r="J7" s="202"/>
      <c r="K7" s="202"/>
      <c r="L7" s="202"/>
      <c r="M7" s="202"/>
      <c r="N7" s="390"/>
    </row>
    <row r="8" spans="1:18" x14ac:dyDescent="0.25">
      <c r="A8" s="432" t="s">
        <v>159</v>
      </c>
      <c r="B8" s="165">
        <f>'.Rates - Updated'!M21</f>
        <v>454.07339999999999</v>
      </c>
      <c r="C8" s="433">
        <f>'Prop Ins - RYupdated'!D35</f>
        <v>454</v>
      </c>
      <c r="D8" s="206">
        <f t="shared" si="0"/>
        <v>7.339999999999236E-2</v>
      </c>
      <c r="E8" s="434">
        <f t="shared" si="1"/>
        <v>454.07339999999999</v>
      </c>
      <c r="F8" s="430"/>
      <c r="G8" s="202"/>
      <c r="H8" s="427"/>
      <c r="I8" s="427"/>
      <c r="J8" s="202"/>
      <c r="K8" s="202"/>
      <c r="L8" s="202"/>
      <c r="M8" s="202"/>
      <c r="N8" s="390"/>
    </row>
    <row r="9" spans="1:18" x14ac:dyDescent="0.25">
      <c r="A9" s="209" t="s">
        <v>17</v>
      </c>
      <c r="B9" s="161">
        <f>SUM(B4:B8)</f>
        <v>3388303.1694041672</v>
      </c>
      <c r="C9" s="161">
        <f>SUM(C4:C8)</f>
        <v>2688558</v>
      </c>
      <c r="D9" s="161">
        <f>SUM(D4:D8)</f>
        <v>699745.16940416687</v>
      </c>
      <c r="E9" s="435">
        <f>SUM(E4:E8)</f>
        <v>3388303.1694041672</v>
      </c>
      <c r="F9" s="436"/>
      <c r="G9" s="437"/>
      <c r="H9" s="427"/>
      <c r="I9" s="373"/>
      <c r="J9" s="161"/>
      <c r="K9" s="161"/>
      <c r="L9" s="161"/>
      <c r="M9" s="161"/>
      <c r="N9" s="390"/>
    </row>
    <row r="10" spans="1:18" ht="16.8" x14ac:dyDescent="0.55000000000000004">
      <c r="A10" s="432"/>
      <c r="B10" s="438">
        <f>'Prop Ins - RYupdated'!D44</f>
        <v>3388303</v>
      </c>
      <c r="C10" s="439">
        <f>'Prop Ins - RYupdated'!D41</f>
        <v>2688558</v>
      </c>
      <c r="D10" s="439">
        <f>'Prop Ins - RYupdated'!D43</f>
        <v>699745</v>
      </c>
      <c r="E10" s="439">
        <f>'Prop Ins - RYupdated'!D44</f>
        <v>3388303</v>
      </c>
      <c r="F10" s="430"/>
      <c r="G10" s="427"/>
      <c r="H10" s="427"/>
      <c r="I10" s="427"/>
      <c r="J10" s="440"/>
      <c r="K10" s="391"/>
      <c r="L10" s="391"/>
      <c r="M10" s="391"/>
      <c r="N10" s="390"/>
    </row>
    <row r="11" spans="1:18" x14ac:dyDescent="0.25">
      <c r="A11" s="211" t="s">
        <v>121</v>
      </c>
      <c r="B11" s="441">
        <f>B9-B10</f>
        <v>0.16940416721627116</v>
      </c>
      <c r="C11" s="441">
        <f t="shared" ref="C11:E11" si="2">C9-C10</f>
        <v>0</v>
      </c>
      <c r="D11" s="441">
        <f t="shared" si="2"/>
        <v>0.1694041668670252</v>
      </c>
      <c r="E11" s="441">
        <f t="shared" si="2"/>
        <v>0.16940416721627116</v>
      </c>
      <c r="F11" s="430"/>
      <c r="G11" s="427"/>
      <c r="H11" s="427"/>
      <c r="I11" s="427"/>
      <c r="J11" s="202"/>
      <c r="K11" s="202"/>
      <c r="L11" s="202"/>
      <c r="M11" s="202"/>
      <c r="N11" s="390"/>
    </row>
    <row r="12" spans="1:18" x14ac:dyDescent="0.25">
      <c r="A12" s="428">
        <v>92400308</v>
      </c>
      <c r="B12" s="202">
        <f>'SAP Download'!L55</f>
        <v>44540.86</v>
      </c>
      <c r="C12" s="429">
        <f>'Prop Ins - RYupdated'!D48</f>
        <v>0</v>
      </c>
      <c r="D12" s="202">
        <f>B12-C12</f>
        <v>44540.86</v>
      </c>
      <c r="E12" s="442">
        <f>SUM(C12:D12)</f>
        <v>44540.86</v>
      </c>
      <c r="F12" s="430"/>
      <c r="G12" s="427"/>
      <c r="H12" s="427"/>
      <c r="I12" s="427"/>
      <c r="J12" s="202"/>
      <c r="K12" s="202"/>
      <c r="L12" s="202"/>
      <c r="M12" s="202"/>
      <c r="N12" s="390"/>
    </row>
    <row r="13" spans="1:18" x14ac:dyDescent="0.25">
      <c r="A13" s="428" t="s">
        <v>165</v>
      </c>
      <c r="B13" s="165">
        <f>-'SAP Download'!D28</f>
        <v>11384.831136000001</v>
      </c>
      <c r="C13" s="433">
        <f>'Prop Ins - RYupdated'!D47+'Prop Ins - RYupdated'!D49</f>
        <v>11385</v>
      </c>
      <c r="D13" s="206">
        <f>B13-C13</f>
        <v>-0.16886399999930291</v>
      </c>
      <c r="E13" s="433">
        <f t="shared" ref="E13" si="3">SUM(C13:D13)</f>
        <v>11384.831136000001</v>
      </c>
      <c r="F13" s="430"/>
      <c r="G13" s="427"/>
      <c r="H13" s="427"/>
      <c r="I13" s="427"/>
      <c r="J13" s="202"/>
      <c r="K13" s="202"/>
      <c r="L13" s="202"/>
      <c r="M13" s="202"/>
      <c r="N13" s="390"/>
      <c r="Q13" s="12"/>
      <c r="R13" s="12"/>
    </row>
    <row r="14" spans="1:18" x14ac:dyDescent="0.25">
      <c r="A14" s="209" t="s">
        <v>18</v>
      </c>
      <c r="B14" s="161">
        <f>SUM(B12:B13)</f>
        <v>55925.691136000001</v>
      </c>
      <c r="C14" s="161">
        <f>SUM(C12:C13)</f>
        <v>11385</v>
      </c>
      <c r="D14" s="161">
        <f>SUM(D12:D13)</f>
        <v>44540.691136000001</v>
      </c>
      <c r="E14" s="161">
        <f>SUM(E12:E13)</f>
        <v>55925.691136000001</v>
      </c>
      <c r="F14" s="430"/>
      <c r="G14" s="202"/>
      <c r="H14" s="427"/>
      <c r="I14" s="373"/>
      <c r="J14" s="161"/>
      <c r="K14" s="161"/>
      <c r="L14" s="161"/>
      <c r="M14" s="161"/>
      <c r="N14" s="390"/>
    </row>
    <row r="15" spans="1:18" ht="16.8" x14ac:dyDescent="0.55000000000000004">
      <c r="A15" s="209"/>
      <c r="B15" s="438">
        <f>'Prop Ins - RYupdated'!D51</f>
        <v>55926</v>
      </c>
      <c r="C15" s="439">
        <f>'Prop Ins - RYupdated'!D47</f>
        <v>11385</v>
      </c>
      <c r="D15" s="439">
        <f>'Prop Ins - RYupdated'!D50</f>
        <v>44541</v>
      </c>
      <c r="E15" s="439">
        <f>'Prop Ins - RYupdated'!D51</f>
        <v>55926</v>
      </c>
      <c r="F15" s="430"/>
      <c r="G15" s="427"/>
      <c r="H15" s="427"/>
      <c r="I15" s="373"/>
      <c r="J15" s="440"/>
      <c r="K15" s="391"/>
      <c r="L15" s="391"/>
      <c r="M15" s="391"/>
      <c r="N15" s="390"/>
    </row>
    <row r="16" spans="1:18" x14ac:dyDescent="0.25">
      <c r="A16" s="211" t="s">
        <v>121</v>
      </c>
      <c r="B16" s="441">
        <f>B14-B15</f>
        <v>-0.30886399999872083</v>
      </c>
      <c r="C16" s="441">
        <f>C14-C15</f>
        <v>0</v>
      </c>
      <c r="D16" s="441">
        <f>D14-D15</f>
        <v>-0.30886399999872083</v>
      </c>
      <c r="E16" s="441">
        <f>E14-E15</f>
        <v>-0.30886399999872083</v>
      </c>
      <c r="F16" s="430"/>
      <c r="G16" s="427"/>
      <c r="H16" s="427"/>
      <c r="I16" s="427"/>
      <c r="J16" s="202"/>
      <c r="K16" s="202"/>
      <c r="L16" s="202"/>
      <c r="M16" s="202"/>
      <c r="N16" s="390"/>
    </row>
    <row r="17" spans="1:17" x14ac:dyDescent="0.25">
      <c r="A17" s="432"/>
      <c r="B17" s="427"/>
      <c r="C17" s="429"/>
      <c r="D17" s="427"/>
      <c r="E17" s="429"/>
      <c r="F17" s="430"/>
      <c r="G17" s="427"/>
      <c r="H17" s="427"/>
      <c r="I17" s="427"/>
      <c r="J17" s="202"/>
      <c r="K17" s="202"/>
      <c r="L17" s="202"/>
      <c r="M17" s="202"/>
      <c r="N17" s="390"/>
    </row>
    <row r="18" spans="1:17" x14ac:dyDescent="0.25">
      <c r="A18" s="428">
        <v>92400634</v>
      </c>
      <c r="B18" s="202">
        <f>'SAP Download'!J55</f>
        <v>138587.79</v>
      </c>
      <c r="C18" s="429">
        <f>'Prop Ins - RYupdated'!D53</f>
        <v>166574.33772799978</v>
      </c>
      <c r="D18" s="202">
        <f>B18-C18</f>
        <v>-27986.547727999772</v>
      </c>
      <c r="E18" s="442">
        <f>SUM(C18:D18)</f>
        <v>138587.79</v>
      </c>
      <c r="F18" s="430"/>
      <c r="G18" s="443"/>
      <c r="H18" s="431"/>
      <c r="I18" s="427"/>
      <c r="J18" s="202"/>
      <c r="K18" s="202"/>
      <c r="L18" s="202"/>
      <c r="M18" s="202"/>
      <c r="N18" s="390"/>
    </row>
    <row r="19" spans="1:17" x14ac:dyDescent="0.25">
      <c r="A19" s="428">
        <v>92400635</v>
      </c>
      <c r="B19" s="165">
        <f>'SAP Download'!I55</f>
        <v>27987.61</v>
      </c>
      <c r="C19" s="165">
        <v>0</v>
      </c>
      <c r="D19" s="206">
        <f>B19-C19</f>
        <v>27987.61</v>
      </c>
      <c r="E19" s="433">
        <f t="shared" ref="E19" si="4">SUM(C19:D19)</f>
        <v>27987.61</v>
      </c>
      <c r="F19" s="430"/>
      <c r="G19" s="443"/>
      <c r="H19" s="431"/>
      <c r="I19" s="373"/>
      <c r="J19" s="161"/>
      <c r="K19" s="161"/>
      <c r="L19" s="161"/>
      <c r="M19" s="161"/>
      <c r="N19" s="390"/>
      <c r="Q19" s="16"/>
    </row>
    <row r="20" spans="1:17" ht="16.8" x14ac:dyDescent="0.55000000000000004">
      <c r="A20" s="209" t="s">
        <v>31</v>
      </c>
      <c r="B20" s="161">
        <f>SUM(B18:B19)</f>
        <v>166575.40000000002</v>
      </c>
      <c r="C20" s="161">
        <f>SUM(C18:C19)</f>
        <v>166574.33772799978</v>
      </c>
      <c r="D20" s="161">
        <f>SUM(D18:D19)</f>
        <v>1.0622720002284041</v>
      </c>
      <c r="E20" s="161">
        <f>SUM(E18:E19)</f>
        <v>166575.40000000002</v>
      </c>
      <c r="F20" s="430"/>
      <c r="G20" s="427"/>
      <c r="H20" s="427"/>
      <c r="I20" s="427"/>
      <c r="J20" s="440"/>
      <c r="K20" s="391"/>
      <c r="L20" s="391"/>
      <c r="M20" s="391"/>
      <c r="N20" s="390"/>
    </row>
    <row r="21" spans="1:17" ht="16.8" x14ac:dyDescent="0.55000000000000004">
      <c r="A21" s="209"/>
      <c r="B21" s="438">
        <f>'Prop Ins - RYupdated'!D53</f>
        <v>166574.33772799978</v>
      </c>
      <c r="C21" s="438">
        <f>'Prop Ins - RYupdated'!D53</f>
        <v>166574.33772799978</v>
      </c>
      <c r="D21" s="438"/>
      <c r="E21" s="438">
        <f>'Prop Ins - RYupdated'!D53</f>
        <v>166574.33772799978</v>
      </c>
      <c r="F21" s="430"/>
      <c r="G21" s="427"/>
      <c r="H21" s="427"/>
      <c r="I21" s="427"/>
      <c r="J21" s="202"/>
      <c r="K21" s="202"/>
      <c r="L21" s="202"/>
      <c r="M21" s="202"/>
      <c r="N21" s="390"/>
    </row>
    <row r="22" spans="1:17" x14ac:dyDescent="0.25">
      <c r="A22" s="211" t="s">
        <v>121</v>
      </c>
      <c r="B22" s="441">
        <f>B20-B21</f>
        <v>1.062272000242956</v>
      </c>
      <c r="C22" s="441">
        <f t="shared" ref="C22:E22" si="5">C20-C21</f>
        <v>0</v>
      </c>
      <c r="D22" s="441">
        <f t="shared" si="5"/>
        <v>1.0622720002284041</v>
      </c>
      <c r="E22" s="441">
        <f t="shared" si="5"/>
        <v>1.062272000242956</v>
      </c>
      <c r="F22" s="444"/>
      <c r="G22" s="427"/>
      <c r="H22" s="427"/>
      <c r="I22" s="427"/>
      <c r="J22" s="161"/>
      <c r="K22" s="161"/>
      <c r="L22" s="161"/>
      <c r="M22" s="161"/>
      <c r="N22" s="390"/>
    </row>
    <row r="23" spans="1:17" ht="17.399999999999999" thickBot="1" x14ac:dyDescent="0.6">
      <c r="A23" s="209" t="s">
        <v>40</v>
      </c>
      <c r="B23" s="98">
        <f>B9+B14+B20</f>
        <v>3610804.2605401673</v>
      </c>
      <c r="C23" s="98">
        <f>C9+C14+C20</f>
        <v>2866517.3377279998</v>
      </c>
      <c r="D23" s="98">
        <f>D9+D14+D20</f>
        <v>744286.92281216709</v>
      </c>
      <c r="E23" s="98">
        <f>E9+E14+E20</f>
        <v>3610804.2605401673</v>
      </c>
      <c r="F23" s="445"/>
      <c r="G23" s="427"/>
      <c r="H23" s="427"/>
      <c r="I23" s="427"/>
      <c r="J23" s="440"/>
      <c r="K23" s="391"/>
      <c r="L23" s="391"/>
      <c r="M23" s="391"/>
      <c r="N23" s="390"/>
    </row>
    <row r="24" spans="1:17" ht="17.399999999999999" thickTop="1" x14ac:dyDescent="0.55000000000000004">
      <c r="B24" s="440">
        <f>'Prop Ins - RYupdated'!D12</f>
        <v>3610803.3377279998</v>
      </c>
      <c r="C24" s="391"/>
      <c r="D24" s="391"/>
      <c r="E24" s="391">
        <f>'Prop Ins - RYupdated'!D12</f>
        <v>3610803.3377279998</v>
      </c>
      <c r="G24" s="427"/>
      <c r="H24" s="202"/>
      <c r="I24" s="427"/>
      <c r="J24" s="427"/>
      <c r="K24" s="202"/>
      <c r="L24" s="202"/>
      <c r="M24" s="202"/>
      <c r="N24" s="390"/>
    </row>
    <row r="25" spans="1:17" x14ac:dyDescent="0.25">
      <c r="A25" s="211" t="s">
        <v>121</v>
      </c>
      <c r="B25" s="446">
        <f>B23-B24</f>
        <v>0.92281216755509377</v>
      </c>
      <c r="C25" s="446"/>
      <c r="D25" s="429"/>
      <c r="E25" s="446">
        <f>E23-E24</f>
        <v>0.92281216755509377</v>
      </c>
      <c r="H25" s="390"/>
      <c r="K25" s="390"/>
      <c r="L25" s="390"/>
      <c r="M25" s="390"/>
      <c r="N25" s="390"/>
    </row>
    <row r="26" spans="1:17" x14ac:dyDescent="0.25">
      <c r="H26" s="390"/>
    </row>
    <row r="27" spans="1:17" x14ac:dyDescent="0.25">
      <c r="H27" s="390"/>
    </row>
    <row r="28" spans="1:17" x14ac:dyDescent="0.25">
      <c r="A28" s="12"/>
      <c r="B28" s="390"/>
    </row>
    <row r="29" spans="1:17" x14ac:dyDescent="0.25">
      <c r="P29" s="447"/>
    </row>
    <row r="30" spans="1:17" x14ac:dyDescent="0.25">
      <c r="P30" s="447"/>
    </row>
    <row r="31" spans="1:17" x14ac:dyDescent="0.25">
      <c r="K31" s="218"/>
      <c r="L31" s="448"/>
      <c r="P31" s="447"/>
    </row>
    <row r="32" spans="1:17" x14ac:dyDescent="0.25">
      <c r="K32" s="218"/>
      <c r="L32" s="218"/>
      <c r="P32" s="447"/>
    </row>
    <row r="33" spans="16:16" x14ac:dyDescent="0.25">
      <c r="P33" s="447"/>
    </row>
  </sheetData>
  <pageMargins left="0.7" right="0.7" top="0.75" bottom="0.75" header="0.3" footer="0.3"/>
  <pageSetup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8"/>
  <sheetViews>
    <sheetView zoomScale="78" zoomScaleNormal="78" workbookViewId="0">
      <selection sqref="A1:XFD1048576"/>
    </sheetView>
  </sheetViews>
  <sheetFormatPr defaultColWidth="9.109375" defaultRowHeight="14.4" x14ac:dyDescent="0.25"/>
  <cols>
    <col min="1" max="1" width="2.6640625" style="294" customWidth="1"/>
    <col min="2" max="2" width="67.5546875" style="294" customWidth="1"/>
    <col min="3" max="3" width="28.109375" style="294" customWidth="1"/>
    <col min="4" max="4" width="26.33203125" style="294" bestFit="1" customWidth="1"/>
    <col min="5" max="5" width="12.44140625" style="294" bestFit="1" customWidth="1"/>
    <col min="6" max="6" width="12.33203125" style="294" bestFit="1" customWidth="1"/>
    <col min="7" max="7" width="9.109375" style="294"/>
    <col min="8" max="8" width="11.109375" style="294" bestFit="1" customWidth="1"/>
    <col min="9" max="16384" width="9.109375" style="294"/>
  </cols>
  <sheetData>
    <row r="1" spans="2:4" ht="23.4" x14ac:dyDescent="0.25">
      <c r="D1" s="295"/>
    </row>
    <row r="2" spans="2:4" ht="24" thickBot="1" x14ac:dyDescent="0.35">
      <c r="B2" s="264" t="s">
        <v>34</v>
      </c>
      <c r="C2" s="264"/>
      <c r="D2" s="296"/>
    </row>
    <row r="3" spans="2:4" ht="29.4" thickBot="1" x14ac:dyDescent="0.3">
      <c r="B3" s="297"/>
      <c r="C3" s="419" t="s">
        <v>190</v>
      </c>
      <c r="D3" s="300" t="s">
        <v>191</v>
      </c>
    </row>
    <row r="4" spans="2:4" x14ac:dyDescent="0.25">
      <c r="B4" s="301" t="s">
        <v>73</v>
      </c>
      <c r="C4" s="302"/>
      <c r="D4" s="420"/>
    </row>
    <row r="5" spans="2:4" x14ac:dyDescent="0.25">
      <c r="B5" s="305" t="s">
        <v>92</v>
      </c>
      <c r="C5" s="306">
        <v>3700000</v>
      </c>
      <c r="D5" s="314">
        <v>3100000</v>
      </c>
    </row>
    <row r="6" spans="2:4" x14ac:dyDescent="0.25">
      <c r="B6" s="305" t="s">
        <v>93</v>
      </c>
      <c r="C6" s="308">
        <v>-395824</v>
      </c>
      <c r="D6" s="421">
        <v>-370928</v>
      </c>
    </row>
    <row r="7" spans="2:4" x14ac:dyDescent="0.25">
      <c r="B7" s="305" t="s">
        <v>149</v>
      </c>
      <c r="C7" s="310">
        <f>SUM(C5:C6)</f>
        <v>3304176</v>
      </c>
      <c r="D7" s="422">
        <f>SUM(D5:D6)</f>
        <v>2729072</v>
      </c>
    </row>
    <row r="8" spans="2:4" x14ac:dyDescent="0.25">
      <c r="B8" s="305" t="s">
        <v>325</v>
      </c>
      <c r="C8" s="312"/>
      <c r="D8" s="324">
        <f>'SAP Download'!B28/3*2</f>
        <v>-22769.662272000001</v>
      </c>
    </row>
    <row r="9" spans="2:4" x14ac:dyDescent="0.25">
      <c r="B9" s="305" t="s">
        <v>391</v>
      </c>
      <c r="C9" s="306">
        <v>418984</v>
      </c>
      <c r="D9" s="324">
        <v>367006</v>
      </c>
    </row>
    <row r="10" spans="2:4" x14ac:dyDescent="0.25">
      <c r="B10" s="305" t="s">
        <v>392</v>
      </c>
      <c r="C10" s="306">
        <v>445170</v>
      </c>
      <c r="D10" s="324">
        <v>389943</v>
      </c>
    </row>
    <row r="11" spans="2:4" x14ac:dyDescent="0.25">
      <c r="B11" s="305" t="s">
        <v>393</v>
      </c>
      <c r="C11" s="306">
        <v>185961</v>
      </c>
      <c r="D11" s="324">
        <v>147552</v>
      </c>
    </row>
    <row r="12" spans="2:4" ht="15" thickBot="1" x14ac:dyDescent="0.3">
      <c r="B12" s="305" t="s">
        <v>74</v>
      </c>
      <c r="C12" s="317">
        <f>SUM(C7:C11)</f>
        <v>4354291</v>
      </c>
      <c r="D12" s="316">
        <f>SUM(D7:D11)</f>
        <v>3610803.3377279998</v>
      </c>
    </row>
    <row r="13" spans="2:4" x14ac:dyDescent="0.25">
      <c r="B13" s="305"/>
      <c r="C13" s="302"/>
      <c r="D13" s="304"/>
    </row>
    <row r="14" spans="2:4" x14ac:dyDescent="0.25">
      <c r="B14" s="320" t="s">
        <v>54</v>
      </c>
      <c r="C14" s="302"/>
      <c r="D14" s="304"/>
    </row>
    <row r="15" spans="2:4" x14ac:dyDescent="0.25">
      <c r="B15" s="304"/>
      <c r="C15" s="302"/>
      <c r="D15" s="304"/>
    </row>
    <row r="16" spans="2:4" x14ac:dyDescent="0.25">
      <c r="B16" s="321" t="s">
        <v>41</v>
      </c>
      <c r="C16" s="302"/>
      <c r="D16" s="304"/>
    </row>
    <row r="17" spans="2:5" x14ac:dyDescent="0.25">
      <c r="B17" s="305" t="s">
        <v>83</v>
      </c>
      <c r="C17" s="306">
        <v>184483</v>
      </c>
      <c r="D17" s="324">
        <v>147447</v>
      </c>
    </row>
    <row r="18" spans="2:5" x14ac:dyDescent="0.25">
      <c r="B18" s="305" t="s">
        <v>42</v>
      </c>
      <c r="C18" s="306">
        <v>136912</v>
      </c>
      <c r="D18" s="324">
        <v>139843</v>
      </c>
    </row>
    <row r="19" spans="2:5" x14ac:dyDescent="0.25">
      <c r="B19" s="305" t="s">
        <v>87</v>
      </c>
      <c r="C19" s="302">
        <v>204077</v>
      </c>
      <c r="D19" s="324">
        <v>185611</v>
      </c>
    </row>
    <row r="20" spans="2:5" x14ac:dyDescent="0.25">
      <c r="B20" s="305"/>
      <c r="C20" s="302"/>
      <c r="D20" s="324"/>
    </row>
    <row r="21" spans="2:5" x14ac:dyDescent="0.25">
      <c r="B21" s="321" t="s">
        <v>43</v>
      </c>
      <c r="C21" s="302"/>
      <c r="D21" s="324"/>
    </row>
    <row r="22" spans="2:5" x14ac:dyDescent="0.25">
      <c r="B22" s="304" t="s">
        <v>44</v>
      </c>
      <c r="C22" s="302">
        <v>210225</v>
      </c>
      <c r="D22" s="324">
        <v>212621</v>
      </c>
    </row>
    <row r="23" spans="2:5" x14ac:dyDescent="0.25">
      <c r="B23" s="305" t="s">
        <v>84</v>
      </c>
      <c r="C23" s="302"/>
      <c r="D23" s="324"/>
    </row>
    <row r="24" spans="2:5" x14ac:dyDescent="0.25">
      <c r="B24" s="304" t="s">
        <v>45</v>
      </c>
      <c r="C24" s="302">
        <v>157032</v>
      </c>
      <c r="D24" s="324">
        <v>130528</v>
      </c>
    </row>
    <row r="25" spans="2:5" x14ac:dyDescent="0.25">
      <c r="B25" s="304" t="s">
        <v>46</v>
      </c>
      <c r="C25" s="302">
        <v>215515</v>
      </c>
      <c r="D25" s="324">
        <v>198514</v>
      </c>
    </row>
    <row r="26" spans="2:5" x14ac:dyDescent="0.25">
      <c r="B26" s="304"/>
      <c r="C26" s="302"/>
      <c r="D26" s="324"/>
      <c r="E26" s="318"/>
    </row>
    <row r="27" spans="2:5" x14ac:dyDescent="0.25">
      <c r="B27" s="321" t="s">
        <v>47</v>
      </c>
      <c r="C27" s="302"/>
      <c r="D27" s="324"/>
    </row>
    <row r="28" spans="2:5" x14ac:dyDescent="0.25">
      <c r="B28" s="304" t="s">
        <v>48</v>
      </c>
      <c r="C28" s="302">
        <v>1483</v>
      </c>
      <c r="D28" s="324">
        <v>1936</v>
      </c>
    </row>
    <row r="29" spans="2:5" x14ac:dyDescent="0.25">
      <c r="B29" s="304" t="s">
        <v>49</v>
      </c>
      <c r="C29" s="302">
        <v>96171</v>
      </c>
      <c r="D29" s="324">
        <v>102247</v>
      </c>
    </row>
    <row r="30" spans="2:5" x14ac:dyDescent="0.25">
      <c r="B30" s="304" t="s">
        <v>50</v>
      </c>
      <c r="C30" s="302">
        <v>94434</v>
      </c>
      <c r="D30" s="324">
        <v>78283</v>
      </c>
    </row>
    <row r="31" spans="2:5" x14ac:dyDescent="0.25">
      <c r="B31" s="304" t="s">
        <v>51</v>
      </c>
      <c r="C31" s="302">
        <v>47984</v>
      </c>
      <c r="D31" s="324">
        <v>59589</v>
      </c>
    </row>
    <row r="32" spans="2:5" x14ac:dyDescent="0.25">
      <c r="B32" s="304" t="s">
        <v>52</v>
      </c>
      <c r="C32" s="302">
        <v>199572</v>
      </c>
      <c r="D32" s="324">
        <v>171152</v>
      </c>
    </row>
    <row r="33" spans="2:8" x14ac:dyDescent="0.25">
      <c r="B33" s="304" t="s">
        <v>53</v>
      </c>
      <c r="C33" s="302">
        <v>79239</v>
      </c>
      <c r="D33" s="324">
        <v>80045</v>
      </c>
    </row>
    <row r="34" spans="2:8" x14ac:dyDescent="0.25">
      <c r="B34" s="305" t="s">
        <v>75</v>
      </c>
      <c r="C34" s="302">
        <v>45050</v>
      </c>
      <c r="D34" s="324">
        <v>67604</v>
      </c>
    </row>
    <row r="35" spans="2:8" x14ac:dyDescent="0.25">
      <c r="B35" s="305" t="s">
        <v>394</v>
      </c>
      <c r="C35" s="302">
        <v>454</v>
      </c>
      <c r="D35" s="324">
        <v>454</v>
      </c>
    </row>
    <row r="36" spans="2:8" x14ac:dyDescent="0.25">
      <c r="B36" s="305" t="s">
        <v>76</v>
      </c>
      <c r="C36" s="302">
        <v>78402</v>
      </c>
      <c r="D36" s="324">
        <v>88349</v>
      </c>
    </row>
    <row r="37" spans="2:8" x14ac:dyDescent="0.25">
      <c r="B37" s="305" t="s">
        <v>88</v>
      </c>
      <c r="C37" s="302">
        <v>137389</v>
      </c>
      <c r="D37" s="324">
        <v>119834</v>
      </c>
    </row>
    <row r="38" spans="2:8" x14ac:dyDescent="0.25">
      <c r="B38" s="305" t="s">
        <v>118</v>
      </c>
      <c r="C38" s="306">
        <v>418984</v>
      </c>
      <c r="D38" s="324">
        <v>367006</v>
      </c>
    </row>
    <row r="39" spans="2:8" x14ac:dyDescent="0.25">
      <c r="B39" s="305" t="s">
        <v>119</v>
      </c>
      <c r="C39" s="306">
        <v>445170</v>
      </c>
      <c r="D39" s="324">
        <v>389943</v>
      </c>
    </row>
    <row r="40" spans="2:8" x14ac:dyDescent="0.25">
      <c r="B40" s="305" t="s">
        <v>148</v>
      </c>
      <c r="C40" s="308">
        <v>185961</v>
      </c>
      <c r="D40" s="421">
        <v>147552</v>
      </c>
      <c r="F40" s="16"/>
      <c r="G40" s="16"/>
    </row>
    <row r="41" spans="2:8" x14ac:dyDescent="0.25">
      <c r="B41" s="305" t="s">
        <v>156</v>
      </c>
      <c r="C41" s="323">
        <f>SUM(C17:C40)</f>
        <v>2938537</v>
      </c>
      <c r="D41" s="324">
        <f>SUM(D17:D40)</f>
        <v>2688558</v>
      </c>
      <c r="F41" s="16"/>
      <c r="G41" s="16"/>
    </row>
    <row r="42" spans="2:8" x14ac:dyDescent="0.25">
      <c r="B42" s="305"/>
      <c r="C42" s="323"/>
      <c r="D42" s="304"/>
      <c r="F42" s="16"/>
      <c r="G42" s="16"/>
    </row>
    <row r="43" spans="2:8" x14ac:dyDescent="0.25">
      <c r="B43" s="305" t="s">
        <v>154</v>
      </c>
      <c r="C43" s="325">
        <v>1085941</v>
      </c>
      <c r="D43" s="421">
        <v>699745</v>
      </c>
      <c r="F43" s="16"/>
      <c r="G43" s="16"/>
    </row>
    <row r="44" spans="2:8" x14ac:dyDescent="0.25">
      <c r="B44" s="305" t="s">
        <v>155</v>
      </c>
      <c r="C44" s="326">
        <f>SUM(C41:C43)</f>
        <v>4024478</v>
      </c>
      <c r="D44" s="328">
        <f t="shared" ref="D44" si="0">SUM(D41:D43)</f>
        <v>3388303</v>
      </c>
      <c r="F44" s="217"/>
      <c r="G44" s="16"/>
    </row>
    <row r="45" spans="2:8" x14ac:dyDescent="0.25">
      <c r="B45" s="304"/>
      <c r="C45" s="329"/>
      <c r="D45" s="304"/>
      <c r="F45" s="16"/>
      <c r="G45" s="16"/>
    </row>
    <row r="46" spans="2:8" x14ac:dyDescent="0.25">
      <c r="B46" s="320" t="s">
        <v>395</v>
      </c>
      <c r="C46" s="329"/>
      <c r="D46" s="304"/>
      <c r="F46" s="16"/>
      <c r="G46" s="16"/>
    </row>
    <row r="47" spans="2:8" x14ac:dyDescent="0.25">
      <c r="B47" s="305" t="s">
        <v>85</v>
      </c>
      <c r="C47" s="306">
        <v>11387</v>
      </c>
      <c r="D47" s="324">
        <v>11385</v>
      </c>
      <c r="E47" s="423"/>
      <c r="F47" s="16"/>
      <c r="G47" s="16"/>
      <c r="H47" s="330"/>
    </row>
    <row r="48" spans="2:8" x14ac:dyDescent="0.3">
      <c r="B48" s="331" t="s">
        <v>90</v>
      </c>
      <c r="C48" s="306"/>
      <c r="D48" s="324"/>
      <c r="E48" s="294" t="s">
        <v>192</v>
      </c>
      <c r="F48" s="16"/>
      <c r="G48" s="16"/>
    </row>
    <row r="49" spans="2:8" x14ac:dyDescent="0.25">
      <c r="B49" s="304" t="s">
        <v>396</v>
      </c>
      <c r="C49" s="302"/>
      <c r="D49" s="324"/>
      <c r="E49" s="294" t="s">
        <v>192</v>
      </c>
      <c r="F49" s="16"/>
      <c r="G49" s="16"/>
    </row>
    <row r="50" spans="2:8" x14ac:dyDescent="0.25">
      <c r="B50" s="304" t="s">
        <v>166</v>
      </c>
      <c r="C50" s="302">
        <v>58227</v>
      </c>
      <c r="D50" s="324">
        <v>44541</v>
      </c>
      <c r="F50" s="16"/>
      <c r="G50" s="16"/>
    </row>
    <row r="51" spans="2:8" x14ac:dyDescent="0.25">
      <c r="B51" s="332" t="s">
        <v>77</v>
      </c>
      <c r="C51" s="333">
        <v>69614</v>
      </c>
      <c r="D51" s="335">
        <f t="shared" ref="D51" si="1">SUM(D47:D50)</f>
        <v>55926</v>
      </c>
      <c r="F51" s="16"/>
      <c r="G51" s="16"/>
      <c r="H51" s="302"/>
    </row>
    <row r="52" spans="2:8" x14ac:dyDescent="0.25">
      <c r="B52" s="304"/>
      <c r="C52" s="329"/>
      <c r="D52" s="304"/>
      <c r="F52" s="16"/>
      <c r="G52" s="16"/>
    </row>
    <row r="53" spans="2:8" x14ac:dyDescent="0.25">
      <c r="B53" s="332" t="s">
        <v>78</v>
      </c>
      <c r="C53" s="336">
        <v>260199</v>
      </c>
      <c r="D53" s="338">
        <f t="shared" ref="D53" si="2">D12-D44-D51</f>
        <v>166574.33772799978</v>
      </c>
      <c r="F53" s="217"/>
      <c r="G53" s="16"/>
      <c r="H53" s="318"/>
    </row>
    <row r="54" spans="2:8" ht="15" thickBot="1" x14ac:dyDescent="0.3">
      <c r="B54" s="339"/>
      <c r="C54" s="340"/>
      <c r="D54" s="342"/>
      <c r="F54" s="16"/>
      <c r="G54" s="16"/>
    </row>
    <row r="56" spans="2:8" x14ac:dyDescent="0.25">
      <c r="B56" s="343" t="s">
        <v>91</v>
      </c>
      <c r="C56" s="343"/>
    </row>
    <row r="57" spans="2:8" x14ac:dyDescent="0.25">
      <c r="B57" s="343" t="s">
        <v>116</v>
      </c>
      <c r="C57" s="343"/>
    </row>
    <row r="58" spans="2:8" x14ac:dyDescent="0.25">
      <c r="B58" s="343" t="s">
        <v>117</v>
      </c>
      <c r="C58" s="343"/>
    </row>
    <row r="59" spans="2:8" x14ac:dyDescent="0.25">
      <c r="B59" s="343" t="s">
        <v>120</v>
      </c>
      <c r="C59" s="343"/>
    </row>
    <row r="60" spans="2:8" x14ac:dyDescent="0.25">
      <c r="B60" s="343" t="s">
        <v>147</v>
      </c>
      <c r="C60" s="343"/>
    </row>
    <row r="61" spans="2:8" x14ac:dyDescent="0.25">
      <c r="B61" s="344"/>
      <c r="C61" s="344"/>
    </row>
    <row r="62" spans="2:8" x14ac:dyDescent="0.25">
      <c r="B62" s="344"/>
      <c r="C62" s="344"/>
    </row>
    <row r="63" spans="2:8" x14ac:dyDescent="0.25">
      <c r="B63" s="344"/>
      <c r="C63" s="344"/>
    </row>
    <row r="64" spans="2:8" x14ac:dyDescent="0.25">
      <c r="B64" s="344"/>
      <c r="C64" s="344"/>
    </row>
    <row r="65" spans="2:3" x14ac:dyDescent="0.25">
      <c r="B65" s="344"/>
      <c r="C65" s="344"/>
    </row>
    <row r="67" spans="2:3" x14ac:dyDescent="0.25">
      <c r="B67" s="312"/>
      <c r="C67" s="312"/>
    </row>
    <row r="68" spans="2:3" x14ac:dyDescent="0.25">
      <c r="B68" s="312"/>
      <c r="C68" s="312"/>
    </row>
  </sheetData>
  <printOptions gridLines="1"/>
  <pageMargins left="0.81" right="0.25" top="1.42" bottom="0.52" header="0.3" footer="0.45"/>
  <pageSetup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5"/>
  <sheetViews>
    <sheetView zoomScale="90" zoomScaleNormal="90" workbookViewId="0">
      <selection sqref="A1:XFD1048576"/>
    </sheetView>
  </sheetViews>
  <sheetFormatPr defaultColWidth="9.109375" defaultRowHeight="13.2" outlineLevelCol="1" x14ac:dyDescent="0.25"/>
  <cols>
    <col min="1" max="1" width="33.109375" style="16" customWidth="1"/>
    <col min="2" max="2" width="34.33203125" style="16" hidden="1" customWidth="1" outlineLevel="1"/>
    <col min="3" max="3" width="14.5546875" style="16" hidden="1" customWidth="1" outlineLevel="1"/>
    <col min="4" max="4" width="12.88671875" style="218" hidden="1" customWidth="1" outlineLevel="1"/>
    <col min="5" max="5" width="9.109375" style="218" hidden="1" customWidth="1" outlineLevel="1"/>
    <col min="6" max="6" width="10.6640625" style="218" hidden="1" customWidth="1" outlineLevel="1"/>
    <col min="7" max="7" width="15.6640625" style="16" hidden="1" customWidth="1" outlineLevel="1"/>
    <col min="8" max="8" width="9.33203125" style="16" customWidth="1" collapsed="1"/>
    <col min="9" max="9" width="20.6640625" style="16" bestFit="1" customWidth="1"/>
    <col min="10" max="10" width="20.6640625" style="16" customWidth="1"/>
    <col min="11" max="11" width="11.5546875" style="16" customWidth="1"/>
    <col min="12" max="12" width="20.6640625" style="16" customWidth="1"/>
    <col min="13" max="13" width="23.5546875" style="16" bestFit="1" customWidth="1"/>
    <col min="14" max="14" width="20.109375" style="16" customWidth="1"/>
    <col min="15" max="15" width="2.109375" style="16" customWidth="1"/>
    <col min="16" max="16" width="20.6640625" style="16" bestFit="1" customWidth="1"/>
    <col min="17" max="17" width="16.88671875" style="7" bestFit="1" customWidth="1"/>
    <col min="18" max="18" width="13.109375" style="7" bestFit="1" customWidth="1"/>
    <col min="19" max="16384" width="9.109375" style="16"/>
  </cols>
  <sheetData>
    <row r="3" spans="1:17" ht="26.4" x14ac:dyDescent="0.25">
      <c r="A3" s="220" t="s">
        <v>217</v>
      </c>
      <c r="B3" s="221" t="s">
        <v>218</v>
      </c>
      <c r="C3" s="222" t="s">
        <v>219</v>
      </c>
      <c r="D3" s="223" t="s">
        <v>220</v>
      </c>
      <c r="E3" s="223" t="s">
        <v>221</v>
      </c>
      <c r="F3" s="223" t="s">
        <v>222</v>
      </c>
      <c r="G3" s="223" t="s">
        <v>223</v>
      </c>
      <c r="H3" s="223" t="s">
        <v>224</v>
      </c>
      <c r="I3" s="220" t="s">
        <v>225</v>
      </c>
      <c r="J3" s="224" t="s">
        <v>226</v>
      </c>
      <c r="K3" s="224" t="s">
        <v>227</v>
      </c>
      <c r="L3" s="220" t="s">
        <v>228</v>
      </c>
      <c r="M3" s="220" t="s">
        <v>229</v>
      </c>
      <c r="N3" s="224" t="s">
        <v>230</v>
      </c>
    </row>
    <row r="4" spans="1:17" x14ac:dyDescent="0.25">
      <c r="A4" s="225" t="s">
        <v>231</v>
      </c>
      <c r="B4" s="225"/>
      <c r="C4" s="225"/>
      <c r="D4" s="226">
        <v>16896380</v>
      </c>
      <c r="E4" s="227">
        <v>6.2300000000000001E-2</v>
      </c>
      <c r="F4" s="226">
        <v>10526.444739999999</v>
      </c>
      <c r="G4" s="228">
        <v>17578994</v>
      </c>
      <c r="H4" s="229">
        <v>5.4138699999999998E-2</v>
      </c>
      <c r="I4" s="230">
        <v>17547899</v>
      </c>
      <c r="J4" s="230">
        <v>9500.2043959130006</v>
      </c>
      <c r="K4" s="231">
        <v>2.5000000000000001E-2</v>
      </c>
      <c r="L4" s="230">
        <v>33586180</v>
      </c>
      <c r="M4" s="230">
        <v>8396.5450000000001</v>
      </c>
      <c r="N4" s="208" t="s">
        <v>31</v>
      </c>
    </row>
    <row r="5" spans="1:17" x14ac:dyDescent="0.25">
      <c r="A5" s="225" t="s">
        <v>232</v>
      </c>
      <c r="B5" s="225"/>
      <c r="C5" s="225"/>
      <c r="D5" s="226">
        <v>38346246</v>
      </c>
      <c r="E5" s="227">
        <v>6.2300000000000001E-2</v>
      </c>
      <c r="F5" s="226">
        <v>23889.711258000003</v>
      </c>
      <c r="G5" s="228">
        <v>39895435</v>
      </c>
      <c r="H5" s="229">
        <v>5.4138699999999998E-2</v>
      </c>
      <c r="I5" s="230">
        <v>39840094</v>
      </c>
      <c r="J5" s="230">
        <v>21568</v>
      </c>
      <c r="K5" s="231">
        <v>3.2000000000000001E-2</v>
      </c>
      <c r="L5" s="230">
        <v>61222064</v>
      </c>
      <c r="M5" s="230">
        <v>19591.06048</v>
      </c>
      <c r="N5" s="208" t="s">
        <v>31</v>
      </c>
    </row>
    <row r="6" spans="1:17" x14ac:dyDescent="0.25">
      <c r="A6" s="225" t="s">
        <v>233</v>
      </c>
      <c r="B6" s="233" t="s">
        <v>55</v>
      </c>
      <c r="C6" s="233"/>
      <c r="D6" s="234" t="s">
        <v>234</v>
      </c>
      <c r="E6" s="234"/>
      <c r="F6" s="234"/>
      <c r="G6" s="235"/>
      <c r="H6" s="208">
        <v>5.4100000000000002E-2</v>
      </c>
      <c r="I6" s="230">
        <v>28440166</v>
      </c>
      <c r="J6" s="230">
        <v>15386.129806000001</v>
      </c>
      <c r="K6" s="231">
        <v>0.02</v>
      </c>
      <c r="L6" s="230">
        <v>5728350</v>
      </c>
      <c r="M6" s="230">
        <v>1145.67</v>
      </c>
      <c r="N6" s="208" t="s">
        <v>31</v>
      </c>
    </row>
    <row r="7" spans="1:17" x14ac:dyDescent="0.25">
      <c r="A7" s="225" t="s">
        <v>235</v>
      </c>
      <c r="B7" s="208"/>
      <c r="C7" s="208"/>
      <c r="D7" s="236"/>
      <c r="E7" s="236"/>
      <c r="F7" s="236"/>
      <c r="G7" s="228"/>
      <c r="H7" s="208">
        <v>5.4100000000000002E-2</v>
      </c>
      <c r="I7" s="230">
        <v>352991041</v>
      </c>
      <c r="J7" s="230">
        <v>190968.15318100003</v>
      </c>
      <c r="K7" s="231">
        <v>3.7999999999999999E-2</v>
      </c>
      <c r="L7" s="230">
        <v>346152257</v>
      </c>
      <c r="M7" s="230">
        <v>131537.85765999998</v>
      </c>
      <c r="N7" s="208" t="s">
        <v>31</v>
      </c>
    </row>
    <row r="8" spans="1:17" x14ac:dyDescent="0.25">
      <c r="A8" s="225" t="s">
        <v>233</v>
      </c>
      <c r="B8" s="233"/>
      <c r="C8" s="233"/>
      <c r="D8" s="234"/>
      <c r="E8" s="234"/>
      <c r="F8" s="234"/>
      <c r="G8" s="235"/>
      <c r="H8" s="208"/>
      <c r="I8" s="230"/>
      <c r="J8" s="230"/>
      <c r="K8" s="231">
        <v>0.02</v>
      </c>
      <c r="L8" s="230">
        <v>12771490</v>
      </c>
      <c r="M8" s="230">
        <v>2554.2980000000002</v>
      </c>
      <c r="N8" s="208" t="s">
        <v>17</v>
      </c>
    </row>
    <row r="9" spans="1:17" x14ac:dyDescent="0.25">
      <c r="A9" s="225" t="s">
        <v>236</v>
      </c>
      <c r="B9" s="225" t="s">
        <v>237</v>
      </c>
      <c r="C9" s="225" t="s">
        <v>236</v>
      </c>
      <c r="D9" s="226">
        <v>4357000</v>
      </c>
      <c r="E9" s="227">
        <v>3.7647966966237553E-2</v>
      </c>
      <c r="F9" s="226">
        <v>1640.3219207189702</v>
      </c>
      <c r="G9" s="228">
        <v>4511000</v>
      </c>
      <c r="H9" s="229">
        <v>3.2716083293660436E-2</v>
      </c>
      <c r="I9" s="230">
        <v>4532880</v>
      </c>
      <c r="J9" s="230">
        <v>1482.9807964016754</v>
      </c>
      <c r="K9" s="231">
        <v>4.2000000000000003E-2</v>
      </c>
      <c r="L9" s="230">
        <v>4608621</v>
      </c>
      <c r="M9" s="230">
        <v>1935.6208200000003</v>
      </c>
      <c r="N9" s="208" t="s">
        <v>17</v>
      </c>
    </row>
    <row r="10" spans="1:17" ht="14.4" x14ac:dyDescent="0.25">
      <c r="A10" s="225" t="s">
        <v>238</v>
      </c>
      <c r="B10" s="225" t="s">
        <v>239</v>
      </c>
      <c r="C10" s="225" t="s">
        <v>240</v>
      </c>
      <c r="D10" s="226">
        <v>450614000</v>
      </c>
      <c r="E10" s="227">
        <v>2.1879962319304471E-2</v>
      </c>
      <c r="F10" s="226">
        <v>98594.17340551065</v>
      </c>
      <c r="G10" s="237">
        <v>669295000</v>
      </c>
      <c r="H10" s="229">
        <v>3.1399999999999997E-2</v>
      </c>
      <c r="I10" s="230">
        <v>669505759</v>
      </c>
      <c r="J10" s="230">
        <v>210224.80832599997</v>
      </c>
      <c r="K10" s="231">
        <v>3.2000000000000001E-2</v>
      </c>
      <c r="L10" s="230">
        <v>664440690</v>
      </c>
      <c r="M10" s="230">
        <v>212621.02080000003</v>
      </c>
      <c r="N10" s="208" t="s">
        <v>17</v>
      </c>
      <c r="O10" s="58"/>
      <c r="P10" s="238"/>
      <c r="Q10" s="239"/>
    </row>
    <row r="11" spans="1:17" ht="14.4" x14ac:dyDescent="0.25">
      <c r="A11" s="225" t="s">
        <v>241</v>
      </c>
      <c r="B11" s="225" t="s">
        <v>242</v>
      </c>
      <c r="C11" s="225" t="s">
        <v>240</v>
      </c>
      <c r="D11" s="226">
        <v>346194000</v>
      </c>
      <c r="E11" s="227">
        <v>3.6080283509341997E-2</v>
      </c>
      <c r="F11" s="226">
        <v>124907.77669233143</v>
      </c>
      <c r="G11" s="228">
        <v>383006000</v>
      </c>
      <c r="H11" s="229">
        <v>4.1000000000000002E-2</v>
      </c>
      <c r="I11" s="230">
        <v>383006000</v>
      </c>
      <c r="J11" s="230">
        <v>157032.46</v>
      </c>
      <c r="K11" s="231">
        <v>3.2000000000000001E-2</v>
      </c>
      <c r="L11" s="230">
        <v>407900310</v>
      </c>
      <c r="M11" s="230">
        <v>130528.0992</v>
      </c>
      <c r="N11" s="208" t="s">
        <v>17</v>
      </c>
      <c r="O11" s="58"/>
      <c r="P11" s="238"/>
      <c r="Q11" s="239"/>
    </row>
    <row r="12" spans="1:17" ht="14.4" x14ac:dyDescent="0.25">
      <c r="A12" s="225" t="s">
        <v>243</v>
      </c>
      <c r="B12" s="225" t="s">
        <v>244</v>
      </c>
      <c r="C12" s="225" t="s">
        <v>245</v>
      </c>
      <c r="D12" s="226">
        <v>256871236</v>
      </c>
      <c r="E12" s="227">
        <v>9.4053860630722269E-2</v>
      </c>
      <c r="F12" s="226">
        <v>241597.31430785367</v>
      </c>
      <c r="G12" s="228">
        <v>267151000</v>
      </c>
      <c r="H12" s="229">
        <v>8.1732804888097657E-2</v>
      </c>
      <c r="I12" s="230">
        <v>263682120</v>
      </c>
      <c r="J12" s="230">
        <v>215514.79266439952</v>
      </c>
      <c r="K12" s="231">
        <v>7.0000000000000007E-2</v>
      </c>
      <c r="L12" s="230">
        <v>283592113</v>
      </c>
      <c r="M12" s="230">
        <v>198514.4791</v>
      </c>
      <c r="N12" s="208" t="s">
        <v>17</v>
      </c>
      <c r="O12" s="58"/>
      <c r="P12" s="238"/>
      <c r="Q12" s="239"/>
    </row>
    <row r="13" spans="1:17" ht="14.4" x14ac:dyDescent="0.25">
      <c r="A13" s="225" t="s">
        <v>246</v>
      </c>
      <c r="B13" s="225" t="s">
        <v>247</v>
      </c>
      <c r="C13" s="225" t="s">
        <v>248</v>
      </c>
      <c r="D13" s="226">
        <v>289667000</v>
      </c>
      <c r="E13" s="227">
        <v>8.8668649363099969E-2</v>
      </c>
      <c r="F13" s="226">
        <v>256843.81655061079</v>
      </c>
      <c r="G13" s="228">
        <v>298542000</v>
      </c>
      <c r="H13" s="229">
        <v>7.7053056296533876E-2</v>
      </c>
      <c r="I13" s="230">
        <v>239423441</v>
      </c>
      <c r="J13" s="230">
        <v>184483.07878082857</v>
      </c>
      <c r="K13" s="231">
        <v>5.5E-2</v>
      </c>
      <c r="L13" s="230">
        <v>268085273</v>
      </c>
      <c r="M13" s="230">
        <v>147446.90015</v>
      </c>
      <c r="N13" s="208" t="s">
        <v>17</v>
      </c>
      <c r="O13" s="58"/>
      <c r="P13" s="238"/>
      <c r="Q13" s="239"/>
    </row>
    <row r="14" spans="1:17" ht="14.4" x14ac:dyDescent="0.25">
      <c r="A14" s="225" t="s">
        <v>249</v>
      </c>
      <c r="B14" s="225" t="s">
        <v>250</v>
      </c>
      <c r="C14" s="225" t="s">
        <v>251</v>
      </c>
      <c r="D14" s="226">
        <v>662297000</v>
      </c>
      <c r="E14" s="227">
        <v>3.7120215224820029E-2</v>
      </c>
      <c r="F14" s="226">
        <v>245846.07182752629</v>
      </c>
      <c r="G14" s="237">
        <v>682901000</v>
      </c>
      <c r="H14" s="229">
        <v>3.2257467030368601E-2</v>
      </c>
      <c r="I14" s="230">
        <v>424436105</v>
      </c>
      <c r="J14" s="230">
        <v>136912.33663535566</v>
      </c>
      <c r="K14" s="231">
        <v>0.03</v>
      </c>
      <c r="L14" s="230">
        <v>466144260</v>
      </c>
      <c r="M14" s="230">
        <v>139843.27799999999</v>
      </c>
      <c r="N14" s="208" t="s">
        <v>17</v>
      </c>
      <c r="O14" s="58"/>
      <c r="P14" s="238"/>
      <c r="Q14" s="239"/>
    </row>
    <row r="15" spans="1:17" ht="14.4" x14ac:dyDescent="0.25">
      <c r="A15" s="225" t="s">
        <v>252</v>
      </c>
      <c r="B15" s="225"/>
      <c r="C15" s="225"/>
      <c r="D15" s="226">
        <v>629831000</v>
      </c>
      <c r="E15" s="227">
        <v>3.9554579999999999E-2</v>
      </c>
      <c r="F15" s="226">
        <v>249127.00675979999</v>
      </c>
      <c r="G15" s="237">
        <v>648907000</v>
      </c>
      <c r="H15" s="229">
        <v>3.4372930019999998E-2</v>
      </c>
      <c r="I15" s="230">
        <v>593714663</v>
      </c>
      <c r="J15" s="230">
        <v>204077.12563146881</v>
      </c>
      <c r="K15" s="231">
        <v>0.03</v>
      </c>
      <c r="L15" s="230">
        <v>618703734</v>
      </c>
      <c r="M15" s="230">
        <v>185611.1202</v>
      </c>
      <c r="N15" s="208" t="s">
        <v>17</v>
      </c>
      <c r="O15" s="58"/>
      <c r="P15" s="238"/>
      <c r="Q15" s="239"/>
    </row>
    <row r="16" spans="1:17" ht="14.4" x14ac:dyDescent="0.25">
      <c r="A16" s="225" t="s">
        <v>253</v>
      </c>
      <c r="B16" s="225"/>
      <c r="C16" s="225"/>
      <c r="D16" s="226"/>
      <c r="E16" s="227"/>
      <c r="F16" s="226"/>
      <c r="G16" s="237"/>
      <c r="H16" s="229"/>
      <c r="I16" s="230"/>
      <c r="J16" s="230"/>
      <c r="K16" s="231">
        <v>2.6499999999999999E-2</v>
      </c>
      <c r="L16" s="230">
        <v>14448105</v>
      </c>
      <c r="M16" s="230">
        <v>3828.7478249999999</v>
      </c>
      <c r="N16" s="208" t="s">
        <v>17</v>
      </c>
      <c r="O16" s="58"/>
      <c r="P16" s="238"/>
      <c r="Q16" s="239"/>
    </row>
    <row r="17" spans="1:17" ht="14.4" x14ac:dyDescent="0.25">
      <c r="A17" s="225" t="s">
        <v>254</v>
      </c>
      <c r="B17" s="208"/>
      <c r="C17" s="208"/>
      <c r="D17" s="240" t="s">
        <v>255</v>
      </c>
      <c r="E17" s="236"/>
      <c r="F17" s="236"/>
      <c r="G17" s="228"/>
      <c r="H17" s="208">
        <v>5.4100000000000002E-2</v>
      </c>
      <c r="I17" s="230">
        <v>1803420927</v>
      </c>
      <c r="J17" s="230">
        <v>975650.72150700004</v>
      </c>
      <c r="K17" s="231">
        <v>3.7999999999999999E-2</v>
      </c>
      <c r="L17" s="230">
        <v>1594848550</v>
      </c>
      <c r="M17" s="230">
        <v>606042.44900000002</v>
      </c>
      <c r="N17" s="208" t="s">
        <v>17</v>
      </c>
      <c r="O17" s="58"/>
      <c r="P17" s="238"/>
      <c r="Q17" s="239"/>
    </row>
    <row r="18" spans="1:17" ht="14.4" x14ac:dyDescent="0.25">
      <c r="A18" s="225" t="s">
        <v>256</v>
      </c>
      <c r="B18" s="208"/>
      <c r="C18" s="208"/>
      <c r="D18" s="234"/>
      <c r="E18" s="234"/>
      <c r="F18" s="234"/>
      <c r="G18" s="208"/>
      <c r="H18" s="208">
        <v>5.4100000000000002E-2</v>
      </c>
      <c r="I18" s="230">
        <v>203862890</v>
      </c>
      <c r="J18" s="230">
        <v>110289.82349000001</v>
      </c>
      <c r="K18" s="231">
        <v>3.7999999999999999E-2</v>
      </c>
      <c r="L18" s="230">
        <v>229787312</v>
      </c>
      <c r="M18" s="230">
        <v>87319.17856</v>
      </c>
      <c r="N18" s="208" t="s">
        <v>17</v>
      </c>
      <c r="O18" s="58"/>
      <c r="P18" s="241"/>
      <c r="Q18" s="242"/>
    </row>
    <row r="19" spans="1:17" ht="14.4" x14ac:dyDescent="0.25">
      <c r="A19" s="225" t="s">
        <v>257</v>
      </c>
      <c r="B19" s="225" t="s">
        <v>258</v>
      </c>
      <c r="C19" s="225" t="s">
        <v>259</v>
      </c>
      <c r="D19" s="226">
        <v>400929000</v>
      </c>
      <c r="E19" s="227">
        <v>3.7303023037373935E-2</v>
      </c>
      <c r="F19" s="226">
        <v>149558.63723351294</v>
      </c>
      <c r="G19" s="237">
        <v>273220000</v>
      </c>
      <c r="H19" s="229">
        <v>3.2416327019477949E-2</v>
      </c>
      <c r="I19" s="230">
        <v>296675338</v>
      </c>
      <c r="J19" s="230">
        <v>96171.247752221519</v>
      </c>
      <c r="K19" s="231">
        <v>3.5000000000000003E-2</v>
      </c>
      <c r="L19" s="230">
        <v>292134834</v>
      </c>
      <c r="M19" s="230">
        <v>102247.19190000002</v>
      </c>
      <c r="N19" s="208" t="s">
        <v>17</v>
      </c>
      <c r="O19" s="58"/>
      <c r="P19" s="238"/>
      <c r="Q19" s="239"/>
    </row>
    <row r="20" spans="1:17" ht="14.4" x14ac:dyDescent="0.25">
      <c r="A20" s="225" t="s">
        <v>260</v>
      </c>
      <c r="B20" s="225" t="s">
        <v>261</v>
      </c>
      <c r="C20" s="225" t="s">
        <v>262</v>
      </c>
      <c r="D20" s="226">
        <v>136672000</v>
      </c>
      <c r="E20" s="227">
        <v>3.6511991174806128E-2</v>
      </c>
      <c r="F20" s="226">
        <v>49901.668578431032</v>
      </c>
      <c r="G20" s="237">
        <v>142194000</v>
      </c>
      <c r="H20" s="229">
        <v>3.1728920330906525E-2</v>
      </c>
      <c r="I20" s="230">
        <v>141985390</v>
      </c>
      <c r="J20" s="230">
        <v>45050.431274626913</v>
      </c>
      <c r="K20" s="231">
        <v>4.5499999999999999E-2</v>
      </c>
      <c r="L20" s="230">
        <v>148579486</v>
      </c>
      <c r="M20" s="230">
        <v>67603.666129999998</v>
      </c>
      <c r="N20" s="208" t="s">
        <v>17</v>
      </c>
      <c r="O20" s="58"/>
      <c r="P20" s="243"/>
      <c r="Q20" s="244"/>
    </row>
    <row r="21" spans="1:17" x14ac:dyDescent="0.25">
      <c r="A21" s="225" t="s">
        <v>263</v>
      </c>
      <c r="B21" s="225"/>
      <c r="C21" s="225" t="s">
        <v>262</v>
      </c>
      <c r="D21" s="226"/>
      <c r="E21" s="227"/>
      <c r="F21" s="226"/>
      <c r="G21" s="237">
        <v>2390000</v>
      </c>
      <c r="H21" s="229">
        <v>1.9E-2</v>
      </c>
      <c r="I21" s="230">
        <v>2389860</v>
      </c>
      <c r="J21" s="230">
        <v>454</v>
      </c>
      <c r="K21" s="231">
        <v>1.9E-2</v>
      </c>
      <c r="L21" s="230">
        <v>2389860</v>
      </c>
      <c r="M21" s="230">
        <v>454.07339999999999</v>
      </c>
      <c r="N21" s="208" t="s">
        <v>264</v>
      </c>
      <c r="O21" s="58"/>
      <c r="P21" s="418"/>
      <c r="Q21" s="10"/>
    </row>
    <row r="22" spans="1:17" x14ac:dyDescent="0.25">
      <c r="A22" s="225" t="s">
        <v>265</v>
      </c>
      <c r="B22" s="225" t="s">
        <v>266</v>
      </c>
      <c r="C22" s="225" t="s">
        <v>267</v>
      </c>
      <c r="D22" s="226">
        <v>368012000</v>
      </c>
      <c r="E22" s="227">
        <v>4.1391606233694589E-2</v>
      </c>
      <c r="F22" s="226">
        <v>152326.07793274414</v>
      </c>
      <c r="G22" s="237">
        <v>382879000</v>
      </c>
      <c r="H22" s="229">
        <v>3.5969305817080598E-2</v>
      </c>
      <c r="I22" s="230">
        <v>217968722</v>
      </c>
      <c r="J22" s="230">
        <v>78401.836201762242</v>
      </c>
      <c r="K22" s="231">
        <v>0.04</v>
      </c>
      <c r="L22" s="230">
        <v>220873522</v>
      </c>
      <c r="M22" s="230">
        <v>88349.408800000005</v>
      </c>
      <c r="N22" s="208" t="s">
        <v>17</v>
      </c>
      <c r="O22" s="58"/>
      <c r="P22" s="58"/>
      <c r="Q22" s="10"/>
    </row>
    <row r="23" spans="1:17" x14ac:dyDescent="0.25">
      <c r="A23" s="225" t="s">
        <v>268</v>
      </c>
      <c r="B23" s="225" t="s">
        <v>269</v>
      </c>
      <c r="C23" s="225" t="s">
        <v>270</v>
      </c>
      <c r="D23" s="226">
        <v>106878000</v>
      </c>
      <c r="E23" s="227">
        <v>9.688394257838108E-2</v>
      </c>
      <c r="F23" s="226">
        <v>103547.62014892213</v>
      </c>
      <c r="G23" s="237">
        <v>110134000</v>
      </c>
      <c r="H23" s="229">
        <v>8.4192146100613152E-2</v>
      </c>
      <c r="I23" s="230">
        <v>112164829</v>
      </c>
      <c r="J23" s="230">
        <v>94433.976705182897</v>
      </c>
      <c r="K23" s="231">
        <v>6.5000000000000002E-2</v>
      </c>
      <c r="L23" s="230">
        <v>120435661</v>
      </c>
      <c r="M23" s="230">
        <v>78283.179650000005</v>
      </c>
      <c r="N23" s="208" t="s">
        <v>17</v>
      </c>
      <c r="O23" s="58"/>
      <c r="P23" s="58"/>
      <c r="Q23" s="10"/>
    </row>
    <row r="24" spans="1:17" x14ac:dyDescent="0.25">
      <c r="A24" s="225" t="s">
        <v>271</v>
      </c>
      <c r="B24" s="225" t="s">
        <v>272</v>
      </c>
      <c r="C24" s="225" t="s">
        <v>273</v>
      </c>
      <c r="D24" s="226">
        <v>107570000</v>
      </c>
      <c r="E24" s="227">
        <v>4.8511100976614992E-2</v>
      </c>
      <c r="F24" s="226">
        <v>52183.391320544746</v>
      </c>
      <c r="G24" s="228">
        <v>110841000</v>
      </c>
      <c r="H24" s="229">
        <v>4.215614674867843E-2</v>
      </c>
      <c r="I24" s="230">
        <v>113825154</v>
      </c>
      <c r="J24" s="230">
        <v>47984.298957149222</v>
      </c>
      <c r="K24" s="231">
        <v>4.5499999999999999E-2</v>
      </c>
      <c r="L24" s="230">
        <v>130964962</v>
      </c>
      <c r="M24" s="230">
        <v>59589.057709999994</v>
      </c>
      <c r="N24" s="208" t="s">
        <v>17</v>
      </c>
      <c r="O24" s="58"/>
      <c r="P24" s="58"/>
      <c r="Q24" s="10"/>
    </row>
    <row r="25" spans="1:17" x14ac:dyDescent="0.25">
      <c r="A25" s="225" t="s">
        <v>274</v>
      </c>
      <c r="B25" s="225" t="s">
        <v>275</v>
      </c>
      <c r="C25" s="225" t="s">
        <v>276</v>
      </c>
      <c r="D25" s="226">
        <v>273070000</v>
      </c>
      <c r="E25" s="227">
        <v>9.7008130971476383E-2</v>
      </c>
      <c r="F25" s="226">
        <v>264900.10324381053</v>
      </c>
      <c r="G25" s="228">
        <v>281336000</v>
      </c>
      <c r="H25" s="229">
        <v>8.4300065814212982E-2</v>
      </c>
      <c r="I25" s="230">
        <v>236740487</v>
      </c>
      <c r="J25" s="230">
        <v>199572.16</v>
      </c>
      <c r="K25" s="231">
        <v>7.4999999999999997E-2</v>
      </c>
      <c r="L25" s="230">
        <v>228203028</v>
      </c>
      <c r="M25" s="230">
        <v>171152.27099999998</v>
      </c>
      <c r="N25" s="208" t="s">
        <v>17</v>
      </c>
      <c r="P25" s="7"/>
    </row>
    <row r="26" spans="1:17" x14ac:dyDescent="0.25">
      <c r="A26" s="225" t="s">
        <v>277</v>
      </c>
      <c r="B26" s="225" t="s">
        <v>278</v>
      </c>
      <c r="C26" s="225" t="s">
        <v>279</v>
      </c>
      <c r="D26" s="226">
        <v>181431000</v>
      </c>
      <c r="E26" s="227">
        <v>2.7222016264915234E-2</v>
      </c>
      <c r="F26" s="226">
        <v>49389.176329598355</v>
      </c>
      <c r="G26" s="237">
        <v>185060000</v>
      </c>
      <c r="H26" s="229">
        <v>4.2200000000000001E-2</v>
      </c>
      <c r="I26" s="230">
        <v>187771156</v>
      </c>
      <c r="J26" s="230">
        <v>79239.427832000001</v>
      </c>
      <c r="K26" s="231">
        <v>0.04</v>
      </c>
      <c r="L26" s="230">
        <v>200111948</v>
      </c>
      <c r="M26" s="230">
        <v>80044.779200000004</v>
      </c>
      <c r="N26" s="208" t="s">
        <v>17</v>
      </c>
    </row>
    <row r="27" spans="1:17" x14ac:dyDescent="0.25">
      <c r="A27" s="225" t="s">
        <v>280</v>
      </c>
      <c r="B27" s="225"/>
      <c r="C27" s="225" t="s">
        <v>281</v>
      </c>
      <c r="D27" s="226">
        <v>226443000</v>
      </c>
      <c r="E27" s="227">
        <v>6.6316799999999995E-2</v>
      </c>
      <c r="F27" s="226">
        <v>150169.75142399999</v>
      </c>
      <c r="G27" s="237">
        <v>235591000</v>
      </c>
      <c r="H27" s="229">
        <v>5.7629299199999998E-2</v>
      </c>
      <c r="I27" s="230">
        <v>238400727</v>
      </c>
      <c r="J27" s="230">
        <v>137388.66825780517</v>
      </c>
      <c r="K27" s="231">
        <v>4.9000000000000002E-2</v>
      </c>
      <c r="L27" s="230">
        <v>244559955</v>
      </c>
      <c r="M27" s="230">
        <v>119834.37794999999</v>
      </c>
      <c r="N27" s="208" t="s">
        <v>17</v>
      </c>
    </row>
    <row r="28" spans="1:17" x14ac:dyDescent="0.25">
      <c r="A28" s="225" t="s">
        <v>282</v>
      </c>
      <c r="B28" s="208"/>
      <c r="C28" s="208"/>
      <c r="D28" s="234"/>
      <c r="E28" s="234"/>
      <c r="F28" s="234"/>
      <c r="G28" s="208"/>
      <c r="H28" s="208">
        <v>5.4100000000000002E-2</v>
      </c>
      <c r="I28" s="230">
        <v>18258844</v>
      </c>
      <c r="J28" s="230">
        <v>9878.0346040000004</v>
      </c>
      <c r="K28" s="231">
        <v>5.1999999999999998E-2</v>
      </c>
      <c r="L28" s="230">
        <v>18532598</v>
      </c>
      <c r="M28" s="230">
        <v>9636.9509599999983</v>
      </c>
      <c r="N28" s="208" t="s">
        <v>18</v>
      </c>
    </row>
    <row r="29" spans="1:17" x14ac:dyDescent="0.25">
      <c r="A29" s="225" t="s">
        <v>283</v>
      </c>
      <c r="B29" s="208"/>
      <c r="C29" s="208"/>
      <c r="D29" s="234"/>
      <c r="E29" s="234"/>
      <c r="F29" s="234"/>
      <c r="G29" s="208"/>
      <c r="H29" s="208">
        <v>5.4100000000000002E-2</v>
      </c>
      <c r="I29" s="230">
        <v>27325866</v>
      </c>
      <c r="J29" s="230">
        <v>14783.293506</v>
      </c>
      <c r="K29" s="231">
        <v>4.5499999999999999E-2</v>
      </c>
      <c r="L29" s="230">
        <v>27355073</v>
      </c>
      <c r="M29" s="230">
        <v>12446.558215000001</v>
      </c>
      <c r="N29" s="208" t="s">
        <v>18</v>
      </c>
    </row>
    <row r="30" spans="1:17" x14ac:dyDescent="0.25">
      <c r="A30" s="225" t="s">
        <v>284</v>
      </c>
      <c r="B30" s="208"/>
      <c r="C30" s="208"/>
      <c r="D30" s="240" t="s">
        <v>285</v>
      </c>
      <c r="E30" s="236"/>
      <c r="F30" s="236"/>
      <c r="G30" s="228"/>
      <c r="H30" s="208">
        <v>5.4100000000000002E-2</v>
      </c>
      <c r="I30" s="230">
        <v>7191632</v>
      </c>
      <c r="J30" s="230">
        <v>3890.6729120000005</v>
      </c>
      <c r="K30" s="231">
        <v>3.8399999999999997E-2</v>
      </c>
      <c r="L30" s="230">
        <v>7237410</v>
      </c>
      <c r="M30" s="230">
        <v>2779.1654399999998</v>
      </c>
      <c r="N30" s="208" t="s">
        <v>18</v>
      </c>
    </row>
    <row r="31" spans="1:17" x14ac:dyDescent="0.25">
      <c r="A31" s="225" t="s">
        <v>286</v>
      </c>
      <c r="B31" s="208"/>
      <c r="C31" s="208"/>
      <c r="D31" s="234"/>
      <c r="E31" s="234"/>
      <c r="F31" s="234"/>
      <c r="G31" s="208"/>
      <c r="H31" s="208">
        <v>5.4100000000000002E-2</v>
      </c>
      <c r="I31" s="230">
        <v>54852742</v>
      </c>
      <c r="J31" s="230">
        <v>29675.333422000003</v>
      </c>
      <c r="K31" s="231">
        <v>3.7999999999999999E-2</v>
      </c>
      <c r="L31" s="230">
        <v>51784695</v>
      </c>
      <c r="M31" s="230">
        <v>19678.184099999999</v>
      </c>
      <c r="N31" s="208" t="s">
        <v>18</v>
      </c>
    </row>
    <row r="32" spans="1:17" x14ac:dyDescent="0.25">
      <c r="A32" s="225" t="s">
        <v>287</v>
      </c>
      <c r="B32" s="225" t="s">
        <v>288</v>
      </c>
      <c r="C32" s="225" t="s">
        <v>289</v>
      </c>
      <c r="D32" s="226">
        <v>94261644.829077467</v>
      </c>
      <c r="E32" s="227">
        <v>4.0082192296925299E-2</v>
      </c>
      <c r="F32" s="226">
        <v>37782.133742635575</v>
      </c>
      <c r="G32" s="245">
        <v>97170390</v>
      </c>
      <c r="H32" s="229">
        <v>3.4831425106028088E-2</v>
      </c>
      <c r="I32" s="230">
        <v>98077394</v>
      </c>
      <c r="J32" s="230">
        <v>34161</v>
      </c>
      <c r="K32" s="231">
        <v>3.4799999999999998E-2</v>
      </c>
      <c r="L32" s="230">
        <v>98145096</v>
      </c>
      <c r="M32" s="230">
        <v>34154.493408000002</v>
      </c>
      <c r="N32" s="208" t="s">
        <v>264</v>
      </c>
      <c r="P32" s="261"/>
    </row>
    <row r="33" spans="1:16" ht="26.4" x14ac:dyDescent="0.25">
      <c r="A33" s="225" t="s">
        <v>255</v>
      </c>
      <c r="B33" s="225"/>
      <c r="C33" s="225"/>
      <c r="D33" s="235">
        <v>38802593</v>
      </c>
      <c r="E33" s="246">
        <v>4.0082192296925299E-2</v>
      </c>
      <c r="F33" s="235">
        <v>49563.718704476276</v>
      </c>
      <c r="G33" s="228">
        <v>23209955</v>
      </c>
      <c r="H33" s="229">
        <v>3.4831425106028088E-2</v>
      </c>
      <c r="I33" s="232">
        <v>0</v>
      </c>
      <c r="J33" s="232">
        <v>0</v>
      </c>
      <c r="K33" s="231"/>
      <c r="L33" s="232">
        <v>0</v>
      </c>
      <c r="M33" s="232">
        <v>0</v>
      </c>
      <c r="N33" s="247" t="s">
        <v>290</v>
      </c>
    </row>
    <row r="34" spans="1:16" x14ac:dyDescent="0.25">
      <c r="A34" s="225" t="s">
        <v>291</v>
      </c>
      <c r="B34" s="225"/>
      <c r="C34" s="225"/>
      <c r="D34" s="226">
        <v>6000000</v>
      </c>
      <c r="E34" s="227">
        <v>6.2300000000000001E-2</v>
      </c>
      <c r="F34" s="226">
        <v>3738</v>
      </c>
      <c r="G34" s="228">
        <v>6367248</v>
      </c>
      <c r="H34" s="229">
        <v>5.4138699999999998E-2</v>
      </c>
      <c r="I34" s="232"/>
      <c r="J34" s="232"/>
      <c r="K34" s="231">
        <v>4.4999999999999998E-2</v>
      </c>
      <c r="L34" s="232">
        <v>13120593</v>
      </c>
      <c r="M34" s="232">
        <v>5904.2668499999991</v>
      </c>
      <c r="N34" s="247" t="s">
        <v>31</v>
      </c>
    </row>
    <row r="35" spans="1:16" ht="26.4" x14ac:dyDescent="0.25">
      <c r="A35" s="225" t="s">
        <v>292</v>
      </c>
      <c r="B35" s="225"/>
      <c r="C35" s="225"/>
      <c r="D35" s="226">
        <v>19132650</v>
      </c>
      <c r="E35" s="227">
        <v>6.2300000000000001E-2</v>
      </c>
      <c r="F35" s="226">
        <v>11919.640950000001</v>
      </c>
      <c r="G35" s="237">
        <v>19515303</v>
      </c>
      <c r="H35" s="229">
        <v>5.4138699999999998E-2</v>
      </c>
      <c r="I35" s="232"/>
      <c r="J35" s="232"/>
      <c r="K35" s="231"/>
      <c r="L35" s="232">
        <v>0</v>
      </c>
      <c r="M35" s="232">
        <v>0</v>
      </c>
      <c r="N35" s="247" t="s">
        <v>293</v>
      </c>
    </row>
    <row r="36" spans="1:16" x14ac:dyDescent="0.25">
      <c r="A36" s="225"/>
      <c r="B36" s="225"/>
      <c r="C36" s="225"/>
      <c r="D36" s="226"/>
      <c r="E36" s="227"/>
      <c r="F36" s="226"/>
      <c r="G36" s="237"/>
      <c r="H36" s="229"/>
      <c r="I36" s="248">
        <v>6778032126</v>
      </c>
      <c r="J36" s="248">
        <v>3304174.9966391148</v>
      </c>
      <c r="K36" s="248"/>
      <c r="L36" s="248">
        <v>6816448030</v>
      </c>
      <c r="M36" s="248">
        <v>2729073.9495080006</v>
      </c>
      <c r="N36" s="249"/>
    </row>
    <row r="37" spans="1:16" x14ac:dyDescent="0.25">
      <c r="J37" s="250"/>
      <c r="K37" s="250"/>
    </row>
    <row r="38" spans="1:16" x14ac:dyDescent="0.25">
      <c r="I38" s="208" t="s">
        <v>294</v>
      </c>
      <c r="J38" s="195">
        <v>100467254</v>
      </c>
      <c r="K38" s="195"/>
      <c r="L38" s="252">
        <v>100534956</v>
      </c>
      <c r="M38" s="252">
        <v>34608.566808000003</v>
      </c>
      <c r="N38" s="208" t="s">
        <v>294</v>
      </c>
    </row>
    <row r="39" spans="1:16" x14ac:dyDescent="0.25">
      <c r="I39" s="208" t="s">
        <v>295</v>
      </c>
      <c r="J39" s="195">
        <v>57387993</v>
      </c>
      <c r="K39" s="195"/>
      <c r="L39" s="252">
        <v>94808244</v>
      </c>
      <c r="M39" s="252">
        <v>27987.605479999998</v>
      </c>
      <c r="N39" s="208" t="s">
        <v>295</v>
      </c>
    </row>
    <row r="40" spans="1:16" x14ac:dyDescent="0.25">
      <c r="I40" s="208" t="s">
        <v>31</v>
      </c>
      <c r="J40" s="195">
        <v>381431207</v>
      </c>
      <c r="K40" s="195"/>
      <c r="L40" s="252">
        <v>365001200</v>
      </c>
      <c r="M40" s="252">
        <v>138587.79450999998</v>
      </c>
      <c r="N40" s="208" t="s">
        <v>31</v>
      </c>
    </row>
    <row r="41" spans="1:16" x14ac:dyDescent="0.25">
      <c r="I41" s="208" t="s">
        <v>17</v>
      </c>
      <c r="J41" s="195">
        <v>6131116588</v>
      </c>
      <c r="K41" s="195"/>
      <c r="L41" s="252">
        <v>6151193854</v>
      </c>
      <c r="M41" s="252">
        <v>2483349.1239950005</v>
      </c>
      <c r="N41" s="208" t="s">
        <v>17</v>
      </c>
    </row>
    <row r="42" spans="1:16" x14ac:dyDescent="0.25">
      <c r="I42" s="208" t="s">
        <v>296</v>
      </c>
      <c r="J42" s="195">
        <v>107629084</v>
      </c>
      <c r="K42" s="255"/>
      <c r="L42" s="252">
        <v>104909776</v>
      </c>
      <c r="M42" s="252">
        <v>44540.858714999995</v>
      </c>
      <c r="N42" s="208" t="s">
        <v>296</v>
      </c>
      <c r="P42" s="261"/>
    </row>
    <row r="43" spans="1:16" ht="13.8" thickBot="1" x14ac:dyDescent="0.3">
      <c r="I43" s="208"/>
      <c r="J43" s="256">
        <v>6778032126</v>
      </c>
      <c r="K43" s="257"/>
      <c r="L43" s="252">
        <v>6816448030</v>
      </c>
      <c r="M43" s="258">
        <v>2729073.9495080006</v>
      </c>
      <c r="N43" s="260" t="s">
        <v>297</v>
      </c>
    </row>
    <row r="45" spans="1:16" x14ac:dyDescent="0.25">
      <c r="M45" s="261"/>
    </row>
  </sheetData>
  <pageMargins left="0.25" right="0.25" top="0.75" bottom="0.75" header="0.3" footer="0.3"/>
  <pageSetup scale="5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zoomScale="70" zoomScaleNormal="70" workbookViewId="0">
      <selection sqref="A1:XFD1048576"/>
    </sheetView>
  </sheetViews>
  <sheetFormatPr defaultColWidth="8.88671875" defaultRowHeight="13.2" outlineLevelRow="1" x14ac:dyDescent="0.25"/>
  <cols>
    <col min="1" max="1" width="31.88671875" style="23" customWidth="1"/>
    <col min="2" max="13" width="12.5546875" style="23" customWidth="1"/>
    <col min="14" max="14" width="13.109375" style="23" bestFit="1" customWidth="1"/>
    <col min="15" max="15" width="21.44140625" style="23" bestFit="1" customWidth="1"/>
    <col min="16" max="16" width="8.88671875" style="23"/>
    <col min="17" max="17" width="14.109375" style="23" bestFit="1" customWidth="1"/>
    <col min="18" max="19" width="10.44140625" style="23" bestFit="1" customWidth="1"/>
    <col min="20" max="20" width="15.6640625" style="23" customWidth="1"/>
    <col min="21" max="16384" width="8.88671875" style="23"/>
  </cols>
  <sheetData>
    <row r="1" spans="1:20" ht="15.6" x14ac:dyDescent="0.25">
      <c r="A1" s="407"/>
    </row>
    <row r="4" spans="1:20" x14ac:dyDescent="0.25">
      <c r="A4" s="24" t="s">
        <v>134</v>
      </c>
      <c r="B4" s="25">
        <v>43101</v>
      </c>
      <c r="C4" s="25">
        <f>EOMONTH(B4,1)</f>
        <v>43159</v>
      </c>
      <c r="D4" s="25">
        <f t="shared" ref="D4:M4" si="0">EOMONTH(C4,1)</f>
        <v>43190</v>
      </c>
      <c r="E4" s="25">
        <f t="shared" si="0"/>
        <v>43220</v>
      </c>
      <c r="F4" s="25">
        <f t="shared" si="0"/>
        <v>43251</v>
      </c>
      <c r="G4" s="25">
        <f t="shared" si="0"/>
        <v>43281</v>
      </c>
      <c r="H4" s="25">
        <f t="shared" si="0"/>
        <v>43312</v>
      </c>
      <c r="I4" s="25">
        <f t="shared" si="0"/>
        <v>43343</v>
      </c>
      <c r="J4" s="25">
        <f t="shared" si="0"/>
        <v>43373</v>
      </c>
      <c r="K4" s="25">
        <f t="shared" si="0"/>
        <v>43404</v>
      </c>
      <c r="L4" s="25">
        <f t="shared" si="0"/>
        <v>43434</v>
      </c>
      <c r="M4" s="25">
        <f t="shared" si="0"/>
        <v>43465</v>
      </c>
      <c r="N4" s="25" t="s">
        <v>194</v>
      </c>
      <c r="O4" s="25" t="s">
        <v>195</v>
      </c>
      <c r="Q4" s="25">
        <v>43496</v>
      </c>
      <c r="R4" s="25">
        <v>43524</v>
      </c>
      <c r="S4" s="25">
        <v>43555</v>
      </c>
      <c r="T4" s="25" t="s">
        <v>195</v>
      </c>
    </row>
    <row r="5" spans="1:20" x14ac:dyDescent="0.25">
      <c r="A5" s="23" t="s">
        <v>131</v>
      </c>
      <c r="B5" s="408">
        <f>24155.48+0.02</f>
        <v>24155.5</v>
      </c>
      <c r="C5" s="408">
        <f t="shared" ref="C5:K5" si="1">24155.48+0.02</f>
        <v>24155.5</v>
      </c>
      <c r="D5" s="408">
        <f t="shared" si="1"/>
        <v>24155.5</v>
      </c>
      <c r="E5" s="408">
        <f t="shared" si="1"/>
        <v>24155.5</v>
      </c>
      <c r="F5" s="408">
        <f t="shared" si="1"/>
        <v>24155.5</v>
      </c>
      <c r="G5" s="408">
        <f t="shared" si="1"/>
        <v>24155.5</v>
      </c>
      <c r="H5" s="408">
        <f t="shared" si="1"/>
        <v>24155.5</v>
      </c>
      <c r="I5" s="408">
        <f t="shared" si="1"/>
        <v>24155.5</v>
      </c>
      <c r="J5" s="408">
        <f t="shared" si="1"/>
        <v>24155.5</v>
      </c>
      <c r="K5" s="408">
        <f t="shared" si="1"/>
        <v>24155.5</v>
      </c>
      <c r="L5" s="408">
        <v>25380.721666666668</v>
      </c>
      <c r="M5" s="408">
        <v>25380.721666666668</v>
      </c>
      <c r="N5" s="14">
        <f>SUM(B5:M5)</f>
        <v>292316.44333333336</v>
      </c>
      <c r="O5" s="8">
        <f>N5*49.85%</f>
        <v>145719.74700166669</v>
      </c>
      <c r="Q5" s="408">
        <f>'Freddy 1 Ins 2019'!I5</f>
        <v>25380.721666666668</v>
      </c>
      <c r="R5" s="408">
        <f>'Freddy 1 Ins 2019'!E5</f>
        <v>25380.721666666668</v>
      </c>
      <c r="S5" s="408">
        <f>'Freddy 1 Ins 2019'!F5</f>
        <v>25380.721666666668</v>
      </c>
      <c r="T5" s="9">
        <f>SUM(E5:M5)+SUM(Q5:S5)</f>
        <v>295992.1083333334</v>
      </c>
    </row>
    <row r="6" spans="1:20" x14ac:dyDescent="0.25">
      <c r="B6" s="408"/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Q6" s="263"/>
      <c r="R6" s="263"/>
      <c r="S6" s="263"/>
      <c r="T6" s="414">
        <f>T5*49.85%</f>
        <v>147552.0660041667</v>
      </c>
    </row>
    <row r="7" spans="1:20" x14ac:dyDescent="0.25">
      <c r="A7" s="409" t="s">
        <v>135</v>
      </c>
      <c r="B7" s="408"/>
      <c r="C7" s="408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</row>
    <row r="8" spans="1:20" x14ac:dyDescent="0.25">
      <c r="A8" s="23" t="s">
        <v>127</v>
      </c>
      <c r="B8" s="408">
        <v>660.66</v>
      </c>
      <c r="C8" s="408">
        <v>660.66</v>
      </c>
      <c r="D8" s="408">
        <v>660.66</v>
      </c>
      <c r="E8" s="408">
        <v>660.66</v>
      </c>
      <c r="F8" s="408">
        <v>660.66</v>
      </c>
      <c r="G8" s="408">
        <v>660.66</v>
      </c>
      <c r="H8" s="408">
        <v>660.66</v>
      </c>
      <c r="I8" s="408">
        <v>660.66</v>
      </c>
      <c r="J8" s="408">
        <v>660.66</v>
      </c>
      <c r="K8" s="408">
        <v>660.66</v>
      </c>
      <c r="L8" s="408">
        <v>720.59083333333331</v>
      </c>
      <c r="M8" s="408">
        <v>720.59083333333331</v>
      </c>
      <c r="N8" s="9">
        <f t="shared" ref="N8:N13" si="2">SUM(B8:M8)</f>
        <v>8047.7816666666668</v>
      </c>
      <c r="Q8" s="415"/>
    </row>
    <row r="9" spans="1:20" x14ac:dyDescent="0.25">
      <c r="A9" s="23" t="s">
        <v>136</v>
      </c>
      <c r="B9" s="408">
        <v>96.23</v>
      </c>
      <c r="C9" s="408">
        <v>96.23</v>
      </c>
      <c r="D9" s="408">
        <v>96.23</v>
      </c>
      <c r="E9" s="408">
        <v>96.23</v>
      </c>
      <c r="F9" s="408">
        <v>96.23</v>
      </c>
      <c r="G9" s="408">
        <f>96.23+111.37</f>
        <v>207.60000000000002</v>
      </c>
      <c r="H9" s="408">
        <v>96.23</v>
      </c>
      <c r="I9" s="408">
        <v>96.23</v>
      </c>
      <c r="J9" s="408">
        <v>96.23</v>
      </c>
      <c r="K9" s="408">
        <v>96.23</v>
      </c>
      <c r="L9" s="408">
        <v>630.78416666666669</v>
      </c>
      <c r="M9" s="408">
        <v>630.78416666666669</v>
      </c>
      <c r="N9" s="9">
        <f t="shared" si="2"/>
        <v>2335.2383333333337</v>
      </c>
      <c r="Q9" s="9"/>
    </row>
    <row r="10" spans="1:20" x14ac:dyDescent="0.25">
      <c r="A10" s="23" t="s">
        <v>137</v>
      </c>
      <c r="B10" s="408">
        <v>66.08</v>
      </c>
      <c r="C10" s="408">
        <v>66.08</v>
      </c>
      <c r="D10" s="408">
        <v>66.08</v>
      </c>
      <c r="E10" s="408">
        <v>66.08</v>
      </c>
      <c r="F10" s="408">
        <v>66.08</v>
      </c>
      <c r="G10" s="408">
        <v>66.08</v>
      </c>
      <c r="H10" s="408">
        <v>66.08</v>
      </c>
      <c r="I10" s="408">
        <v>66.08</v>
      </c>
      <c r="J10" s="408">
        <v>66.08</v>
      </c>
      <c r="K10" s="408">
        <v>66.08</v>
      </c>
      <c r="L10" s="408">
        <v>67.5</v>
      </c>
      <c r="M10" s="408">
        <v>67.5</v>
      </c>
      <c r="N10" s="9">
        <f t="shared" si="2"/>
        <v>795.80000000000007</v>
      </c>
      <c r="Q10" s="9"/>
    </row>
    <row r="11" spans="1:20" x14ac:dyDescent="0.25">
      <c r="A11" s="23" t="s">
        <v>138</v>
      </c>
      <c r="B11" s="408">
        <v>1162.9100000000001</v>
      </c>
      <c r="C11" s="408">
        <v>1162.9100000000001</v>
      </c>
      <c r="D11" s="408">
        <v>1162.9100000000001</v>
      </c>
      <c r="E11" s="408">
        <v>1162.9100000000001</v>
      </c>
      <c r="F11" s="408">
        <v>1162.9100000000001</v>
      </c>
      <c r="G11" s="408">
        <v>1162.9100000000001</v>
      </c>
      <c r="H11" s="408">
        <v>1162.9100000000001</v>
      </c>
      <c r="I11" s="408">
        <v>1162.9100000000001</v>
      </c>
      <c r="J11" s="408">
        <v>1162.9100000000001</v>
      </c>
      <c r="K11" s="408">
        <v>1162.9100000000001</v>
      </c>
      <c r="L11" s="408">
        <v>1175.0358333333334</v>
      </c>
      <c r="M11" s="408">
        <v>1175.0358333333334</v>
      </c>
      <c r="N11" s="9">
        <f t="shared" si="2"/>
        <v>13979.171666666667</v>
      </c>
    </row>
    <row r="12" spans="1:20" x14ac:dyDescent="0.25">
      <c r="A12" s="23" t="s">
        <v>139</v>
      </c>
      <c r="B12" s="408">
        <v>470.2</v>
      </c>
      <c r="C12" s="408">
        <v>470.2</v>
      </c>
      <c r="D12" s="408">
        <v>470.2</v>
      </c>
      <c r="E12" s="408">
        <v>470.2</v>
      </c>
      <c r="F12" s="408">
        <v>470.2</v>
      </c>
      <c r="G12" s="408">
        <v>470.2</v>
      </c>
      <c r="H12" s="408">
        <v>470.2</v>
      </c>
      <c r="I12" s="408">
        <v>470.2</v>
      </c>
      <c r="J12" s="408">
        <v>470.2</v>
      </c>
      <c r="K12" s="408">
        <v>470.2</v>
      </c>
      <c r="L12" s="408">
        <v>631.58083333333332</v>
      </c>
      <c r="M12" s="408">
        <v>631.58083333333332</v>
      </c>
      <c r="N12" s="9">
        <f t="shared" si="2"/>
        <v>5965.161666666666</v>
      </c>
    </row>
    <row r="13" spans="1:20" x14ac:dyDescent="0.25">
      <c r="A13" s="23" t="s">
        <v>140</v>
      </c>
      <c r="B13" s="408">
        <v>5521.68</v>
      </c>
      <c r="C13" s="408">
        <v>5521.68</v>
      </c>
      <c r="D13" s="408">
        <v>5521.68</v>
      </c>
      <c r="E13" s="408">
        <v>5521.68</v>
      </c>
      <c r="F13" s="408">
        <v>5521.68</v>
      </c>
      <c r="G13" s="408">
        <v>5521.68</v>
      </c>
      <c r="H13" s="408">
        <v>5521.68</v>
      </c>
      <c r="I13" s="408">
        <v>5521.68</v>
      </c>
      <c r="J13" s="408">
        <v>5521.68</v>
      </c>
      <c r="K13" s="408">
        <v>5521.68</v>
      </c>
      <c r="L13" s="408">
        <v>5814.0991666666669</v>
      </c>
      <c r="M13" s="408">
        <v>5814.0991666666669</v>
      </c>
      <c r="N13" s="9">
        <f t="shared" si="2"/>
        <v>66844.998333333337</v>
      </c>
    </row>
    <row r="14" spans="1:20" x14ac:dyDescent="0.25">
      <c r="A14" s="410" t="s">
        <v>196</v>
      </c>
      <c r="B14" s="411">
        <f>SUM(B8:B13)</f>
        <v>7977.76</v>
      </c>
      <c r="C14" s="411">
        <f t="shared" ref="C14:M14" si="3">SUM(C8:C13)</f>
        <v>7977.76</v>
      </c>
      <c r="D14" s="411">
        <f t="shared" si="3"/>
        <v>7977.76</v>
      </c>
      <c r="E14" s="411">
        <f t="shared" si="3"/>
        <v>7977.76</v>
      </c>
      <c r="F14" s="411">
        <f t="shared" si="3"/>
        <v>7977.76</v>
      </c>
      <c r="G14" s="411">
        <f t="shared" si="3"/>
        <v>8089.13</v>
      </c>
      <c r="H14" s="411">
        <f t="shared" si="3"/>
        <v>7977.76</v>
      </c>
      <c r="I14" s="411">
        <f t="shared" si="3"/>
        <v>7977.76</v>
      </c>
      <c r="J14" s="411">
        <f t="shared" si="3"/>
        <v>7977.76</v>
      </c>
      <c r="K14" s="411">
        <f t="shared" si="3"/>
        <v>7977.76</v>
      </c>
      <c r="L14" s="411">
        <f t="shared" si="3"/>
        <v>9039.5908333333336</v>
      </c>
      <c r="M14" s="411">
        <f t="shared" si="3"/>
        <v>9039.5908333333336</v>
      </c>
      <c r="N14" s="411">
        <f>SUM(N8:N13)</f>
        <v>97968.151666666672</v>
      </c>
      <c r="O14" s="8">
        <f>N14*49.85%</f>
        <v>48837.123605833338</v>
      </c>
      <c r="Q14" s="9"/>
    </row>
    <row r="15" spans="1:20" x14ac:dyDescent="0.25">
      <c r="B15" s="408"/>
      <c r="C15" s="408"/>
      <c r="D15" s="408"/>
      <c r="E15" s="408"/>
      <c r="F15" s="408"/>
      <c r="G15" s="408"/>
      <c r="H15" s="408"/>
      <c r="I15" s="408"/>
      <c r="J15" s="408"/>
      <c r="K15" s="408"/>
      <c r="L15" s="408"/>
      <c r="M15" s="408"/>
      <c r="N15" s="408"/>
    </row>
    <row r="16" spans="1:20" ht="13.8" thickBot="1" x14ac:dyDescent="0.3">
      <c r="A16" s="22" t="s">
        <v>197</v>
      </c>
      <c r="B16" s="411">
        <f>SUM(B5:B13)</f>
        <v>32133.260000000002</v>
      </c>
      <c r="C16" s="411">
        <f>SUM(C5:C13)</f>
        <v>32133.260000000002</v>
      </c>
      <c r="D16" s="411">
        <f t="shared" ref="D16:M16" si="4">SUM(D5:D13)</f>
        <v>32133.260000000002</v>
      </c>
      <c r="E16" s="411">
        <f t="shared" si="4"/>
        <v>32133.260000000002</v>
      </c>
      <c r="F16" s="411">
        <f t="shared" si="4"/>
        <v>32133.260000000002</v>
      </c>
      <c r="G16" s="411">
        <f t="shared" si="4"/>
        <v>32244.63</v>
      </c>
      <c r="H16" s="411">
        <f t="shared" si="4"/>
        <v>32133.260000000002</v>
      </c>
      <c r="I16" s="411">
        <f t="shared" si="4"/>
        <v>32133.260000000002</v>
      </c>
      <c r="J16" s="411">
        <f t="shared" si="4"/>
        <v>32133.260000000002</v>
      </c>
      <c r="K16" s="411">
        <f t="shared" si="4"/>
        <v>32133.260000000002</v>
      </c>
      <c r="L16" s="411">
        <f t="shared" si="4"/>
        <v>34420.3125</v>
      </c>
      <c r="M16" s="411">
        <f t="shared" si="4"/>
        <v>34420.3125</v>
      </c>
      <c r="N16" s="13">
        <f>SUM(B16:M16)</f>
        <v>390284.59500000003</v>
      </c>
      <c r="O16" s="13">
        <f>O5+O14</f>
        <v>194556.87060750002</v>
      </c>
    </row>
    <row r="17" spans="1:15" s="22" customFormat="1" ht="13.8" outlineLevel="1" thickTop="1" x14ac:dyDescent="0.25">
      <c r="A17" s="22" t="s">
        <v>141</v>
      </c>
      <c r="B17" s="8">
        <v>32133.26</v>
      </c>
      <c r="C17" s="8">
        <v>32133.26</v>
      </c>
      <c r="D17" s="8">
        <v>32133.26</v>
      </c>
      <c r="E17" s="8">
        <v>32133.26</v>
      </c>
      <c r="F17" s="8">
        <v>32133.26</v>
      </c>
      <c r="G17" s="8">
        <v>32244.63</v>
      </c>
      <c r="H17" s="8">
        <v>32133.26</v>
      </c>
      <c r="I17" s="8">
        <v>32133.26</v>
      </c>
      <c r="J17" s="8">
        <v>32133.26</v>
      </c>
      <c r="K17" s="8">
        <v>32133.26</v>
      </c>
      <c r="L17" s="8">
        <v>34420.31</v>
      </c>
      <c r="M17" s="8">
        <v>34420.31</v>
      </c>
      <c r="N17" s="8">
        <f>SUM(B17:M17)</f>
        <v>390284.59</v>
      </c>
    </row>
    <row r="18" spans="1:15" ht="13.8" outlineLevel="1" thickBot="1" x14ac:dyDescent="0.3">
      <c r="B18" s="13">
        <f>B16-B17</f>
        <v>0</v>
      </c>
      <c r="C18" s="13">
        <f>C16-C17</f>
        <v>0</v>
      </c>
      <c r="D18" s="13">
        <f>D16-D17</f>
        <v>0</v>
      </c>
      <c r="E18" s="13">
        <f>E16-E17</f>
        <v>0</v>
      </c>
      <c r="F18" s="13">
        <f t="shared" ref="F18" si="5">F16-F17</f>
        <v>0</v>
      </c>
      <c r="G18" s="13">
        <f>G16-G17</f>
        <v>0</v>
      </c>
      <c r="H18" s="13">
        <f>H16-H17</f>
        <v>0</v>
      </c>
      <c r="I18" s="13">
        <f>I16-I17</f>
        <v>0</v>
      </c>
      <c r="J18" s="13">
        <f t="shared" ref="J18:M18" si="6">J16-J17</f>
        <v>0</v>
      </c>
      <c r="K18" s="13">
        <f t="shared" si="6"/>
        <v>0</v>
      </c>
      <c r="L18" s="13">
        <f t="shared" si="6"/>
        <v>2.5000000023283064E-3</v>
      </c>
      <c r="M18" s="13">
        <f t="shared" si="6"/>
        <v>2.5000000023283064E-3</v>
      </c>
      <c r="N18" s="13">
        <f>N16-N17</f>
        <v>5.0000000046566129E-3</v>
      </c>
    </row>
    <row r="19" spans="1:15" ht="13.8" outlineLevel="1" thickTop="1" x14ac:dyDescent="0.25"/>
    <row r="20" spans="1:15" outlineLevel="1" x14ac:dyDescent="0.25">
      <c r="A20" s="22" t="s">
        <v>198</v>
      </c>
      <c r="B20" s="9">
        <f>B16*49.85%</f>
        <v>16018.430110000001</v>
      </c>
      <c r="C20" s="9">
        <f>C16*49.85%</f>
        <v>16018.430110000001</v>
      </c>
      <c r="D20" s="9">
        <f>D16*49.85%</f>
        <v>16018.430110000001</v>
      </c>
      <c r="E20" s="9">
        <f t="shared" ref="E20:M20" si="7">E16*49.85%</f>
        <v>16018.430110000001</v>
      </c>
      <c r="F20" s="9">
        <f t="shared" si="7"/>
        <v>16018.430110000001</v>
      </c>
      <c r="G20" s="9">
        <f>G16*49.85%</f>
        <v>16073.948055000001</v>
      </c>
      <c r="H20" s="9">
        <f t="shared" si="7"/>
        <v>16018.430110000001</v>
      </c>
      <c r="I20" s="9">
        <f t="shared" si="7"/>
        <v>16018.430110000001</v>
      </c>
      <c r="J20" s="9">
        <f t="shared" si="7"/>
        <v>16018.430110000001</v>
      </c>
      <c r="K20" s="9">
        <f t="shared" si="7"/>
        <v>16018.430110000001</v>
      </c>
      <c r="L20" s="9">
        <f t="shared" si="7"/>
        <v>17158.525781249999</v>
      </c>
      <c r="M20" s="9">
        <f t="shared" si="7"/>
        <v>17158.525781249999</v>
      </c>
      <c r="N20" s="411">
        <f>SUM(B20:M20)</f>
        <v>194556.87060750002</v>
      </c>
    </row>
    <row r="21" spans="1:15" outlineLevel="1" x14ac:dyDescent="0.25">
      <c r="A21" s="22"/>
      <c r="C21" s="9"/>
    </row>
    <row r="22" spans="1:15" outlineLevel="1" x14ac:dyDescent="0.25">
      <c r="A22" s="22" t="s">
        <v>142</v>
      </c>
      <c r="B22" s="408"/>
      <c r="C22" s="408"/>
      <c r="D22" s="408"/>
      <c r="E22" s="408"/>
      <c r="F22" s="408"/>
      <c r="G22" s="408"/>
      <c r="H22" s="408"/>
      <c r="I22" s="408"/>
      <c r="J22" s="408"/>
      <c r="K22" s="408"/>
      <c r="L22" s="408"/>
      <c r="M22" s="408"/>
      <c r="N22" s="411">
        <f>SUM(B22:M22)</f>
        <v>0</v>
      </c>
    </row>
    <row r="23" spans="1:15" outlineLevel="1" x14ac:dyDescent="0.25">
      <c r="A23" s="22"/>
    </row>
    <row r="24" spans="1:15" ht="13.8" outlineLevel="1" thickBot="1" x14ac:dyDescent="0.3">
      <c r="A24" s="22" t="s">
        <v>143</v>
      </c>
      <c r="B24" s="13">
        <f>B20-B22</f>
        <v>16018.430110000001</v>
      </c>
      <c r="C24" s="13">
        <f>C20-C22</f>
        <v>16018.430110000001</v>
      </c>
      <c r="D24" s="13">
        <f t="shared" ref="D24:M24" si="8">D20-D22</f>
        <v>16018.430110000001</v>
      </c>
      <c r="E24" s="13">
        <f>E20-E22</f>
        <v>16018.430110000001</v>
      </c>
      <c r="F24" s="13">
        <f>F20-F22</f>
        <v>16018.430110000001</v>
      </c>
      <c r="G24" s="13">
        <f>G20-G22</f>
        <v>16073.948055000001</v>
      </c>
      <c r="H24" s="13">
        <f t="shared" si="8"/>
        <v>16018.430110000001</v>
      </c>
      <c r="I24" s="13">
        <f>I20-I22</f>
        <v>16018.430110000001</v>
      </c>
      <c r="J24" s="13">
        <f t="shared" si="8"/>
        <v>16018.430110000001</v>
      </c>
      <c r="K24" s="13">
        <f t="shared" si="8"/>
        <v>16018.430110000001</v>
      </c>
      <c r="L24" s="13">
        <f t="shared" si="8"/>
        <v>17158.525781249999</v>
      </c>
      <c r="M24" s="13">
        <f t="shared" si="8"/>
        <v>17158.525781249999</v>
      </c>
      <c r="N24" s="13">
        <f>N20-N22</f>
        <v>194556.87060750002</v>
      </c>
    </row>
    <row r="25" spans="1:15" ht="13.8" thickTop="1" x14ac:dyDescent="0.25"/>
    <row r="26" spans="1:15" x14ac:dyDescent="0.25">
      <c r="A26" s="409"/>
      <c r="B26" s="408"/>
      <c r="C26" s="408"/>
      <c r="D26" s="408"/>
      <c r="E26" s="408"/>
      <c r="F26" s="408"/>
      <c r="G26" s="408"/>
      <c r="N26" s="9"/>
    </row>
    <row r="27" spans="1:15" x14ac:dyDescent="0.25">
      <c r="A27" s="416"/>
      <c r="B27" s="9"/>
      <c r="C27" s="9"/>
      <c r="D27" s="9"/>
      <c r="E27" s="9"/>
      <c r="F27" s="9"/>
      <c r="G27" s="9"/>
      <c r="N27" s="9"/>
      <c r="O27" s="9"/>
    </row>
    <row r="28" spans="1:15" x14ac:dyDescent="0.25">
      <c r="A28" s="417"/>
      <c r="N28" s="9"/>
    </row>
    <row r="29" spans="1:15" x14ac:dyDescent="0.25">
      <c r="A29" s="416"/>
    </row>
    <row r="30" spans="1:15" x14ac:dyDescent="0.25">
      <c r="A30" s="416"/>
      <c r="G30" s="9"/>
    </row>
    <row r="31" spans="1:15" x14ac:dyDescent="0.25">
      <c r="A31" s="416"/>
    </row>
    <row r="32" spans="1:15" x14ac:dyDescent="0.25">
      <c r="A32" s="416"/>
    </row>
    <row r="34" spans="1:1" x14ac:dyDescent="0.25">
      <c r="A34" s="2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F4F8B16-C6D1-426B-95DF-FB64098430C5}"/>
</file>

<file path=customXml/itemProps2.xml><?xml version="1.0" encoding="utf-8"?>
<ds:datastoreItem xmlns:ds="http://schemas.openxmlformats.org/officeDocument/2006/customXml" ds:itemID="{2958E47C-B216-43FA-9851-FE2293C7AFA6}"/>
</file>

<file path=customXml/itemProps3.xml><?xml version="1.0" encoding="utf-8"?>
<ds:datastoreItem xmlns:ds="http://schemas.openxmlformats.org/officeDocument/2006/customXml" ds:itemID="{2E8924F1-4738-4717-A90F-A436068CCE4A}"/>
</file>

<file path=customXml/itemProps4.xml><?xml version="1.0" encoding="utf-8"?>
<ds:datastoreItem xmlns:ds="http://schemas.openxmlformats.org/officeDocument/2006/customXml" ds:itemID="{C4DADF97-3DF3-45C3-9D71-380A5AF848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Lead E</vt:lpstr>
      <vt:lpstr>Lead G</vt:lpstr>
      <vt:lpstr>Summary Prop &amp; Liab Ins</vt:lpstr>
      <vt:lpstr>SAP Download</vt:lpstr>
      <vt:lpstr>Liability Ins - RY</vt:lpstr>
      <vt:lpstr>Proposal</vt:lpstr>
      <vt:lpstr>Prop Ins - RYupdated</vt:lpstr>
      <vt:lpstr>.Rates - Updated</vt:lpstr>
      <vt:lpstr>Freddy1 Ins 2018</vt:lpstr>
      <vt:lpstr>Freddy 1 Ins 2019</vt:lpstr>
      <vt:lpstr>Colstrip Ins </vt:lpstr>
      <vt:lpstr>Calculation</vt:lpstr>
      <vt:lpstr>Pro Forma&gt;&gt;</vt:lpstr>
      <vt:lpstr>Prop Ins - RYupdated (2)</vt:lpstr>
      <vt:lpstr>Liability Ins - RY (2)</vt:lpstr>
      <vt:lpstr>Rates - Updated</vt:lpstr>
      <vt:lpstr>Amortiz</vt:lpstr>
      <vt:lpstr>Colstrip 1&amp;2 2018 </vt:lpstr>
      <vt:lpstr>Colstrip 3&amp;4 2018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Peterson, Pete</cp:lastModifiedBy>
  <cp:lastPrinted>2019-03-11T15:59:08Z</cp:lastPrinted>
  <dcterms:created xsi:type="dcterms:W3CDTF">2005-10-24T15:05:02Z</dcterms:created>
  <dcterms:modified xsi:type="dcterms:W3CDTF">2020-02-28T19:38:30Z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