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348" windowWidth="14520" windowHeight="11280" tabRatio="881"/>
  </bookViews>
  <sheets>
    <sheet name="Lead E" sheetId="69" r:id="rId1"/>
    <sheet name="Summary" sheetId="1" r:id="rId2"/>
    <sheet name="3-YR AVERAGE-ELEC" sheetId="3" r:id="rId3"/>
    <sheet name="NetWriteoffs-Elec" sheetId="70" r:id="rId4"/>
    <sheet name="BS Acct-Elec" sheetId="71" r:id="rId5"/>
    <sheet name="ZO12" sheetId="72" r:id="rId6"/>
    <sheet name="SOE 12 ME 8-2018" sheetId="73" r:id="rId7"/>
  </sheets>
  <calcPr calcId="162913"/>
</workbook>
</file>

<file path=xl/calcChain.xml><?xml version="1.0" encoding="utf-8"?>
<calcChain xmlns="http://schemas.openxmlformats.org/spreadsheetml/2006/main">
  <c r="F26" i="3" l="1"/>
  <c r="D26" i="3"/>
  <c r="F25" i="3"/>
  <c r="E25" i="3"/>
  <c r="D25" i="3"/>
  <c r="F24" i="3"/>
  <c r="D24" i="3"/>
  <c r="F23" i="3"/>
  <c r="E23" i="3"/>
  <c r="D23" i="3"/>
  <c r="F22" i="3"/>
  <c r="D22" i="3"/>
  <c r="F27" i="73"/>
  <c r="E22" i="3" s="1"/>
  <c r="E27" i="73"/>
  <c r="D27" i="73"/>
  <c r="E24" i="3" s="1"/>
  <c r="C27" i="73"/>
  <c r="B27" i="73"/>
  <c r="E26" i="3" s="1"/>
  <c r="E18" i="73"/>
  <c r="E22" i="73" s="1"/>
  <c r="C18" i="73"/>
  <c r="C22" i="73" s="1"/>
  <c r="F16" i="73"/>
  <c r="F18" i="73" s="1"/>
  <c r="F22" i="73" s="1"/>
  <c r="F29" i="73" s="1"/>
  <c r="C22" i="3" s="1"/>
  <c r="E16" i="73"/>
  <c r="D16" i="73"/>
  <c r="D18" i="73" s="1"/>
  <c r="D22" i="73" s="1"/>
  <c r="D29" i="73" s="1"/>
  <c r="C24" i="3" s="1"/>
  <c r="C16" i="73"/>
  <c r="B16" i="73"/>
  <c r="B18" i="73" s="1"/>
  <c r="B22" i="73" s="1"/>
  <c r="I37" i="72"/>
  <c r="H37" i="72"/>
  <c r="G37" i="72"/>
  <c r="F37" i="72"/>
  <c r="E37" i="72"/>
  <c r="D37" i="72"/>
  <c r="C37" i="72"/>
  <c r="B37" i="72"/>
  <c r="N14" i="72"/>
  <c r="N29" i="72" s="1"/>
  <c r="M14" i="72"/>
  <c r="M29" i="72" s="1"/>
  <c r="L14" i="72"/>
  <c r="L29" i="72" s="1"/>
  <c r="K14" i="72"/>
  <c r="K29" i="72" s="1"/>
  <c r="J14" i="72"/>
  <c r="J29" i="72" s="1"/>
  <c r="I14" i="72"/>
  <c r="I29" i="72" s="1"/>
  <c r="H14" i="72"/>
  <c r="H29" i="72" s="1"/>
  <c r="G14" i="72"/>
  <c r="G29" i="72" s="1"/>
  <c r="F14" i="72"/>
  <c r="F29" i="72" s="1"/>
  <c r="E14" i="72"/>
  <c r="E29" i="72" s="1"/>
  <c r="D14" i="72"/>
  <c r="D29" i="72" s="1"/>
  <c r="C14" i="72"/>
  <c r="C29" i="72" s="1"/>
  <c r="B14" i="72"/>
  <c r="B29" i="72" s="1"/>
  <c r="N12" i="72"/>
  <c r="N28" i="72" s="1"/>
  <c r="M12" i="72"/>
  <c r="M28" i="72" s="1"/>
  <c r="L12" i="72"/>
  <c r="L28" i="72" s="1"/>
  <c r="K12" i="72"/>
  <c r="K28" i="72" s="1"/>
  <c r="J12" i="72"/>
  <c r="J28" i="72" s="1"/>
  <c r="I12" i="72"/>
  <c r="I28" i="72" s="1"/>
  <c r="H12" i="72"/>
  <c r="H28" i="72" s="1"/>
  <c r="G12" i="72"/>
  <c r="G28" i="72" s="1"/>
  <c r="F12" i="72"/>
  <c r="F28" i="72" s="1"/>
  <c r="E12" i="72"/>
  <c r="E28" i="72" s="1"/>
  <c r="D12" i="72"/>
  <c r="D28" i="72" s="1"/>
  <c r="C12" i="72"/>
  <c r="C28" i="72" s="1"/>
  <c r="B12" i="72"/>
  <c r="B28" i="72" s="1"/>
  <c r="C36" i="72" s="1"/>
  <c r="N9" i="72"/>
  <c r="M9" i="72"/>
  <c r="M27" i="72" s="1"/>
  <c r="L9" i="72"/>
  <c r="K9" i="72"/>
  <c r="K27" i="72" s="1"/>
  <c r="J9" i="72"/>
  <c r="I9" i="72"/>
  <c r="I27" i="72" s="1"/>
  <c r="H9" i="72"/>
  <c r="G9" i="72"/>
  <c r="G27" i="72" s="1"/>
  <c r="F9" i="72"/>
  <c r="E9" i="72"/>
  <c r="E27" i="72" s="1"/>
  <c r="E30" i="72" s="1"/>
  <c r="D9" i="72"/>
  <c r="C9" i="72"/>
  <c r="C27" i="72" s="1"/>
  <c r="B9" i="72"/>
  <c r="E98" i="71"/>
  <c r="D96" i="71"/>
  <c r="B76" i="70" s="1"/>
  <c r="A85" i="71"/>
  <c r="A86" i="71" s="1"/>
  <c r="A87" i="71" s="1"/>
  <c r="A88" i="71" s="1"/>
  <c r="A89" i="71" s="1"/>
  <c r="A90" i="71" s="1"/>
  <c r="A91" i="71" s="1"/>
  <c r="A92" i="71" s="1"/>
  <c r="A93" i="71" s="1"/>
  <c r="A94" i="71" s="1"/>
  <c r="A84" i="71"/>
  <c r="E80" i="71"/>
  <c r="D78" i="71"/>
  <c r="A66" i="71"/>
  <c r="A67" i="71" s="1"/>
  <c r="A68" i="71" s="1"/>
  <c r="A69" i="71" s="1"/>
  <c r="A70" i="71" s="1"/>
  <c r="A71" i="71" s="1"/>
  <c r="A72" i="71" s="1"/>
  <c r="A73" i="71" s="1"/>
  <c r="A74" i="71" s="1"/>
  <c r="A75" i="71" s="1"/>
  <c r="A76" i="71" s="1"/>
  <c r="E62" i="71"/>
  <c r="D60" i="71"/>
  <c r="B48" i="70" s="1"/>
  <c r="A49" i="71"/>
  <c r="A50" i="71" s="1"/>
  <c r="A51" i="71" s="1"/>
  <c r="A52" i="71" s="1"/>
  <c r="A53" i="71" s="1"/>
  <c r="A54" i="71" s="1"/>
  <c r="A55" i="71" s="1"/>
  <c r="A56" i="71" s="1"/>
  <c r="A57" i="71" s="1"/>
  <c r="A58" i="71" s="1"/>
  <c r="A48" i="71"/>
  <c r="E44" i="71"/>
  <c r="D42" i="71"/>
  <c r="A30" i="7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E26" i="71"/>
  <c r="D24" i="71"/>
  <c r="B20" i="70" s="1"/>
  <c r="A13" i="71"/>
  <c r="A14" i="71" s="1"/>
  <c r="A15" i="71" s="1"/>
  <c r="A16" i="71" s="1"/>
  <c r="A17" i="71" s="1"/>
  <c r="A18" i="71" s="1"/>
  <c r="A19" i="71" s="1"/>
  <c r="A20" i="71" s="1"/>
  <c r="A21" i="71" s="1"/>
  <c r="A22" i="71" s="1"/>
  <c r="A12" i="71"/>
  <c r="B71" i="70"/>
  <c r="B69" i="70"/>
  <c r="B75" i="70" s="1"/>
  <c r="B62" i="70"/>
  <c r="B57" i="70"/>
  <c r="B55" i="70"/>
  <c r="B61" i="70" s="1"/>
  <c r="B63" i="70" s="1"/>
  <c r="B23" i="3" s="1"/>
  <c r="B47" i="70"/>
  <c r="B44" i="70"/>
  <c r="B45" i="70" s="1"/>
  <c r="B43" i="70"/>
  <c r="B41" i="70"/>
  <c r="B35" i="70"/>
  <c r="B30" i="70"/>
  <c r="B27" i="70"/>
  <c r="B14" i="70"/>
  <c r="B15" i="70" s="1"/>
  <c r="B11" i="70"/>
  <c r="B9" i="70"/>
  <c r="B8" i="70"/>
  <c r="B7" i="70"/>
  <c r="B6" i="70"/>
  <c r="B5" i="70"/>
  <c r="G15" i="72" l="1"/>
  <c r="G17" i="72" s="1"/>
  <c r="B49" i="70"/>
  <c r="B24" i="3" s="1"/>
  <c r="K15" i="72"/>
  <c r="K17" i="72" s="1"/>
  <c r="C15" i="72"/>
  <c r="C17" i="72" s="1"/>
  <c r="B77" i="70"/>
  <c r="B22" i="3" s="1"/>
  <c r="B29" i="73"/>
  <c r="C26" i="3" s="1"/>
  <c r="M30" i="72"/>
  <c r="D41" i="72"/>
  <c r="I30" i="72"/>
  <c r="B15" i="72"/>
  <c r="B17" i="72" s="1"/>
  <c r="B27" i="72"/>
  <c r="F15" i="72"/>
  <c r="F17" i="72" s="1"/>
  <c r="F27" i="72"/>
  <c r="J15" i="72"/>
  <c r="J17" i="72" s="1"/>
  <c r="J27" i="72"/>
  <c r="N15" i="72"/>
  <c r="N17" i="72" s="1"/>
  <c r="N27" i="72"/>
  <c r="C45" i="72"/>
  <c r="E15" i="72"/>
  <c r="E17" i="72" s="1"/>
  <c r="M15" i="72"/>
  <c r="M17" i="72" s="1"/>
  <c r="C29" i="73"/>
  <c r="C25" i="3" s="1"/>
  <c r="B72" i="70"/>
  <c r="B73" i="70" s="1"/>
  <c r="C30" i="72"/>
  <c r="G30" i="72"/>
  <c r="K30" i="72"/>
  <c r="D45" i="72"/>
  <c r="B31" i="70"/>
  <c r="B32" i="70" s="1"/>
  <c r="D15" i="72"/>
  <c r="D17" i="72" s="1"/>
  <c r="D27" i="72"/>
  <c r="H15" i="72"/>
  <c r="H17" i="72" s="1"/>
  <c r="H27" i="72"/>
  <c r="L15" i="72"/>
  <c r="L17" i="72" s="1"/>
  <c r="L27" i="72"/>
  <c r="C41" i="72"/>
  <c r="D36" i="72"/>
  <c r="I15" i="72"/>
  <c r="I17" i="72" s="1"/>
  <c r="E29" i="73"/>
  <c r="C23" i="3" s="1"/>
  <c r="B34" i="70"/>
  <c r="B36" i="70" s="1"/>
  <c r="B25" i="3" s="1"/>
  <c r="B58" i="70"/>
  <c r="B59" i="70" s="1"/>
  <c r="N30" i="72" l="1"/>
  <c r="F30" i="72"/>
  <c r="L30" i="72"/>
  <c r="D30" i="72"/>
  <c r="B41" i="72"/>
  <c r="J30" i="72"/>
  <c r="B30" i="72"/>
  <c r="B36" i="72"/>
  <c r="B45" i="72"/>
  <c r="H30" i="72"/>
  <c r="A13" i="69" l="1"/>
  <c r="A14" i="69" s="1"/>
  <c r="A15" i="69" s="1"/>
  <c r="A16" i="69" s="1"/>
  <c r="H20" i="1" l="1"/>
  <c r="G22" i="3" l="1"/>
  <c r="A13" i="3" l="1"/>
  <c r="A14" i="3"/>
  <c r="A15" i="3"/>
  <c r="A16" i="3"/>
  <c r="A17" i="3"/>
  <c r="G26" i="3" l="1"/>
  <c r="G25" i="3"/>
  <c r="G24" i="3"/>
  <c r="G23" i="3"/>
  <c r="H22" i="1" l="1"/>
  <c r="A15" i="1" l="1"/>
  <c r="A16" i="1" s="1"/>
  <c r="A17" i="1" s="1"/>
  <c r="A18" i="1" s="1"/>
  <c r="A19" i="1" s="1"/>
  <c r="A20" i="1" s="1"/>
  <c r="A21" i="1" s="1"/>
  <c r="A24" i="1" l="1"/>
  <c r="A25" i="1" s="1"/>
  <c r="A26" i="1" s="1"/>
  <c r="A27" i="1" s="1"/>
  <c r="A28" i="1" s="1"/>
  <c r="A29" i="1" s="1"/>
  <c r="A30" i="1" s="1"/>
  <c r="A31" i="1" s="1"/>
  <c r="A32" i="1" s="1"/>
  <c r="A22" i="1"/>
  <c r="A23" i="1" s="1"/>
  <c r="H25" i="3"/>
  <c r="H23" i="3"/>
  <c r="H24" i="3"/>
  <c r="H22" i="3"/>
  <c r="J23" i="72" l="1"/>
  <c r="H23" i="72" l="1"/>
  <c r="E45" i="72"/>
  <c r="G23" i="72"/>
  <c r="E41" i="72"/>
  <c r="D23" i="72"/>
  <c r="K23" i="72"/>
  <c r="C23" i="72"/>
  <c r="B10" i="70"/>
  <c r="B19" i="70" s="1"/>
  <c r="N23" i="72"/>
  <c r="M23" i="72"/>
  <c r="L23" i="72"/>
  <c r="E36" i="72"/>
  <c r="F23" i="72"/>
  <c r="I23" i="72"/>
  <c r="E23" i="72"/>
  <c r="B23" i="72"/>
  <c r="G36" i="72" s="1"/>
  <c r="N24" i="72"/>
  <c r="G24" i="72"/>
  <c r="G25" i="72" s="1"/>
  <c r="I24" i="72"/>
  <c r="I25" i="72" s="1"/>
  <c r="F36" i="72"/>
  <c r="F45" i="72"/>
  <c r="B13" i="70"/>
  <c r="K24" i="72"/>
  <c r="N25" i="72" l="1"/>
  <c r="B24" i="72"/>
  <c r="H36" i="72" s="1"/>
  <c r="D24" i="72"/>
  <c r="D25" i="72" s="1"/>
  <c r="F41" i="72"/>
  <c r="L24" i="72"/>
  <c r="L25" i="72" s="1"/>
  <c r="J24" i="72"/>
  <c r="J25" i="72" s="1"/>
  <c r="F24" i="72"/>
  <c r="F25" i="72" s="1"/>
  <c r="G45" i="72"/>
  <c r="H24" i="72"/>
  <c r="H25" i="72" s="1"/>
  <c r="B16" i="70"/>
  <c r="B17" i="70" s="1"/>
  <c r="K25" i="72"/>
  <c r="I45" i="72" s="1"/>
  <c r="E24" i="72"/>
  <c r="E25" i="72" s="1"/>
  <c r="M24" i="72"/>
  <c r="M25" i="72" s="1"/>
  <c r="G41" i="72"/>
  <c r="C24" i="72"/>
  <c r="C25" i="72" s="1"/>
  <c r="B25" i="72"/>
  <c r="I36" i="72" s="1"/>
  <c r="H27" i="1"/>
  <c r="D12" i="69" s="1"/>
  <c r="D14" i="69" s="1"/>
  <c r="D15" i="69" s="1"/>
  <c r="D16" i="69" s="1"/>
  <c r="B21" i="70"/>
  <c r="B26" i="3" s="1"/>
  <c r="H26" i="3" s="1"/>
  <c r="H41" i="72" l="1"/>
  <c r="I41" i="72"/>
  <c r="H45" i="72"/>
  <c r="J23" i="3"/>
  <c r="J22" i="3"/>
  <c r="J24" i="3"/>
  <c r="J25" i="3"/>
  <c r="J26" i="3"/>
  <c r="G16" i="3" l="1"/>
  <c r="H15" i="1" s="1"/>
  <c r="E16" i="3"/>
  <c r="F15" i="1" s="1"/>
  <c r="C16" i="3"/>
  <c r="D15" i="1" s="1"/>
  <c r="B16" i="3"/>
  <c r="F16" i="3"/>
  <c r="G15" i="1" s="1"/>
  <c r="D16" i="3"/>
  <c r="E15" i="1" s="1"/>
  <c r="G15" i="3"/>
  <c r="H14" i="1" s="1"/>
  <c r="E15" i="3"/>
  <c r="F14" i="1" s="1"/>
  <c r="F15" i="3"/>
  <c r="G14" i="1" s="1"/>
  <c r="B15" i="3"/>
  <c r="C15" i="3"/>
  <c r="D14" i="1" s="1"/>
  <c r="D15" i="3"/>
  <c r="E14" i="1" s="1"/>
  <c r="E13" i="3"/>
  <c r="D13" i="3"/>
  <c r="F13" i="3"/>
  <c r="G13" i="3"/>
  <c r="B13" i="3"/>
  <c r="C13" i="3"/>
  <c r="E17" i="3"/>
  <c r="F16" i="1" s="1"/>
  <c r="B17" i="3"/>
  <c r="D17" i="3"/>
  <c r="E16" i="1" s="1"/>
  <c r="F17" i="3"/>
  <c r="G16" i="1" s="1"/>
  <c r="G17" i="3"/>
  <c r="H16" i="1" s="1"/>
  <c r="C17" i="3"/>
  <c r="D16" i="1" s="1"/>
  <c r="C14" i="3"/>
  <c r="D14" i="3"/>
  <c r="E14" i="3"/>
  <c r="B14" i="3"/>
  <c r="H14" i="3" s="1"/>
  <c r="F14" i="3"/>
  <c r="G14" i="3"/>
  <c r="H15" i="3" l="1"/>
  <c r="C14" i="1"/>
  <c r="I14" i="1" s="1"/>
  <c r="C16" i="1"/>
  <c r="I16" i="1" s="1"/>
  <c r="H17" i="3"/>
  <c r="C19" i="3"/>
  <c r="H13" i="3"/>
  <c r="B19" i="3"/>
  <c r="G19" i="3"/>
  <c r="C15" i="1"/>
  <c r="I15" i="1" s="1"/>
  <c r="H16" i="3"/>
  <c r="F19" i="3"/>
  <c r="D19" i="3"/>
  <c r="E19" i="3"/>
  <c r="H19" i="3" l="1"/>
  <c r="I18" i="1"/>
  <c r="H24" i="1" s="1"/>
  <c r="H25" i="1" s="1"/>
  <c r="E12" i="69" l="1"/>
  <c r="I28" i="1"/>
  <c r="I30" i="1" l="1"/>
  <c r="I31" i="1"/>
  <c r="I32" i="1" s="1"/>
  <c r="E14" i="69"/>
  <c r="F12" i="69"/>
  <c r="F14" i="69" s="1"/>
  <c r="G12" i="69"/>
  <c r="G14" i="69" l="1"/>
  <c r="H12" i="69"/>
  <c r="H14" i="69" s="1"/>
  <c r="E15" i="69"/>
  <c r="E16" i="69" s="1"/>
  <c r="G15" i="69" l="1"/>
  <c r="H15" i="69" s="1"/>
  <c r="H16" i="69" s="1"/>
  <c r="F15" i="69"/>
  <c r="F16" i="69" s="1"/>
  <c r="G16" i="69"/>
</calcChain>
</file>

<file path=xl/sharedStrings.xml><?xml version="1.0" encoding="utf-8"?>
<sst xmlns="http://schemas.openxmlformats.org/spreadsheetml/2006/main" count="326" uniqueCount="201">
  <si>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</si>
  <si>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</si>
  <si>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</si>
  <si>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</si>
  <si>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</si>
  <si>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</si>
  <si>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</si>
  <si>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</si>
  <si>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</si>
  <si>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</si>
  <si>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</si>
  <si>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</si>
  <si>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</si>
  <si>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</si>
  <si>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</si>
  <si>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</si>
  <si>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</si>
  <si>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</si>
  <si>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</si>
  <si>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</si>
  <si>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</si>
  <si>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</si>
  <si>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</si>
  <si>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</si>
  <si>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</si>
  <si>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</si>
  <si>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</si>
  <si>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</si>
  <si>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</si>
  <si>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</si>
  <si>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</si>
  <si>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</si>
  <si>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</si>
  <si>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</si>
  <si>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</si>
  <si>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</si>
  <si>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</si>
  <si>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</si>
  <si>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</si>
  <si>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</si>
  <si>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</si>
  <si>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</si>
  <si>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</si>
  <si>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</si>
  <si>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</si>
  <si>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</si>
  <si>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</si>
  <si>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</si>
  <si>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</si>
  <si>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</si>
  <si>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</si>
  <si>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</si>
  <si>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</si>
  <si>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</si>
  <si>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</si>
  <si>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</si>
  <si>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</si>
  <si>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</si>
  <si>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</si>
  <si>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Unbilled revenue change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</si>
  <si>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</si>
  <si>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</si>
  <si>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</si>
  <si>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</si>
  <si>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</si>
  <si>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</si>
  <si>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</si>
  <si>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</si>
  <si>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</si>
  <si>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</si>
  <si>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</si>
  <si>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</si>
  <si>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</si>
  <si>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</si>
  <si>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</si>
  <si>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</si>
  <si>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</si>
  <si>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</si>
  <si>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</si>
  <si>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</si>
  <si>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</si>
  <si>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</si>
  <si>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</si>
  <si>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</si>
  <si>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</si>
  <si>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</si>
  <si>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</si>
  <si>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</si>
  <si>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</si>
  <si>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</si>
  <si>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</si>
  <si>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</si>
  <si>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</si>
  <si>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</si>
  <si>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</si>
  <si>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</si>
  <si>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</si>
  <si>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</si>
  <si>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</si>
  <si>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</si>
  <si>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</si>
  <si>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</si>
  <si>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</si>
  <si>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</si>
  <si>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</si>
  <si>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</si>
  <si>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</si>
  <si>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</si>
  <si>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</si>
  <si>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</si>
  <si>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</si>
  <si>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</si>
  <si>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</si>
  <si>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December</t>
  </si>
  <si>
    <t>August</t>
  </si>
  <si>
    <t>12ME December 2017</t>
  </si>
  <si>
    <t>12ME December 2016</t>
  </si>
  <si>
    <t>12ME December 2015</t>
  </si>
  <si>
    <t>12ME December 2014</t>
  </si>
  <si>
    <t>Net write-off for 12ME December 2016:</t>
  </si>
  <si>
    <t>Net write-off for 12ME December 2015:</t>
  </si>
  <si>
    <t>Net write-off for 12ME December 2014:</t>
  </si>
  <si>
    <t>Plus change in 14400311</t>
  </si>
  <si>
    <t>3-Yr Average of</t>
  </si>
  <si>
    <t>12 ME 12/01/2014 AND 8/31/2014</t>
  </si>
  <si>
    <t>12 ME 12/01/2015 AND 8/31/2015</t>
  </si>
  <si>
    <t>12 ME 12/01/2016 AND 8/31/2016</t>
  </si>
  <si>
    <t>12 ME 12/01/2017 AND 8/31/2017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</si>
  <si>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</si>
  <si>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</si>
  <si>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</si>
  <si>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</si>
  <si>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12ME December 2018</t>
  </si>
  <si>
    <t>Net write-off for 12ME December 2018</t>
  </si>
  <si>
    <t>Net write-off for 12ME December 2017: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</si>
  <si>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</si>
  <si>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</si>
  <si>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</si>
  <si>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</si>
  <si>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</si>
  <si>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</si>
  <si>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RESTATED</t>
  </si>
  <si>
    <t>ADJUSTMENT</t>
  </si>
  <si>
    <t>PROFORMA</t>
  </si>
  <si>
    <t>2019 GENERAL RATE CASE</t>
  </si>
  <si>
    <t>BAD DEBTS</t>
  </si>
  <si>
    <t>TY</t>
  </si>
  <si>
    <t>(c)=(b)-(a)</t>
  </si>
  <si>
    <t>(e)=(d)-(b)</t>
  </si>
  <si>
    <t>%'s</t>
  </si>
  <si>
    <t>DESCRIPTION</t>
  </si>
  <si>
    <t>`</t>
  </si>
  <si>
    <t>CE 68066430 charged to order 3000004037 with 587 Reg Ind</t>
  </si>
  <si>
    <t>90400600  9806 - Non-Consumption Bad Debt - Common</t>
  </si>
  <si>
    <t>*   Common Uncollectible Accounts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</si>
  <si>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</si>
  <si>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</si>
  <si>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</si>
  <si>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</si>
  <si>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</si>
  <si>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</si>
  <si>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</si>
  <si>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</si>
  <si>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</si>
  <si>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</si>
  <si>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</si>
  <si>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</si>
  <si>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</si>
  <si>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</si>
  <si>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</si>
  <si>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</si>
  <si>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</si>
  <si>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</si>
  <si>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</si>
  <si>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</si>
  <si>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</si>
  <si>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</si>
  <si>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</si>
  <si>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</si>
  <si>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</si>
  <si>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</si>
  <si>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</si>
  <si>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</si>
  <si>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</si>
  <si>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</si>
  <si>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</si>
  <si>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</si>
  <si>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</si>
  <si>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</si>
  <si>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</si>
  <si>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</si>
  <si>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</si>
  <si>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</si>
  <si>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</si>
  <si>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</si>
  <si>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</si>
  <si>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</si>
  <si>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</si>
  <si>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</si>
  <si>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</si>
  <si>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TWELVE MONTHS ENDED AUGUST 31, 2014, 2015, 2016, 2017,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</si>
</sst>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0.0000000%"/>
    <numFmt numFmtId="167" formatCode="yyyy"/>
    <numFmt numFmtId="168" formatCode="0.00000%"/>
    <numFmt numFmtId="169" formatCode="_(* #,##0_);_(* \(#,##0\);_(* &quot;-&quot;??_);_(@_)"/>
    <numFmt numFmtId="170" formatCode="#,##0_-;#,##0\-;&quot; &quot;"/>
    <numFmt numFmtId="171" formatCode="#,##0.00_);\(#,##0.00\);&quot; &quot;"/>
    <numFmt numFmtId="172" formatCode="_(&quot;$&quot;* #,##0_);_(&quot;$&quot;* \(#,##0\);_(&quot;$&quot;* &quot;-&quot;??_);_(@_)"/>
    <numFmt numFmtId="173" formatCode="#,##0.00_-;#,##0.00\-;&quot; 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9"/>
      <color theme="1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43" fontId="0" fillId="0" borderId="16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7" xfId="0" applyNumberFormat="1" applyFont="1" applyFill="1" applyBorder="1"/>
    <xf numFmtId="43" fontId="0" fillId="0" borderId="0" xfId="0" applyNumberFormat="1" applyFont="1" applyFill="1"/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/>
    <xf numFmtId="39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3" fillId="0" borderId="0" xfId="0" applyFont="1" applyFill="1" applyProtection="1"/>
    <xf numFmtId="39" fontId="4" fillId="0" borderId="0" xfId="0" applyNumberFormat="1" applyFont="1" applyFill="1" applyAlignment="1" applyProtection="1">
      <alignment horizontal="centerContinuous" vertical="center"/>
    </xf>
    <xf numFmtId="39" fontId="5" fillId="0" borderId="0" xfId="0" applyNumberFormat="1" applyFont="1" applyFill="1" applyAlignment="1" applyProtection="1">
      <alignment horizontal="centerContinuous" vertical="center"/>
    </xf>
    <xf numFmtId="39" fontId="3" fillId="0" borderId="0" xfId="0" applyNumberFormat="1" applyFont="1" applyFill="1" applyAlignment="1" applyProtection="1">
      <alignment horizontal="centerContinuous" vertical="center"/>
    </xf>
    <xf numFmtId="39" fontId="5" fillId="0" borderId="0" xfId="0" applyNumberFormat="1" applyFont="1" applyFill="1" applyProtection="1"/>
    <xf numFmtId="39" fontId="3" fillId="0" borderId="0" xfId="0" applyNumberFormat="1" applyFont="1" applyFill="1" applyProtection="1"/>
    <xf numFmtId="39" fontId="3" fillId="0" borderId="0" xfId="0" applyNumberFormat="1" applyFont="1" applyFill="1" applyAlignment="1" applyProtection="1">
      <alignment horizontal="left"/>
    </xf>
    <xf numFmtId="39" fontId="3" fillId="0" borderId="0" xfId="0" applyNumberFormat="1" applyFont="1" applyFill="1" applyAlignment="1" applyProtection="1">
      <alignment horizontal="center"/>
    </xf>
    <xf numFmtId="0" fontId="3" fillId="0" borderId="15" xfId="0" quotePrefix="1" applyNumberFormat="1" applyFont="1" applyFill="1" applyBorder="1" applyAlignment="1" applyProtection="1">
      <alignment horizontal="center"/>
    </xf>
    <xf numFmtId="39" fontId="5" fillId="0" borderId="0" xfId="0" applyNumberFormat="1" applyFont="1" applyFill="1" applyAlignment="1" applyProtection="1">
      <alignment horizontal="left"/>
    </xf>
    <xf numFmtId="39" fontId="6" fillId="0" borderId="0" xfId="0" applyNumberFormat="1" applyFont="1" applyFill="1" applyProtection="1"/>
    <xf numFmtId="39" fontId="6" fillId="0" borderId="0" xfId="0" applyNumberFormat="1" applyFont="1" applyFill="1" applyAlignment="1" applyProtection="1">
      <alignment horizontal="fill"/>
    </xf>
    <xf numFmtId="39" fontId="6" fillId="0" borderId="0" xfId="0" applyNumberFormat="1" applyFont="1" applyFill="1" applyAlignment="1" applyProtection="1">
      <alignment horizontal="left"/>
    </xf>
    <xf numFmtId="171" fontId="0" fillId="0" borderId="0" xfId="0" applyNumberFormat="1" applyFont="1" applyFill="1"/>
    <xf numFmtId="43" fontId="6" fillId="0" borderId="0" xfId="0" applyNumberFormat="1" applyFont="1" applyFill="1" applyAlignment="1" applyProtection="1">
      <alignment horizontal="right"/>
    </xf>
    <xf numFmtId="44" fontId="6" fillId="0" borderId="0" xfId="0" applyNumberFormat="1" applyFont="1" applyFill="1" applyAlignment="1" applyProtection="1">
      <alignment horizontal="right"/>
    </xf>
    <xf numFmtId="39" fontId="6" fillId="0" borderId="0" xfId="0" applyNumberFormat="1" applyFont="1" applyFill="1" applyAlignment="1" applyProtection="1">
      <alignment horizontal="left" indent="1"/>
    </xf>
    <xf numFmtId="169" fontId="6" fillId="0" borderId="0" xfId="0" applyNumberFormat="1" applyFont="1" applyFill="1" applyAlignment="1" applyProtection="1">
      <alignment horizontal="right"/>
    </xf>
    <xf numFmtId="43" fontId="6" fillId="0" borderId="0" xfId="0" applyNumberFormat="1" applyFont="1" applyFill="1" applyBorder="1" applyAlignment="1" applyProtection="1">
      <alignment horizontal="right"/>
    </xf>
    <xf numFmtId="43" fontId="6" fillId="0" borderId="15" xfId="0" applyNumberFormat="1" applyFont="1" applyFill="1" applyBorder="1" applyAlignment="1" applyProtection="1">
      <alignment horizontal="right"/>
    </xf>
    <xf numFmtId="43" fontId="6" fillId="0" borderId="1" xfId="0" applyNumberFormat="1" applyFont="1" applyFill="1" applyBorder="1" applyAlignment="1" applyProtection="1">
      <alignment horizontal="right"/>
    </xf>
    <xf numFmtId="43" fontId="3" fillId="0" borderId="0" xfId="0" applyNumberFormat="1" applyFont="1" applyFill="1" applyBorder="1" applyProtection="1"/>
    <xf numFmtId="39" fontId="6" fillId="0" borderId="0" xfId="0" applyNumberFormat="1" applyFont="1" applyFill="1" applyBorder="1" applyAlignment="1" applyProtection="1">
      <alignment horizontal="left" indent="1"/>
    </xf>
    <xf numFmtId="171" fontId="0" fillId="0" borderId="15" xfId="0" applyNumberFormat="1" applyFont="1" applyFill="1" applyBorder="1"/>
    <xf numFmtId="39" fontId="6" fillId="0" borderId="0" xfId="0" applyNumberFormat="1" applyFont="1" applyFill="1" applyBorder="1" applyAlignment="1" applyProtection="1">
      <alignment horizontal="left"/>
    </xf>
    <xf numFmtId="44" fontId="6" fillId="0" borderId="0" xfId="0" applyNumberFormat="1" applyFont="1" applyFill="1" applyBorder="1" applyAlignment="1" applyProtection="1">
      <alignment horizontal="right"/>
    </xf>
    <xf numFmtId="169" fontId="6" fillId="0" borderId="6" xfId="0" applyNumberFormat="1" applyFont="1" applyFill="1" applyBorder="1" applyAlignment="1" applyProtection="1">
      <alignment horizontal="right"/>
    </xf>
    <xf numFmtId="169" fontId="3" fillId="0" borderId="0" xfId="0" applyNumberFormat="1" applyFont="1" applyFill="1" applyProtection="1"/>
    <xf numFmtId="44" fontId="3" fillId="0" borderId="0" xfId="0" applyNumberFormat="1" applyFont="1" applyFill="1" applyProtection="1"/>
    <xf numFmtId="0" fontId="0" fillId="0" borderId="0" xfId="0" applyFont="1" applyFill="1"/>
    <xf numFmtId="49" fontId="2" fillId="0" borderId="2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left"/>
    </xf>
    <xf numFmtId="44" fontId="0" fillId="0" borderId="10" xfId="0" applyNumberFormat="1" applyFont="1" applyFill="1" applyBorder="1"/>
    <xf numFmtId="43" fontId="0" fillId="0" borderId="10" xfId="0" applyNumberFormat="1" applyFont="1" applyFill="1" applyBorder="1"/>
    <xf numFmtId="49" fontId="0" fillId="0" borderId="10" xfId="0" applyNumberFormat="1" applyFont="1" applyFill="1" applyBorder="1" applyAlignment="1">
      <alignment horizontal="left" indent="1"/>
    </xf>
    <xf numFmtId="173" fontId="0" fillId="0" borderId="10" xfId="0" applyNumberFormat="1" applyFont="1" applyFill="1" applyBorder="1"/>
    <xf numFmtId="49" fontId="0" fillId="0" borderId="2" xfId="0" applyNumberFormat="1" applyFont="1" applyFill="1" applyBorder="1" applyAlignment="1">
      <alignment horizontal="left"/>
    </xf>
    <xf numFmtId="43" fontId="0" fillId="0" borderId="2" xfId="0" applyNumberFormat="1" applyFont="1" applyFill="1" applyBorder="1"/>
    <xf numFmtId="49" fontId="0" fillId="0" borderId="9" xfId="0" applyNumberFormat="1" applyFont="1" applyFill="1" applyBorder="1" applyAlignment="1">
      <alignment horizontal="left"/>
    </xf>
    <xf numFmtId="44" fontId="0" fillId="0" borderId="9" xfId="0" applyNumberFormat="1" applyFont="1" applyFill="1" applyBorder="1"/>
    <xf numFmtId="49" fontId="5" fillId="0" borderId="2" xfId="0" applyNumberFormat="1" applyFont="1" applyFill="1" applyBorder="1" applyAlignment="1">
      <alignment horizontal="left"/>
    </xf>
    <xf numFmtId="44" fontId="5" fillId="0" borderId="2" xfId="0" applyNumberFormat="1" applyFont="1" applyFill="1" applyBorder="1"/>
    <xf numFmtId="49" fontId="0" fillId="0" borderId="0" xfId="0" applyNumberFormat="1" applyFont="1" applyFill="1" applyBorder="1" applyAlignment="1">
      <alignment horizontal="left"/>
    </xf>
    <xf numFmtId="10" fontId="0" fillId="0" borderId="0" xfId="0" applyNumberFormat="1" applyFont="1" applyFill="1"/>
    <xf numFmtId="44" fontId="0" fillId="0" borderId="0" xfId="0" applyNumberFormat="1" applyFont="1" applyFill="1"/>
    <xf numFmtId="44" fontId="0" fillId="0" borderId="3" xfId="0" applyNumberFormat="1" applyFont="1" applyFill="1" applyBorder="1"/>
    <xf numFmtId="169" fontId="4" fillId="0" borderId="15" xfId="0" applyNumberFormat="1" applyFont="1" applyFill="1" applyBorder="1" applyAlignment="1">
      <alignment horizontal="center"/>
    </xf>
    <xf numFmtId="39" fontId="7" fillId="0" borderId="0" xfId="0" applyNumberFormat="1" applyFont="1" applyFill="1"/>
    <xf numFmtId="39" fontId="0" fillId="0" borderId="0" xfId="0" applyNumberFormat="1" applyFont="1" applyFill="1"/>
    <xf numFmtId="4" fontId="0" fillId="0" borderId="0" xfId="0" applyNumberFormat="1" applyFont="1" applyFill="1"/>
    <xf numFmtId="0" fontId="0" fillId="0" borderId="0" xfId="0" applyFont="1" applyFill="1" applyAlignment="1">
      <alignment horizontal="left"/>
    </xf>
    <xf numFmtId="49" fontId="0" fillId="0" borderId="0" xfId="0" applyNumberFormat="1" applyFont="1" applyFill="1"/>
    <xf numFmtId="4" fontId="0" fillId="0" borderId="0" xfId="0" applyNumberFormat="1" applyFont="1" applyFill="1" applyAlignment="1">
      <alignment horizontal="right" vertical="top"/>
    </xf>
    <xf numFmtId="0" fontId="0" fillId="0" borderId="17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8" fillId="0" borderId="0" xfId="0" applyFont="1" applyFill="1"/>
    <xf numFmtId="37" fontId="4" fillId="0" borderId="0" xfId="0" applyNumberFormat="1" applyFont="1" applyFill="1"/>
    <xf numFmtId="41" fontId="6" fillId="0" borderId="0" xfId="0" applyNumberFormat="1" applyFont="1" applyFill="1"/>
    <xf numFmtId="37" fontId="6" fillId="0" borderId="14" xfId="0" applyNumberFormat="1" applyFont="1" applyFill="1" applyBorder="1"/>
    <xf numFmtId="41" fontId="6" fillId="0" borderId="13" xfId="0" applyNumberFormat="1" applyFont="1" applyFill="1" applyBorder="1"/>
    <xf numFmtId="41" fontId="2" fillId="0" borderId="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left"/>
    </xf>
    <xf numFmtId="170" fontId="0" fillId="0" borderId="10" xfId="0" applyNumberFormat="1" applyFont="1" applyFill="1" applyBorder="1"/>
    <xf numFmtId="37" fontId="6" fillId="0" borderId="10" xfId="0" applyNumberFormat="1" applyFont="1" applyFill="1" applyBorder="1" applyAlignment="1">
      <alignment horizontal="left"/>
    </xf>
    <xf numFmtId="41" fontId="4" fillId="0" borderId="10" xfId="0" applyNumberFormat="1" applyFont="1" applyFill="1" applyBorder="1"/>
    <xf numFmtId="41" fontId="6" fillId="0" borderId="10" xfId="0" applyNumberFormat="1" applyFont="1" applyFill="1" applyBorder="1"/>
    <xf numFmtId="37" fontId="6" fillId="0" borderId="2" xfId="0" applyNumberFormat="1" applyFont="1" applyFill="1" applyBorder="1" applyAlignment="1">
      <alignment horizontal="left"/>
    </xf>
    <xf numFmtId="41" fontId="6" fillId="0" borderId="2" xfId="0" applyNumberFormat="1" applyFont="1" applyFill="1" applyBorder="1"/>
    <xf numFmtId="37" fontId="9" fillId="0" borderId="12" xfId="0" applyNumberFormat="1" applyFont="1" applyFill="1" applyBorder="1"/>
    <xf numFmtId="43" fontId="6" fillId="0" borderId="11" xfId="0" applyNumberFormat="1" applyFont="1" applyFill="1" applyBorder="1"/>
    <xf numFmtId="41" fontId="6" fillId="0" borderId="11" xfId="0" applyNumberFormat="1" applyFont="1" applyFill="1" applyBorder="1"/>
    <xf numFmtId="37" fontId="6" fillId="0" borderId="9" xfId="0" applyNumberFormat="1" applyFont="1" applyFill="1" applyBorder="1"/>
    <xf numFmtId="41" fontId="6" fillId="0" borderId="9" xfId="0" applyNumberFormat="1" applyFont="1" applyFill="1" applyBorder="1"/>
    <xf numFmtId="41" fontId="6" fillId="0" borderId="8" xfId="0" applyNumberFormat="1" applyFont="1" applyFill="1" applyBorder="1"/>
    <xf numFmtId="37" fontId="6" fillId="0" borderId="0" xfId="0" applyNumberFormat="1" applyFont="1" applyFill="1" applyBorder="1"/>
    <xf numFmtId="41" fontId="6" fillId="0" borderId="0" xfId="0" applyNumberFormat="1" applyFont="1" applyFill="1" applyBorder="1"/>
    <xf numFmtId="37" fontId="4" fillId="0" borderId="11" xfId="0" applyNumberFormat="1" applyFont="1" applyFill="1" applyBorder="1"/>
    <xf numFmtId="37" fontId="6" fillId="0" borderId="10" xfId="0" applyNumberFormat="1" applyFont="1" applyFill="1" applyBorder="1"/>
    <xf numFmtId="37" fontId="0" fillId="0" borderId="0" xfId="0" applyNumberFormat="1" applyFont="1" applyFill="1"/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/>
    <xf numFmtId="0" fontId="10" fillId="0" borderId="0" xfId="0" applyFont="1" applyFill="1" applyAlignment="1">
      <alignment horizontal="centerContinuous"/>
    </xf>
    <xf numFmtId="0" fontId="3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7" fontId="12" fillId="0" borderId="7" xfId="0" quotePrefix="1" applyNumberFormat="1" applyFont="1" applyFill="1" applyBorder="1" applyAlignment="1">
      <alignment horizontal="left"/>
    </xf>
    <xf numFmtId="41" fontId="12" fillId="0" borderId="0" xfId="0" applyNumberFormat="1" applyFont="1" applyFill="1" applyAlignment="1">
      <alignment horizontal="right"/>
    </xf>
    <xf numFmtId="166" fontId="12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42" fontId="10" fillId="0" borderId="6" xfId="0" applyNumberFormat="1" applyFont="1" applyFill="1" applyBorder="1"/>
    <xf numFmtId="166" fontId="10" fillId="0" borderId="6" xfId="0" applyNumberFormat="1" applyFont="1" applyFill="1" applyBorder="1" applyAlignment="1">
      <alignment horizontal="right"/>
    </xf>
    <xf numFmtId="42" fontId="10" fillId="0" borderId="0" xfId="0" applyNumberFormat="1" applyFont="1" applyFill="1" applyBorder="1"/>
    <xf numFmtId="166" fontId="10" fillId="0" borderId="0" xfId="0" applyNumberFormat="1" applyFont="1" applyFill="1" applyBorder="1" applyAlignment="1">
      <alignment horizontal="right"/>
    </xf>
    <xf numFmtId="42" fontId="12" fillId="0" borderId="0" xfId="0" applyNumberFormat="1" applyFont="1" applyFill="1" applyBorder="1"/>
    <xf numFmtId="42" fontId="12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164" fontId="10" fillId="0" borderId="0" xfId="0" applyNumberFormat="1" applyFont="1" applyFill="1" applyAlignment="1">
      <alignment horizontal="right"/>
    </xf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Alignment="1">
      <alignment horizontal="centerContinuous"/>
    </xf>
    <xf numFmtId="15" fontId="11" fillId="0" borderId="0" xfId="0" applyNumberFormat="1" applyFont="1" applyFill="1" applyAlignment="1">
      <alignment horizontal="centerContinuous"/>
    </xf>
    <xf numFmtId="18" fontId="11" fillId="0" borderId="0" xfId="0" applyNumberFormat="1" applyFont="1" applyFill="1" applyAlignment="1">
      <alignment horizontal="centerContinuous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4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167" fontId="12" fillId="0" borderId="0" xfId="0" quotePrefix="1" applyNumberFormat="1" applyFont="1" applyFill="1" applyBorder="1" applyAlignment="1">
      <alignment horizontal="left"/>
    </xf>
    <xf numFmtId="42" fontId="14" fillId="0" borderId="0" xfId="0" applyNumberFormat="1" applyFont="1" applyFill="1"/>
    <xf numFmtId="165" fontId="12" fillId="0" borderId="0" xfId="0" applyNumberFormat="1" applyFont="1" applyFill="1" applyBorder="1" applyAlignment="1">
      <alignment horizontal="right"/>
    </xf>
    <xf numFmtId="167" fontId="14" fillId="0" borderId="0" xfId="0" quotePrefix="1" applyNumberFormat="1" applyFont="1" applyFill="1" applyAlignment="1">
      <alignment horizontal="left"/>
    </xf>
    <xf numFmtId="42" fontId="14" fillId="0" borderId="0" xfId="0" applyNumberFormat="1" applyFont="1" applyFill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7" fontId="14" fillId="0" borderId="0" xfId="0" applyNumberFormat="1" applyFont="1" applyFill="1" applyAlignment="1">
      <alignment horizontal="left"/>
    </xf>
    <xf numFmtId="165" fontId="11" fillId="0" borderId="0" xfId="0" applyNumberFormat="1" applyFont="1" applyFill="1" applyBorder="1" applyAlignment="1">
      <alignment horizontal="right"/>
    </xf>
    <xf numFmtId="42" fontId="14" fillId="0" borderId="0" xfId="0" applyNumberFormat="1" applyFont="1" applyFill="1" applyAlignment="1"/>
    <xf numFmtId="166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/>
    <xf numFmtId="41" fontId="14" fillId="0" borderId="0" xfId="0" applyNumberFormat="1" applyFont="1" applyFill="1" applyAlignment="1"/>
    <xf numFmtId="41" fontId="14" fillId="0" borderId="0" xfId="0" applyNumberFormat="1" applyFont="1" applyFill="1" applyAlignment="1">
      <alignment horizontal="center"/>
    </xf>
    <xf numFmtId="165" fontId="14" fillId="0" borderId="4" xfId="0" applyNumberFormat="1" applyFont="1" applyFill="1" applyBorder="1" applyAlignment="1"/>
    <xf numFmtId="0" fontId="14" fillId="0" borderId="0" xfId="0" applyFont="1" applyFill="1" applyAlignment="1">
      <alignment horizontal="left"/>
    </xf>
    <xf numFmtId="41" fontId="14" fillId="0" borderId="0" xfId="0" applyNumberFormat="1" applyFont="1" applyFill="1" applyAlignment="1">
      <alignment horizontal="fill"/>
    </xf>
    <xf numFmtId="1" fontId="14" fillId="0" borderId="0" xfId="0" quotePrefix="1" applyNumberFormat="1" applyFont="1" applyFill="1" applyAlignment="1">
      <alignment horizontal="left"/>
    </xf>
    <xf numFmtId="41" fontId="14" fillId="0" borderId="5" xfId="0" applyNumberFormat="1" applyFont="1" applyFill="1" applyBorder="1" applyAlignment="1"/>
    <xf numFmtId="1" fontId="14" fillId="0" borderId="0" xfId="0" applyNumberFormat="1" applyFont="1" applyFill="1" applyAlignment="1"/>
    <xf numFmtId="164" fontId="14" fillId="0" borderId="0" xfId="0" applyNumberFormat="1" applyFont="1" applyFill="1" applyAlignment="1">
      <alignment horizontal="left"/>
    </xf>
    <xf numFmtId="164" fontId="14" fillId="0" borderId="0" xfId="0" applyNumberFormat="1" applyFont="1" applyFill="1" applyAlignment="1"/>
    <xf numFmtId="9" fontId="14" fillId="0" borderId="0" xfId="0" applyNumberFormat="1" applyFont="1" applyFill="1" applyAlignment="1"/>
    <xf numFmtId="37" fontId="14" fillId="0" borderId="4" xfId="0" applyNumberFormat="1" applyFont="1" applyFill="1" applyBorder="1" applyAlignment="1"/>
    <xf numFmtId="164" fontId="14" fillId="0" borderId="1" xfId="0" applyNumberFormat="1" applyFont="1" applyFill="1" applyBorder="1" applyAlignment="1">
      <alignment horizontal="left"/>
    </xf>
    <xf numFmtId="42" fontId="11" fillId="0" borderId="6" xfId="0" applyNumberFormat="1" applyFont="1" applyFill="1" applyBorder="1" applyAlignment="1"/>
    <xf numFmtId="168" fontId="3" fillId="0" borderId="0" xfId="0" applyNumberFormat="1" applyFont="1" applyFill="1"/>
    <xf numFmtId="0" fontId="11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2" fontId="14" fillId="0" borderId="0" xfId="0" applyNumberFormat="1" applyFont="1" applyFill="1" applyBorder="1"/>
    <xf numFmtId="172" fontId="14" fillId="0" borderId="0" xfId="0" applyNumberFormat="1" applyFont="1" applyFill="1" applyBorder="1"/>
    <xf numFmtId="169" fontId="14" fillId="0" borderId="5" xfId="0" quotePrefix="1" applyNumberFormat="1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9" fontId="14" fillId="0" borderId="0" xfId="0" applyNumberFormat="1" applyFont="1" applyFill="1" applyBorder="1"/>
    <xf numFmtId="172" fontId="14" fillId="0" borderId="15" xfId="0" applyNumberFormat="1" applyFont="1" applyFill="1" applyBorder="1"/>
    <xf numFmtId="42" fontId="14" fillId="0" borderId="15" xfId="0" applyNumberFormat="1" applyFont="1" applyFill="1" applyBorder="1"/>
    <xf numFmtId="172" fontId="2" fillId="0" borderId="6" xfId="0" applyNumberFormat="1" applyFont="1" applyFill="1" applyBorder="1"/>
    <xf numFmtId="0" fontId="14" fillId="0" borderId="0" xfId="0" applyFont="1" applyFill="1" applyBorder="1" applyAlignment="1">
      <alignment horizontal="center"/>
    </xf>
    <xf numFmtId="167" fontId="14" fillId="0" borderId="0" xfId="0" applyNumberFormat="1" applyFont="1" applyFill="1" applyBorder="1" applyAlignment="1">
      <alignment horizontal="left"/>
    </xf>
    <xf numFmtId="42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/>
    <xf numFmtId="41" fontId="14" fillId="0" borderId="0" xfId="0" applyNumberFormat="1" applyFont="1" applyFill="1" applyBorder="1" applyAlignment="1"/>
    <xf numFmtId="41" fontId="14" fillId="0" borderId="0" xfId="0" applyNumberFormat="1" applyFont="1" applyFill="1" applyBorder="1" applyAlignment="1">
      <alignment horizontal="center"/>
    </xf>
    <xf numFmtId="16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9" fontId="14" fillId="0" borderId="0" xfId="0" applyNumberFormat="1" applyFont="1" applyFill="1" applyBorder="1" applyAlignment="1"/>
    <xf numFmtId="43" fontId="14" fillId="0" borderId="0" xfId="0" applyNumberFormat="1" applyFont="1" applyFill="1" applyBorder="1" applyAlignment="1"/>
    <xf numFmtId="41" fontId="14" fillId="0" borderId="0" xfId="0" applyNumberFormat="1" applyFont="1" applyFill="1" applyBorder="1" applyAlignment="1">
      <alignment horizontal="fill"/>
    </xf>
    <xf numFmtId="1" fontId="14" fillId="0" borderId="0" xfId="0" quotePrefix="1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/>
    <xf numFmtId="164" fontId="14" fillId="0" borderId="0" xfId="0" applyNumberFormat="1" applyFont="1" applyFill="1" applyBorder="1" applyAlignment="1"/>
    <xf numFmtId="37" fontId="14" fillId="0" borderId="0" xfId="0" applyNumberFormat="1" applyFont="1" applyFill="1" applyBorder="1" applyAlignment="1"/>
    <xf numFmtId="42" fontId="11" fillId="0" borderId="0" xfId="0" applyNumberFormat="1" applyFont="1" applyFill="1" applyBorder="1" applyAlignment="1"/>
    <xf numFmtId="0" fontId="13" fillId="0" borderId="0" xfId="0" applyFont="1" applyFill="1" applyBorder="1"/>
    <xf numFmtId="0" fontId="1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6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12</xdr:col>
      <xdr:colOff>386266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7120" y="9723120"/>
          <a:ext cx="12639226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90" zoomScaleNormal="90" workbookViewId="0">
      <selection activeCell="B35" sqref="B35"/>
    </sheetView>
  </sheetViews>
  <sheetFormatPr defaultColWidth="9.109375" defaultRowHeight="13.8" x14ac:dyDescent="0.25"/>
  <cols>
    <col min="1" max="1" width="5.5546875" style="117" customWidth="1"/>
    <col min="2" max="2" width="56.6640625" style="117" bestFit="1" customWidth="1"/>
    <col min="3" max="3" width="4.88671875" style="117" bestFit="1" customWidth="1"/>
    <col min="4" max="4" width="18.5546875" style="117" customWidth="1"/>
    <col min="5" max="5" width="16.44140625" style="117" bestFit="1" customWidth="1"/>
    <col min="6" max="6" width="16" style="117" customWidth="1"/>
    <col min="7" max="7" width="16.5546875" style="117" customWidth="1"/>
    <col min="8" max="8" width="14.6640625" style="117" customWidth="1"/>
    <col min="9" max="9" width="15.6640625" style="117" customWidth="1"/>
    <col min="10" max="10" width="16.44140625" style="117" bestFit="1" customWidth="1"/>
    <col min="11" max="11" width="16" style="117" customWidth="1"/>
    <col min="12" max="17" width="9.109375" style="101"/>
    <col min="18" max="18" width="9.33203125" style="101" bestFit="1" customWidth="1"/>
    <col min="19" max="16384" width="9.109375" style="101"/>
  </cols>
  <sheetData>
    <row r="1" spans="1:1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01"/>
    </row>
    <row r="2" spans="1:11" x14ac:dyDescent="0.25">
      <c r="A2" s="120" t="s">
        <v>45</v>
      </c>
      <c r="B2" s="120"/>
      <c r="C2" s="120"/>
      <c r="D2" s="121"/>
      <c r="E2" s="121"/>
      <c r="F2" s="121"/>
      <c r="G2" s="121"/>
      <c r="H2" s="121"/>
    </row>
    <row r="3" spans="1:11" x14ac:dyDescent="0.25">
      <c r="A3" s="121" t="s">
        <v>145</v>
      </c>
      <c r="B3" s="121"/>
      <c r="C3" s="121"/>
      <c r="D3" s="121"/>
      <c r="E3" s="121"/>
      <c r="F3" s="121"/>
      <c r="G3" s="121"/>
      <c r="H3" s="121"/>
    </row>
    <row r="4" spans="1:11" x14ac:dyDescent="0.25">
      <c r="A4" s="121" t="s">
        <v>140</v>
      </c>
      <c r="B4" s="121"/>
      <c r="C4" s="121"/>
      <c r="D4" s="121"/>
      <c r="E4" s="121"/>
      <c r="F4" s="121"/>
      <c r="G4" s="121"/>
      <c r="H4" s="121"/>
    </row>
    <row r="5" spans="1:11" x14ac:dyDescent="0.25">
      <c r="A5" s="121" t="s">
        <v>144</v>
      </c>
      <c r="B5" s="121"/>
      <c r="C5" s="121"/>
      <c r="D5" s="121"/>
      <c r="E5" s="121"/>
      <c r="F5" s="121"/>
      <c r="G5" s="121"/>
      <c r="H5" s="121"/>
    </row>
    <row r="6" spans="1:11" x14ac:dyDescent="0.25">
      <c r="A6" s="121"/>
      <c r="B6" s="121"/>
      <c r="C6" s="121"/>
      <c r="D6" s="121"/>
      <c r="E6" s="121"/>
      <c r="F6" s="121"/>
      <c r="G6" s="121"/>
      <c r="H6" s="121"/>
    </row>
    <row r="7" spans="1:11" x14ac:dyDescent="0.25">
      <c r="A7" s="125"/>
      <c r="B7" s="125"/>
      <c r="C7" s="125"/>
      <c r="D7" s="124" t="s">
        <v>146</v>
      </c>
      <c r="E7" s="124"/>
      <c r="F7" s="124" t="s">
        <v>141</v>
      </c>
      <c r="G7" s="124"/>
      <c r="H7" s="124" t="s">
        <v>143</v>
      </c>
    </row>
    <row r="8" spans="1:11" x14ac:dyDescent="0.25">
      <c r="A8" s="124" t="s">
        <v>25</v>
      </c>
      <c r="B8" s="124"/>
      <c r="C8" s="124"/>
      <c r="D8" s="106" t="s">
        <v>66</v>
      </c>
      <c r="E8" s="106" t="s">
        <v>141</v>
      </c>
      <c r="F8" s="106" t="s">
        <v>142</v>
      </c>
      <c r="G8" s="106" t="s">
        <v>143</v>
      </c>
      <c r="H8" s="106" t="s">
        <v>142</v>
      </c>
    </row>
    <row r="9" spans="1:11" x14ac:dyDescent="0.25">
      <c r="A9" s="126" t="s">
        <v>18</v>
      </c>
      <c r="B9" s="154" t="s">
        <v>150</v>
      </c>
      <c r="C9" s="154" t="s">
        <v>149</v>
      </c>
      <c r="D9" s="155" t="s">
        <v>39</v>
      </c>
      <c r="E9" s="155" t="s">
        <v>38</v>
      </c>
      <c r="F9" s="155" t="s">
        <v>147</v>
      </c>
      <c r="G9" s="155" t="s">
        <v>36</v>
      </c>
      <c r="H9" s="155" t="s">
        <v>148</v>
      </c>
    </row>
    <row r="10" spans="1:11" x14ac:dyDescent="0.25">
      <c r="A10" s="106"/>
      <c r="B10" s="106"/>
      <c r="C10" s="106"/>
      <c r="D10" s="106"/>
      <c r="E10" s="106"/>
      <c r="F10" s="106"/>
      <c r="G10" s="106"/>
      <c r="H10" s="106"/>
    </row>
    <row r="11" spans="1:11" x14ac:dyDescent="0.25">
      <c r="B11" s="127"/>
      <c r="C11" s="127"/>
      <c r="D11" s="128"/>
      <c r="E11" s="156"/>
      <c r="F11" s="156"/>
      <c r="G11" s="156"/>
      <c r="H11" s="156"/>
    </row>
    <row r="12" spans="1:11" x14ac:dyDescent="0.25">
      <c r="A12" s="127">
        <v>1</v>
      </c>
      <c r="B12" s="142" t="s">
        <v>4</v>
      </c>
      <c r="C12" s="142"/>
      <c r="D12" s="157">
        <f>Summary!H27</f>
        <v>18742755.935488999</v>
      </c>
      <c r="E12" s="157">
        <f>Summary!H25</f>
        <v>18359017</v>
      </c>
      <c r="F12" s="157">
        <f>E12-D12</f>
        <v>-383738.93548899889</v>
      </c>
      <c r="G12" s="156">
        <f>E12</f>
        <v>18359017</v>
      </c>
      <c r="H12" s="156">
        <f>G12-E12</f>
        <v>0</v>
      </c>
    </row>
    <row r="13" spans="1:11" x14ac:dyDescent="0.25">
      <c r="A13" s="127">
        <f>A12+1</f>
        <v>2</v>
      </c>
      <c r="B13" s="127"/>
      <c r="C13" s="127"/>
      <c r="D13" s="128"/>
      <c r="E13" s="156"/>
      <c r="F13" s="156"/>
      <c r="G13" s="156"/>
      <c r="H13" s="156"/>
    </row>
    <row r="14" spans="1:11" x14ac:dyDescent="0.25">
      <c r="A14" s="127">
        <f>A13+1</f>
        <v>3</v>
      </c>
      <c r="B14" s="147" t="s">
        <v>2</v>
      </c>
      <c r="C14" s="147"/>
      <c r="D14" s="158">
        <f>-D12</f>
        <v>-18742755.935488999</v>
      </c>
      <c r="E14" s="158">
        <f t="shared" ref="E14:H14" si="0">-E12</f>
        <v>-18359017</v>
      </c>
      <c r="F14" s="158">
        <f t="shared" si="0"/>
        <v>383738.93548899889</v>
      </c>
      <c r="G14" s="158">
        <f t="shared" si="0"/>
        <v>-18359017</v>
      </c>
      <c r="H14" s="158">
        <f t="shared" si="0"/>
        <v>0</v>
      </c>
    </row>
    <row r="15" spans="1:11" x14ac:dyDescent="0.25">
      <c r="A15" s="127">
        <f>A14+1</f>
        <v>4</v>
      </c>
      <c r="B15" s="159" t="s">
        <v>1</v>
      </c>
      <c r="C15" s="160">
        <v>0.21</v>
      </c>
      <c r="D15" s="161">
        <f>D14*$C$15</f>
        <v>-3935978.7464526896</v>
      </c>
      <c r="E15" s="161">
        <f t="shared" ref="E15" si="1">E14*$C$15</f>
        <v>-3855393.57</v>
      </c>
      <c r="F15" s="161">
        <f>E15-D15</f>
        <v>80585.176452689804</v>
      </c>
      <c r="G15" s="161">
        <f>E15</f>
        <v>-3855393.57</v>
      </c>
      <c r="H15" s="162">
        <f>G15-E15</f>
        <v>0</v>
      </c>
    </row>
    <row r="16" spans="1:11" ht="14.4" thickBot="1" x14ac:dyDescent="0.3">
      <c r="A16" s="127">
        <f>A15+1</f>
        <v>5</v>
      </c>
      <c r="B16" s="159" t="s">
        <v>0</v>
      </c>
      <c r="C16" s="159"/>
      <c r="D16" s="163">
        <f t="shared" ref="D16" si="2">D14-D15</f>
        <v>-14806777.18903631</v>
      </c>
      <c r="E16" s="163">
        <f t="shared" ref="E16" si="3">E14-E15</f>
        <v>-14503623.43</v>
      </c>
      <c r="F16" s="163">
        <f t="shared" ref="F16" si="4">F14-F15</f>
        <v>303153.75903630909</v>
      </c>
      <c r="G16" s="163">
        <f t="shared" ref="G16" si="5">G14-G15</f>
        <v>-14503623.43</v>
      </c>
      <c r="H16" s="163">
        <f t="shared" ref="H16" si="6">H14-H15</f>
        <v>0</v>
      </c>
    </row>
    <row r="17" spans="1:18" ht="14.4" thickTop="1" x14ac:dyDescent="0.25">
      <c r="A17" s="127"/>
      <c r="B17" s="164"/>
      <c r="C17" s="127"/>
      <c r="D17" s="165"/>
      <c r="E17" s="166"/>
      <c r="F17" s="167"/>
      <c r="G17" s="167"/>
      <c r="H17" s="167"/>
    </row>
    <row r="18" spans="1:18" x14ac:dyDescent="0.25">
      <c r="A18" s="127"/>
      <c r="B18" s="127"/>
      <c r="C18" s="127"/>
      <c r="D18" s="168"/>
      <c r="E18" s="169"/>
      <c r="F18" s="170"/>
      <c r="G18" s="169"/>
      <c r="H18" s="169"/>
      <c r="L18" s="139"/>
      <c r="M18" s="139"/>
      <c r="N18" s="139"/>
      <c r="O18" s="139"/>
    </row>
    <row r="19" spans="1:18" x14ac:dyDescent="0.25">
      <c r="A19" s="127"/>
      <c r="B19" s="127"/>
      <c r="C19" s="127"/>
      <c r="D19" s="168"/>
      <c r="E19" s="169"/>
      <c r="F19" s="170"/>
      <c r="G19" s="169"/>
      <c r="H19" s="169" t="s">
        <v>151</v>
      </c>
    </row>
    <row r="20" spans="1:18" x14ac:dyDescent="0.25">
      <c r="A20" s="127"/>
      <c r="B20" s="127"/>
      <c r="C20" s="127"/>
      <c r="D20" s="166"/>
      <c r="E20" s="169"/>
      <c r="F20" s="171"/>
      <c r="G20" s="169"/>
      <c r="H20" s="169"/>
    </row>
    <row r="21" spans="1:18" x14ac:dyDescent="0.25">
      <c r="A21" s="127"/>
      <c r="B21" s="127"/>
      <c r="C21" s="127"/>
      <c r="D21" s="169"/>
      <c r="E21" s="169"/>
      <c r="F21" s="171"/>
      <c r="G21" s="169"/>
      <c r="H21" s="169"/>
    </row>
    <row r="22" spans="1:18" x14ac:dyDescent="0.25">
      <c r="A22" s="127"/>
      <c r="B22" s="127"/>
      <c r="C22" s="127"/>
      <c r="D22" s="166"/>
      <c r="E22" s="169"/>
      <c r="F22" s="169"/>
      <c r="G22" s="169"/>
      <c r="H22" s="169"/>
    </row>
    <row r="23" spans="1:18" x14ac:dyDescent="0.25">
      <c r="A23" s="127"/>
      <c r="B23" s="127"/>
      <c r="C23" s="127"/>
      <c r="D23" s="168"/>
      <c r="E23" s="169"/>
      <c r="F23" s="169"/>
      <c r="G23" s="169"/>
      <c r="H23" s="169"/>
    </row>
    <row r="24" spans="1:18" x14ac:dyDescent="0.25">
      <c r="A24" s="127"/>
      <c r="B24" s="127"/>
      <c r="C24" s="127"/>
      <c r="D24" s="172"/>
      <c r="E24" s="173"/>
      <c r="F24" s="174"/>
      <c r="G24" s="175"/>
      <c r="H24" s="175"/>
      <c r="I24" s="169"/>
      <c r="J24" s="169"/>
      <c r="K24" s="169"/>
    </row>
    <row r="25" spans="1:18" x14ac:dyDescent="0.25">
      <c r="A25" s="127"/>
      <c r="B25" s="127"/>
      <c r="C25" s="127"/>
      <c r="D25" s="176"/>
      <c r="E25" s="169"/>
      <c r="F25" s="169"/>
      <c r="G25" s="169"/>
      <c r="H25" s="169"/>
      <c r="I25" s="169"/>
      <c r="J25" s="169"/>
      <c r="K25" s="166"/>
    </row>
    <row r="26" spans="1:18" x14ac:dyDescent="0.25">
      <c r="A26" s="127"/>
      <c r="B26" s="127"/>
      <c r="C26" s="127"/>
      <c r="D26" s="177"/>
      <c r="E26" s="169"/>
      <c r="F26" s="169"/>
      <c r="G26" s="169"/>
      <c r="H26" s="169"/>
      <c r="I26" s="169"/>
      <c r="J26" s="169"/>
      <c r="K26" s="169"/>
    </row>
    <row r="27" spans="1:18" x14ac:dyDescent="0.25">
      <c r="A27" s="127"/>
      <c r="B27" s="127"/>
      <c r="C27" s="127"/>
      <c r="D27" s="159"/>
      <c r="E27" s="178"/>
      <c r="F27" s="178"/>
      <c r="G27" s="178"/>
      <c r="H27" s="178"/>
      <c r="I27" s="178"/>
      <c r="J27" s="178"/>
      <c r="K27" s="166"/>
    </row>
    <row r="28" spans="1:18" x14ac:dyDescent="0.25">
      <c r="A28" s="127"/>
      <c r="B28" s="127"/>
      <c r="C28" s="127"/>
      <c r="D28" s="159"/>
      <c r="E28" s="178"/>
      <c r="F28" s="178"/>
      <c r="G28" s="178"/>
      <c r="H28" s="178"/>
      <c r="I28" s="178"/>
      <c r="J28" s="173"/>
      <c r="K28" s="179"/>
    </row>
    <row r="29" spans="1:18" x14ac:dyDescent="0.25">
      <c r="A29" s="127"/>
      <c r="B29" s="127"/>
      <c r="C29" s="127"/>
      <c r="D29" s="159"/>
      <c r="E29" s="178"/>
      <c r="F29" s="178"/>
      <c r="G29" s="178"/>
      <c r="H29" s="178"/>
      <c r="I29" s="178"/>
      <c r="J29" s="178"/>
      <c r="K29" s="180"/>
    </row>
    <row r="30" spans="1:18" x14ac:dyDescent="0.25">
      <c r="D30" s="181"/>
      <c r="E30" s="181"/>
      <c r="F30" s="181"/>
      <c r="G30" s="181"/>
      <c r="H30" s="181"/>
      <c r="I30" s="181"/>
      <c r="J30" s="181"/>
      <c r="K30" s="181"/>
    </row>
    <row r="32" spans="1:18" x14ac:dyDescent="0.25">
      <c r="R32" s="153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opLeftCell="A4" zoomScale="90" zoomScaleNormal="90" workbookViewId="0">
      <selection sqref="A1:XFD1048576"/>
    </sheetView>
  </sheetViews>
  <sheetFormatPr defaultColWidth="9.109375" defaultRowHeight="13.8" x14ac:dyDescent="0.25"/>
  <cols>
    <col min="1" max="1" width="5.5546875" style="117" customWidth="1"/>
    <col min="2" max="2" width="56.6640625" style="117" bestFit="1" customWidth="1"/>
    <col min="3" max="3" width="13.5546875" style="117" bestFit="1" customWidth="1"/>
    <col min="4" max="4" width="16" style="117" customWidth="1"/>
    <col min="5" max="5" width="16.5546875" style="117" customWidth="1"/>
    <col min="6" max="6" width="14.6640625" style="117" customWidth="1"/>
    <col min="7" max="7" width="15.6640625" style="117" customWidth="1"/>
    <col min="8" max="8" width="16.44140625" style="117" bestFit="1" customWidth="1"/>
    <col min="9" max="9" width="16" style="117" customWidth="1"/>
    <col min="10" max="15" width="9.109375" style="101"/>
    <col min="16" max="16" width="9.33203125" style="101" bestFit="1" customWidth="1"/>
    <col min="17" max="16384" width="9.109375" style="101"/>
  </cols>
  <sheetData>
    <row r="2" spans="1:9" x14ac:dyDescent="0.25">
      <c r="I2" s="118"/>
    </row>
    <row r="3" spans="1:9" x14ac:dyDescent="0.25">
      <c r="I3" s="118"/>
    </row>
    <row r="4" spans="1:9" x14ac:dyDescent="0.25">
      <c r="A4" s="119"/>
      <c r="B4" s="119"/>
      <c r="C4" s="119"/>
      <c r="D4" s="119"/>
      <c r="E4" s="119"/>
      <c r="F4" s="119"/>
      <c r="G4" s="119"/>
      <c r="H4" s="119"/>
      <c r="I4" s="101"/>
    </row>
    <row r="5" spans="1:9" x14ac:dyDescent="0.25">
      <c r="A5" s="120" t="s">
        <v>30</v>
      </c>
      <c r="B5" s="121"/>
      <c r="C5" s="121"/>
      <c r="D5" s="121"/>
      <c r="E5" s="121"/>
      <c r="F5" s="121"/>
      <c r="G5" s="121"/>
      <c r="H5" s="121"/>
      <c r="I5" s="121"/>
    </row>
    <row r="6" spans="1:9" x14ac:dyDescent="0.25">
      <c r="A6" s="121" t="s">
        <v>29</v>
      </c>
      <c r="B6" s="121"/>
      <c r="C6" s="121"/>
      <c r="D6" s="121"/>
      <c r="E6" s="121"/>
      <c r="F6" s="121"/>
      <c r="G6" s="121"/>
      <c r="H6" s="122"/>
      <c r="I6" s="122"/>
    </row>
    <row r="7" spans="1:9" x14ac:dyDescent="0.25">
      <c r="A7" s="121" t="s">
        <v>140</v>
      </c>
      <c r="B7" s="121"/>
      <c r="C7" s="121"/>
      <c r="D7" s="121"/>
      <c r="E7" s="121"/>
      <c r="F7" s="121"/>
      <c r="G7" s="121"/>
      <c r="H7" s="123"/>
      <c r="I7" s="121"/>
    </row>
    <row r="8" spans="1:9" x14ac:dyDescent="0.25">
      <c r="A8" s="121" t="s">
        <v>74</v>
      </c>
      <c r="B8" s="121"/>
      <c r="C8" s="121"/>
      <c r="D8" s="121"/>
      <c r="E8" s="121"/>
      <c r="F8" s="121"/>
      <c r="G8" s="121"/>
      <c r="H8" s="123"/>
      <c r="I8" s="121"/>
    </row>
    <row r="9" spans="1:9" x14ac:dyDescent="0.25">
      <c r="A9" s="121"/>
      <c r="B9" s="121"/>
      <c r="C9" s="121"/>
      <c r="D9" s="121"/>
      <c r="E9" s="121"/>
      <c r="F9" s="121"/>
      <c r="G9" s="121"/>
      <c r="H9" s="124" t="s">
        <v>24</v>
      </c>
      <c r="I9" s="121"/>
    </row>
    <row r="10" spans="1:9" x14ac:dyDescent="0.25">
      <c r="A10" s="125"/>
      <c r="B10" s="119"/>
      <c r="C10" s="124"/>
      <c r="D10" s="124"/>
      <c r="E10" s="124" t="s">
        <v>27</v>
      </c>
      <c r="F10" s="124" t="s">
        <v>28</v>
      </c>
      <c r="G10" s="124" t="s">
        <v>27</v>
      </c>
      <c r="H10" s="106" t="s">
        <v>15</v>
      </c>
      <c r="I10" s="124" t="s">
        <v>26</v>
      </c>
    </row>
    <row r="11" spans="1:9" x14ac:dyDescent="0.25">
      <c r="A11" s="124" t="s">
        <v>25</v>
      </c>
      <c r="B11" s="119"/>
      <c r="C11" s="124" t="s">
        <v>24</v>
      </c>
      <c r="D11" s="124" t="s">
        <v>23</v>
      </c>
      <c r="E11" s="124" t="s">
        <v>21</v>
      </c>
      <c r="F11" s="124" t="s">
        <v>22</v>
      </c>
      <c r="G11" s="124" t="s">
        <v>21</v>
      </c>
      <c r="H11" s="124" t="s">
        <v>20</v>
      </c>
      <c r="I11" s="124" t="s">
        <v>19</v>
      </c>
    </row>
    <row r="12" spans="1:9" x14ac:dyDescent="0.25">
      <c r="A12" s="126" t="s">
        <v>18</v>
      </c>
      <c r="B12" s="126" t="s">
        <v>17</v>
      </c>
      <c r="C12" s="126" t="s">
        <v>16</v>
      </c>
      <c r="D12" s="126" t="s">
        <v>15</v>
      </c>
      <c r="E12" s="126" t="s">
        <v>14</v>
      </c>
      <c r="F12" s="126" t="s">
        <v>13</v>
      </c>
      <c r="G12" s="126" t="s">
        <v>12</v>
      </c>
      <c r="H12" s="126" t="s">
        <v>11</v>
      </c>
      <c r="I12" s="126" t="s">
        <v>10</v>
      </c>
    </row>
    <row r="13" spans="1:9" x14ac:dyDescent="0.25">
      <c r="A13" s="106"/>
      <c r="B13" s="106" t="s">
        <v>9</v>
      </c>
      <c r="C13" s="106" t="s">
        <v>113</v>
      </c>
      <c r="D13" s="106" t="s">
        <v>114</v>
      </c>
      <c r="E13" s="106" t="s">
        <v>114</v>
      </c>
      <c r="F13" s="106" t="s">
        <v>114</v>
      </c>
      <c r="G13" s="106" t="s">
        <v>114</v>
      </c>
      <c r="H13" s="106" t="s">
        <v>114</v>
      </c>
      <c r="I13" s="106"/>
    </row>
    <row r="14" spans="1:9" x14ac:dyDescent="0.25">
      <c r="A14" s="127">
        <v>1</v>
      </c>
      <c r="B14" s="128" t="s">
        <v>126</v>
      </c>
      <c r="C14" s="129">
        <f>'3-YR AVERAGE-ELEC'!B15</f>
        <v>17232326.259999998</v>
      </c>
      <c r="D14" s="129">
        <f>'3-YR AVERAGE-ELEC'!C15</f>
        <v>2221903290.54</v>
      </c>
      <c r="E14" s="129">
        <f>'3-YR AVERAGE-ELEC'!D15</f>
        <v>54786786.670000002</v>
      </c>
      <c r="F14" s="129">
        <f>'3-YR AVERAGE-ELEC'!E15</f>
        <v>16912199.489999998</v>
      </c>
      <c r="G14" s="129">
        <f>'3-YR AVERAGE-ELEC'!F15</f>
        <v>324713.43</v>
      </c>
      <c r="H14" s="129">
        <f>'3-YR AVERAGE-ELEC'!G15</f>
        <v>2149879590.9500003</v>
      </c>
      <c r="I14" s="130">
        <f>ROUND(C14/H14,6)</f>
        <v>8.0149999999999996E-3</v>
      </c>
    </row>
    <row r="15" spans="1:9" x14ac:dyDescent="0.25">
      <c r="A15" s="127">
        <f t="shared" ref="A15:A32" si="0">A14+1</f>
        <v>2</v>
      </c>
      <c r="B15" s="128" t="s">
        <v>127</v>
      </c>
      <c r="C15" s="129">
        <f>'3-YR AVERAGE-ELEC'!B16</f>
        <v>18726588.579999998</v>
      </c>
      <c r="D15" s="129">
        <f>'3-YR AVERAGE-ELEC'!C16</f>
        <v>2331385777.1099997</v>
      </c>
      <c r="E15" s="129">
        <f>'3-YR AVERAGE-ELEC'!D16</f>
        <v>50098528.460000001</v>
      </c>
      <c r="F15" s="129">
        <f>'3-YR AVERAGE-ELEC'!E16</f>
        <v>43765106.579999998</v>
      </c>
      <c r="G15" s="129">
        <f>'3-YR AVERAGE-ELEC'!F16</f>
        <v>352068.21</v>
      </c>
      <c r="H15" s="129">
        <f>'3-YR AVERAGE-ELEC'!G16</f>
        <v>2237170073.8599997</v>
      </c>
      <c r="I15" s="130">
        <f t="shared" ref="I15:I16" si="1">ROUND(C15/H15,6)</f>
        <v>8.371E-3</v>
      </c>
    </row>
    <row r="16" spans="1:9" x14ac:dyDescent="0.25">
      <c r="A16" s="127">
        <f t="shared" si="0"/>
        <v>3</v>
      </c>
      <c r="B16" s="128" t="s">
        <v>139</v>
      </c>
      <c r="C16" s="129">
        <f>'3-YR AVERAGE-ELEC'!B17</f>
        <v>20261588.965489</v>
      </c>
      <c r="D16" s="129">
        <f>'3-YR AVERAGE-ELEC'!C17</f>
        <v>2423734650.4299998</v>
      </c>
      <c r="E16" s="129">
        <f>'3-YR AVERAGE-ELEC'!D17</f>
        <v>66034871.479999997</v>
      </c>
      <c r="F16" s="129">
        <f>'3-YR AVERAGE-ELEC'!E17</f>
        <v>118832165.98999999</v>
      </c>
      <c r="G16" s="129">
        <f>'3-YR AVERAGE-ELEC'!F17</f>
        <v>342378.54</v>
      </c>
      <c r="H16" s="129">
        <f>'3-YR AVERAGE-ELEC'!G17</f>
        <v>2238525234.4200001</v>
      </c>
      <c r="I16" s="130">
        <f t="shared" si="1"/>
        <v>9.051E-3</v>
      </c>
    </row>
    <row r="17" spans="1:13" x14ac:dyDescent="0.25">
      <c r="A17" s="127">
        <f t="shared" si="0"/>
        <v>4</v>
      </c>
      <c r="B17" s="131" t="s">
        <v>123</v>
      </c>
      <c r="C17" s="129"/>
      <c r="D17" s="132"/>
      <c r="E17" s="132"/>
      <c r="F17" s="132"/>
      <c r="G17" s="132"/>
      <c r="H17" s="132"/>
      <c r="I17" s="133"/>
    </row>
    <row r="18" spans="1:13" x14ac:dyDescent="0.25">
      <c r="A18" s="127">
        <f t="shared" si="0"/>
        <v>5</v>
      </c>
      <c r="B18" s="134" t="s">
        <v>8</v>
      </c>
      <c r="C18" s="129"/>
      <c r="D18" s="129"/>
      <c r="E18" s="129"/>
      <c r="F18" s="129"/>
      <c r="G18" s="129"/>
      <c r="H18" s="129"/>
      <c r="I18" s="135">
        <f>ROUND(SUM(I14:I16)/3,6)</f>
        <v>8.4790000000000004E-3</v>
      </c>
    </row>
    <row r="19" spans="1:13" x14ac:dyDescent="0.25">
      <c r="A19" s="127">
        <f t="shared" si="0"/>
        <v>6</v>
      </c>
    </row>
    <row r="20" spans="1:13" x14ac:dyDescent="0.25">
      <c r="A20" s="127">
        <f t="shared" si="0"/>
        <v>7</v>
      </c>
      <c r="B20" s="134" t="s">
        <v>7</v>
      </c>
      <c r="C20" s="136"/>
      <c r="D20" s="132">
        <v>2443083187.8299994</v>
      </c>
      <c r="E20" s="132">
        <v>155333122.24000001</v>
      </c>
      <c r="F20" s="132">
        <v>122175867.17999999</v>
      </c>
      <c r="G20" s="132">
        <v>340431.51999999897</v>
      </c>
      <c r="H20" s="132">
        <f>D20-E20-F20-G20</f>
        <v>2165233766.8899994</v>
      </c>
      <c r="I20" s="137"/>
    </row>
    <row r="21" spans="1:13" x14ac:dyDescent="0.25">
      <c r="A21" s="127">
        <f t="shared" si="0"/>
        <v>8</v>
      </c>
      <c r="B21" s="138"/>
      <c r="C21" s="139"/>
      <c r="D21" s="140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1:13" x14ac:dyDescent="0.25">
      <c r="A22" s="127">
        <f t="shared" si="0"/>
        <v>9</v>
      </c>
      <c r="B22" s="138"/>
      <c r="C22" s="139"/>
      <c r="D22" s="140"/>
      <c r="E22" s="139"/>
      <c r="F22" s="139"/>
      <c r="G22" s="139"/>
      <c r="H22" s="139">
        <f>H20</f>
        <v>2165233766.8899994</v>
      </c>
      <c r="I22" s="140"/>
    </row>
    <row r="23" spans="1:13" x14ac:dyDescent="0.25">
      <c r="A23" s="127">
        <f t="shared" si="0"/>
        <v>10</v>
      </c>
      <c r="B23" s="138"/>
      <c r="C23" s="139"/>
      <c r="D23" s="140"/>
      <c r="E23" s="139"/>
      <c r="F23" s="139"/>
      <c r="G23" s="139"/>
      <c r="H23" s="139"/>
      <c r="I23" s="140"/>
    </row>
    <row r="24" spans="1:13" x14ac:dyDescent="0.25">
      <c r="A24" s="127">
        <f>A21+1</f>
        <v>9</v>
      </c>
      <c r="B24" s="138" t="s">
        <v>6</v>
      </c>
      <c r="C24" s="139"/>
      <c r="D24" s="139"/>
      <c r="E24" s="139"/>
      <c r="F24" s="139"/>
      <c r="G24" s="139"/>
      <c r="H24" s="141">
        <f>I18</f>
        <v>8.4790000000000004E-3</v>
      </c>
      <c r="I24" s="139"/>
    </row>
    <row r="25" spans="1:13" x14ac:dyDescent="0.25">
      <c r="A25" s="127">
        <f t="shared" si="0"/>
        <v>10</v>
      </c>
      <c r="B25" s="138" t="s">
        <v>5</v>
      </c>
      <c r="C25" s="139"/>
      <c r="D25" s="139"/>
      <c r="E25" s="139"/>
      <c r="F25" s="139"/>
      <c r="G25" s="139"/>
      <c r="H25" s="136">
        <f>ROUND(H22*H24,0)</f>
        <v>18359017</v>
      </c>
      <c r="I25" s="139"/>
    </row>
    <row r="26" spans="1:13" x14ac:dyDescent="0.25">
      <c r="A26" s="127">
        <f t="shared" si="0"/>
        <v>11</v>
      </c>
      <c r="B26" s="138"/>
      <c r="C26" s="139"/>
      <c r="D26" s="139"/>
      <c r="E26" s="139"/>
      <c r="F26" s="139"/>
      <c r="G26" s="139"/>
      <c r="H26" s="139"/>
      <c r="I26" s="139"/>
    </row>
    <row r="27" spans="1:13" x14ac:dyDescent="0.25">
      <c r="A27" s="127">
        <f t="shared" si="0"/>
        <v>12</v>
      </c>
      <c r="B27" s="142" t="s">
        <v>4</v>
      </c>
      <c r="C27" s="139"/>
      <c r="D27" s="139"/>
      <c r="E27" s="143"/>
      <c r="F27" s="143"/>
      <c r="G27" s="139"/>
      <c r="H27" s="139">
        <f>'NetWriteoffs-Elec'!B19</f>
        <v>18742755.935488999</v>
      </c>
      <c r="I27" s="139"/>
    </row>
    <row r="28" spans="1:13" x14ac:dyDescent="0.25">
      <c r="A28" s="127">
        <f t="shared" si="0"/>
        <v>13</v>
      </c>
      <c r="B28" s="144" t="s">
        <v>3</v>
      </c>
      <c r="C28" s="139"/>
      <c r="D28" s="139"/>
      <c r="E28" s="139"/>
      <c r="F28" s="139"/>
      <c r="G28" s="139"/>
      <c r="H28" s="145"/>
      <c r="I28" s="136">
        <f>ROUND(H25-H27,0)</f>
        <v>-383739</v>
      </c>
    </row>
    <row r="29" spans="1:13" x14ac:dyDescent="0.25">
      <c r="A29" s="127">
        <f t="shared" si="0"/>
        <v>14</v>
      </c>
      <c r="B29" s="146"/>
      <c r="C29" s="139"/>
      <c r="D29" s="139"/>
      <c r="E29" s="139"/>
      <c r="F29" s="139"/>
      <c r="G29" s="139"/>
      <c r="H29" s="139"/>
      <c r="I29" s="139"/>
    </row>
    <row r="30" spans="1:13" x14ac:dyDescent="0.25">
      <c r="A30" s="127">
        <f t="shared" si="0"/>
        <v>15</v>
      </c>
      <c r="B30" s="147" t="s">
        <v>2</v>
      </c>
      <c r="C30" s="148"/>
      <c r="D30" s="148"/>
      <c r="E30" s="148"/>
      <c r="F30" s="148"/>
      <c r="G30" s="148"/>
      <c r="H30" s="148"/>
      <c r="I30" s="136">
        <f>-I28</f>
        <v>383739</v>
      </c>
    </row>
    <row r="31" spans="1:13" x14ac:dyDescent="0.25">
      <c r="A31" s="127">
        <f t="shared" si="0"/>
        <v>16</v>
      </c>
      <c r="B31" s="147" t="s">
        <v>1</v>
      </c>
      <c r="C31" s="148"/>
      <c r="D31" s="148"/>
      <c r="E31" s="148"/>
      <c r="F31" s="148"/>
      <c r="G31" s="148"/>
      <c r="H31" s="149">
        <v>0.21</v>
      </c>
      <c r="I31" s="150">
        <f>ROUND(-I28*H31,0)</f>
        <v>80585</v>
      </c>
    </row>
    <row r="32" spans="1:13" ht="14.4" thickBot="1" x14ac:dyDescent="0.3">
      <c r="A32" s="127">
        <f t="shared" si="0"/>
        <v>17</v>
      </c>
      <c r="B32" s="151" t="s">
        <v>0</v>
      </c>
      <c r="C32" s="148"/>
      <c r="D32" s="148"/>
      <c r="E32" s="148"/>
      <c r="F32" s="148"/>
      <c r="G32" s="148"/>
      <c r="H32" s="148"/>
      <c r="I32" s="152">
        <f>I30-I31</f>
        <v>303154</v>
      </c>
    </row>
    <row r="33" spans="16:16" ht="14.4" thickTop="1" x14ac:dyDescent="0.25"/>
    <row r="35" spans="16:16" x14ac:dyDescent="0.25">
      <c r="P35" s="153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28"/>
  <sheetViews>
    <sheetView zoomScaleNormal="100" workbookViewId="0">
      <selection sqref="A1:XFD1048576"/>
    </sheetView>
  </sheetViews>
  <sheetFormatPr defaultColWidth="9.109375" defaultRowHeight="13.2" x14ac:dyDescent="0.25"/>
  <cols>
    <col min="1" max="1" width="30.5546875" style="101" customWidth="1"/>
    <col min="2" max="2" width="13.33203125" style="101" customWidth="1"/>
    <col min="3" max="3" width="15" style="101" customWidth="1"/>
    <col min="4" max="4" width="14.33203125" style="101" customWidth="1"/>
    <col min="5" max="5" width="13.33203125" style="101" bestFit="1" customWidth="1"/>
    <col min="6" max="6" width="13.109375" style="101" customWidth="1"/>
    <col min="7" max="7" width="16.6640625" style="101" customWidth="1"/>
    <col min="8" max="8" width="14.88671875" style="101" customWidth="1"/>
    <col min="9" max="9" width="1.6640625" style="101" bestFit="1" customWidth="1"/>
    <col min="10" max="10" width="9.109375" style="101"/>
    <col min="11" max="11" width="14.109375" style="101" bestFit="1" customWidth="1"/>
    <col min="12" max="16384" width="9.109375" style="101"/>
  </cols>
  <sheetData>
    <row r="1" spans="1:11" s="99" customFormat="1" x14ac:dyDescent="0.25">
      <c r="A1" s="98" t="s">
        <v>45</v>
      </c>
      <c r="B1" s="98"/>
      <c r="C1" s="98"/>
      <c r="D1" s="98"/>
      <c r="E1" s="98"/>
      <c r="F1" s="98"/>
      <c r="G1" s="98"/>
      <c r="H1" s="98"/>
    </row>
    <row r="2" spans="1:11" s="99" customFormat="1" x14ac:dyDescent="0.25">
      <c r="A2" s="98" t="s">
        <v>44</v>
      </c>
      <c r="B2" s="98"/>
      <c r="C2" s="98"/>
      <c r="D2" s="98"/>
      <c r="E2" s="98"/>
      <c r="F2" s="98"/>
      <c r="G2" s="98"/>
      <c r="H2" s="98"/>
    </row>
    <row r="3" spans="1:11" s="99" customFormat="1" x14ac:dyDescent="0.25">
      <c r="A3" s="98" t="s">
        <v>43</v>
      </c>
      <c r="B3" s="98"/>
      <c r="C3" s="98"/>
      <c r="D3" s="98"/>
      <c r="E3" s="98"/>
      <c r="F3" s="98"/>
      <c r="G3" s="98"/>
      <c r="H3" s="98"/>
    </row>
    <row r="4" spans="1:11" s="99" customFormat="1" x14ac:dyDescent="0.25">
      <c r="A4" s="100" t="s">
        <v>140</v>
      </c>
      <c r="B4" s="98"/>
      <c r="C4" s="98"/>
      <c r="D4" s="98"/>
      <c r="E4" s="98"/>
      <c r="F4" s="98"/>
      <c r="G4" s="98"/>
      <c r="H4" s="98"/>
    </row>
    <row r="5" spans="1:11" x14ac:dyDescent="0.25">
      <c r="A5" s="182"/>
      <c r="B5" s="182"/>
      <c r="C5" s="182"/>
      <c r="D5" s="182"/>
      <c r="E5" s="182"/>
      <c r="F5" s="182"/>
      <c r="G5" s="182"/>
      <c r="H5" s="182"/>
    </row>
    <row r="6" spans="1:11" x14ac:dyDescent="0.25">
      <c r="A6" s="100"/>
      <c r="B6" s="102"/>
      <c r="C6" s="102"/>
      <c r="D6" s="102"/>
      <c r="E6" s="102"/>
      <c r="F6" s="102"/>
      <c r="G6" s="102"/>
      <c r="H6" s="102"/>
    </row>
    <row r="7" spans="1:11" x14ac:dyDescent="0.25">
      <c r="A7" s="100"/>
      <c r="B7" s="102"/>
      <c r="C7" s="102"/>
      <c r="D7" s="102"/>
      <c r="E7" s="102"/>
      <c r="F7" s="102"/>
      <c r="G7" s="102"/>
      <c r="H7" s="102"/>
    </row>
    <row r="8" spans="1:11" x14ac:dyDescent="0.25">
      <c r="A8" s="100"/>
      <c r="B8" s="102"/>
      <c r="C8" s="102"/>
      <c r="D8" s="102"/>
      <c r="E8" s="102" t="s">
        <v>28</v>
      </c>
      <c r="F8" s="102"/>
      <c r="G8" s="102"/>
      <c r="H8" s="102" t="s">
        <v>26</v>
      </c>
    </row>
    <row r="9" spans="1:11" x14ac:dyDescent="0.25">
      <c r="A9" s="103"/>
      <c r="B9" s="102" t="s">
        <v>24</v>
      </c>
      <c r="C9" s="102" t="s">
        <v>23</v>
      </c>
      <c r="D9" s="102" t="s">
        <v>42</v>
      </c>
      <c r="E9" s="102" t="s">
        <v>22</v>
      </c>
      <c r="F9" s="102" t="s">
        <v>42</v>
      </c>
      <c r="G9" s="102" t="s">
        <v>24</v>
      </c>
      <c r="H9" s="102" t="s">
        <v>19</v>
      </c>
    </row>
    <row r="10" spans="1:11" x14ac:dyDescent="0.25">
      <c r="A10" s="104" t="s">
        <v>17</v>
      </c>
      <c r="B10" s="104" t="s">
        <v>19</v>
      </c>
      <c r="C10" s="104" t="s">
        <v>15</v>
      </c>
      <c r="D10" s="104" t="s">
        <v>41</v>
      </c>
      <c r="E10" s="102" t="s">
        <v>13</v>
      </c>
      <c r="F10" s="104" t="s">
        <v>40</v>
      </c>
      <c r="G10" s="104" t="s">
        <v>15</v>
      </c>
      <c r="H10" s="104" t="s">
        <v>10</v>
      </c>
    </row>
    <row r="11" spans="1:11" x14ac:dyDescent="0.25">
      <c r="A11" s="105"/>
      <c r="B11" s="105" t="s">
        <v>39</v>
      </c>
      <c r="C11" s="105" t="s">
        <v>38</v>
      </c>
      <c r="D11" s="105" t="s">
        <v>37</v>
      </c>
      <c r="E11" s="105" t="s">
        <v>36</v>
      </c>
      <c r="F11" s="105" t="s">
        <v>35</v>
      </c>
      <c r="G11" s="105" t="s">
        <v>34</v>
      </c>
      <c r="H11" s="105" t="s">
        <v>33</v>
      </c>
    </row>
    <row r="12" spans="1:11" ht="13.8" x14ac:dyDescent="0.25">
      <c r="A12" s="104"/>
      <c r="B12" s="106" t="s">
        <v>113</v>
      </c>
      <c r="C12" s="106" t="s">
        <v>114</v>
      </c>
      <c r="D12" s="106" t="s">
        <v>114</v>
      </c>
      <c r="E12" s="106" t="s">
        <v>114</v>
      </c>
      <c r="F12" s="106" t="s">
        <v>114</v>
      </c>
      <c r="G12" s="106" t="s">
        <v>114</v>
      </c>
      <c r="H12" s="104"/>
    </row>
    <row r="13" spans="1:11" x14ac:dyDescent="0.25">
      <c r="A13" s="107" t="str">
        <f>A22</f>
        <v>12 ME 12/01/2014 AND 8/31/2014</v>
      </c>
      <c r="B13" s="108" t="str">
        <f t="shared" ref="B13:G13" si="0">IF(OR($J22="min",$J22="max"),$J22,B22)</f>
        <v>max</v>
      </c>
      <c r="C13" s="108" t="str">
        <f t="shared" si="0"/>
        <v>max</v>
      </c>
      <c r="D13" s="108" t="str">
        <f t="shared" si="0"/>
        <v>max</v>
      </c>
      <c r="E13" s="108" t="str">
        <f t="shared" si="0"/>
        <v>max</v>
      </c>
      <c r="F13" s="108" t="str">
        <f t="shared" si="0"/>
        <v>max</v>
      </c>
      <c r="G13" s="108" t="str">
        <f t="shared" si="0"/>
        <v>max</v>
      </c>
      <c r="H13" s="109" t="str">
        <f>IF(OR(B13="min",B13="max"),J22,ROUND(B13/G13,9))</f>
        <v>max</v>
      </c>
    </row>
    <row r="14" spans="1:11" x14ac:dyDescent="0.25">
      <c r="A14" s="107" t="str">
        <f t="shared" ref="A14:A17" si="1">A23</f>
        <v>12 ME 12/01/2015 AND 8/31/2015</v>
      </c>
      <c r="B14" s="108" t="str">
        <f t="shared" ref="B14:G17" si="2">IF(OR($J23="min",$J23="max"),$J23,B23)</f>
        <v>min</v>
      </c>
      <c r="C14" s="108" t="str">
        <f t="shared" si="2"/>
        <v>min</v>
      </c>
      <c r="D14" s="108" t="str">
        <f t="shared" si="2"/>
        <v>min</v>
      </c>
      <c r="E14" s="108" t="str">
        <f t="shared" si="2"/>
        <v>min</v>
      </c>
      <c r="F14" s="108" t="str">
        <f t="shared" si="2"/>
        <v>min</v>
      </c>
      <c r="G14" s="108" t="str">
        <f t="shared" si="2"/>
        <v>min</v>
      </c>
      <c r="H14" s="109" t="str">
        <f>IF(OR(B14="min",B14="max"),J23,ROUND(B14/G14,9))</f>
        <v>min</v>
      </c>
    </row>
    <row r="15" spans="1:11" x14ac:dyDescent="0.25">
      <c r="A15" s="107" t="str">
        <f t="shared" si="1"/>
        <v>12 ME 12/01/2016 AND 8/31/2016</v>
      </c>
      <c r="B15" s="108">
        <f t="shared" si="2"/>
        <v>17232326.259999998</v>
      </c>
      <c r="C15" s="108">
        <f t="shared" si="2"/>
        <v>2221903290.54</v>
      </c>
      <c r="D15" s="108">
        <f t="shared" si="2"/>
        <v>54786786.670000002</v>
      </c>
      <c r="E15" s="108">
        <f t="shared" si="2"/>
        <v>16912199.489999998</v>
      </c>
      <c r="F15" s="108">
        <f t="shared" si="2"/>
        <v>324713.43</v>
      </c>
      <c r="G15" s="108">
        <f t="shared" si="2"/>
        <v>2149879590.9500003</v>
      </c>
      <c r="H15" s="109">
        <f t="shared" ref="H15:H17" si="3">IF(OR(B15="min",B15="max"),J24,ROUND(B15/G15,9))</f>
        <v>8.0154839999999998E-3</v>
      </c>
      <c r="K15" s="110"/>
    </row>
    <row r="16" spans="1:11" x14ac:dyDescent="0.25">
      <c r="A16" s="107" t="str">
        <f t="shared" si="1"/>
        <v>12 ME 12/01/2017 AND 8/31/2017</v>
      </c>
      <c r="B16" s="108">
        <f t="shared" si="2"/>
        <v>18726588.579999998</v>
      </c>
      <c r="C16" s="108">
        <f t="shared" si="2"/>
        <v>2331385777.1099997</v>
      </c>
      <c r="D16" s="108">
        <f t="shared" si="2"/>
        <v>50098528.460000001</v>
      </c>
      <c r="E16" s="108">
        <f t="shared" si="2"/>
        <v>43765106.579999998</v>
      </c>
      <c r="F16" s="108">
        <f t="shared" si="2"/>
        <v>352068.21</v>
      </c>
      <c r="G16" s="108">
        <f t="shared" si="2"/>
        <v>2237170073.8599997</v>
      </c>
      <c r="H16" s="109">
        <f t="shared" si="3"/>
        <v>8.3706590000000008E-3</v>
      </c>
    </row>
    <row r="17" spans="1:10" x14ac:dyDescent="0.25">
      <c r="A17" s="107" t="str">
        <f t="shared" si="1"/>
        <v>12 ME 12/01/2018 AND 8/31/2018</v>
      </c>
      <c r="B17" s="108">
        <f t="shared" si="2"/>
        <v>20261588.965489</v>
      </c>
      <c r="C17" s="108">
        <f t="shared" si="2"/>
        <v>2423734650.4299998</v>
      </c>
      <c r="D17" s="108">
        <f t="shared" si="2"/>
        <v>66034871.479999997</v>
      </c>
      <c r="E17" s="108">
        <f t="shared" si="2"/>
        <v>118832165.98999999</v>
      </c>
      <c r="F17" s="108">
        <f t="shared" si="2"/>
        <v>342378.54</v>
      </c>
      <c r="G17" s="108">
        <f t="shared" si="2"/>
        <v>2238525234.4200001</v>
      </c>
      <c r="H17" s="109">
        <f t="shared" si="3"/>
        <v>9.0513109999999994E-3</v>
      </c>
    </row>
    <row r="19" spans="1:10" ht="13.8" thickBot="1" x14ac:dyDescent="0.3">
      <c r="A19" s="99" t="s">
        <v>32</v>
      </c>
      <c r="B19" s="111">
        <f t="shared" ref="B19:H19" si="4">SUM(B13:B17)/3</f>
        <v>18740167.935162999</v>
      </c>
      <c r="C19" s="111">
        <f t="shared" si="4"/>
        <v>2325674572.6933331</v>
      </c>
      <c r="D19" s="111">
        <f t="shared" si="4"/>
        <v>56973395.536666662</v>
      </c>
      <c r="E19" s="111">
        <f t="shared" si="4"/>
        <v>59836490.686666667</v>
      </c>
      <c r="F19" s="111">
        <f t="shared" si="4"/>
        <v>339720.06</v>
      </c>
      <c r="G19" s="111">
        <f t="shared" si="4"/>
        <v>2208524966.4099998</v>
      </c>
      <c r="H19" s="112">
        <f t="shared" si="4"/>
        <v>8.4791513333333322E-3</v>
      </c>
    </row>
    <row r="20" spans="1:10" ht="13.8" thickTop="1" x14ac:dyDescent="0.25">
      <c r="A20" s="99"/>
      <c r="B20" s="113"/>
      <c r="C20" s="113"/>
      <c r="D20" s="113"/>
      <c r="E20" s="113"/>
      <c r="F20" s="113"/>
      <c r="G20" s="113"/>
      <c r="H20" s="114"/>
    </row>
    <row r="22" spans="1:10" x14ac:dyDescent="0.25">
      <c r="A22" s="107" t="s">
        <v>124</v>
      </c>
      <c r="B22" s="115">
        <f>'NetWriteoffs-Elec'!B77</f>
        <v>19913029.57</v>
      </c>
      <c r="C22" s="116">
        <f>'SOE 12 ME 8-2018'!F29</f>
        <v>2187365692.98</v>
      </c>
      <c r="D22" s="116">
        <f>'SOE 12 ME 8-2018'!F21</f>
        <v>52229082.280000001</v>
      </c>
      <c r="E22" s="116">
        <f>'SOE 12 ME 8-2018'!F27</f>
        <v>55516751.649999999</v>
      </c>
      <c r="F22" s="116">
        <f>'SOE 12 ME 8-2018'!F15</f>
        <v>355232.6</v>
      </c>
      <c r="G22" s="116">
        <f>C22-D22-E22-F22</f>
        <v>2079264626.45</v>
      </c>
      <c r="H22" s="109">
        <f t="shared" ref="H22:H26" si="5">ROUND(B22/G22,9)</f>
        <v>9.576958E-3</v>
      </c>
      <c r="J22" s="101" t="str">
        <f>IF(H22=MIN($H$22:$H$26),"min",IF(H22=MAX($H$22:$H$26),"max","include"))</f>
        <v>max</v>
      </c>
    </row>
    <row r="23" spans="1:10" x14ac:dyDescent="0.25">
      <c r="A23" s="107" t="s">
        <v>125</v>
      </c>
      <c r="B23" s="115">
        <f>'NetWriteoffs-Elec'!B63</f>
        <v>12194537.579999998</v>
      </c>
      <c r="C23" s="116">
        <f>'SOE 12 ME 8-2018'!E29</f>
        <v>2030915814</v>
      </c>
      <c r="D23" s="116">
        <f>'SOE 12 ME 8-2018'!E21</f>
        <v>38417260.890000001</v>
      </c>
      <c r="E23" s="116">
        <f>'SOE 12 ME 8-2018'!E27</f>
        <v>44931386.039999999</v>
      </c>
      <c r="F23" s="116">
        <f>'SOE 12 ME 8-2018'!E15</f>
        <v>318609.98</v>
      </c>
      <c r="G23" s="116">
        <f t="shared" ref="G23:G26" si="6">C23-D23-E23-F23</f>
        <v>1947248557.0899999</v>
      </c>
      <c r="H23" s="109">
        <f t="shared" si="5"/>
        <v>6.2624450000000002E-3</v>
      </c>
      <c r="J23" s="101" t="str">
        <f t="shared" ref="J23:J26" si="7">IF(H23=MIN($H$22:$H$26),"min",IF(H23=MAX($H$22:$H$26),"max","include"))</f>
        <v>min</v>
      </c>
    </row>
    <row r="24" spans="1:10" x14ac:dyDescent="0.25">
      <c r="A24" s="107" t="s">
        <v>126</v>
      </c>
      <c r="B24" s="115">
        <f>'NetWriteoffs-Elec'!B49</f>
        <v>17232326.259999998</v>
      </c>
      <c r="C24" s="116">
        <f>'SOE 12 ME 8-2018'!D29</f>
        <v>2221903290.54</v>
      </c>
      <c r="D24" s="116">
        <f>'SOE 12 ME 8-2018'!D21</f>
        <v>54786786.670000002</v>
      </c>
      <c r="E24" s="116">
        <f>'SOE 12 ME 8-2018'!D27</f>
        <v>16912199.489999998</v>
      </c>
      <c r="F24" s="116">
        <f>'SOE 12 ME 8-2018'!D15</f>
        <v>324713.43</v>
      </c>
      <c r="G24" s="116">
        <f t="shared" si="6"/>
        <v>2149879590.9500003</v>
      </c>
      <c r="H24" s="109">
        <f t="shared" si="5"/>
        <v>8.0154839999999998E-3</v>
      </c>
      <c r="J24" s="101" t="str">
        <f t="shared" si="7"/>
        <v>include</v>
      </c>
    </row>
    <row r="25" spans="1:10" x14ac:dyDescent="0.25">
      <c r="A25" s="107" t="s">
        <v>127</v>
      </c>
      <c r="B25" s="116">
        <f>'NetWriteoffs-Elec'!B36</f>
        <v>18726588.579999998</v>
      </c>
      <c r="C25" s="116">
        <f>'SOE 12 ME 8-2018'!C29</f>
        <v>2331385777.1099997</v>
      </c>
      <c r="D25" s="116">
        <f>'SOE 12 ME 8-2018'!C21</f>
        <v>50098528.460000001</v>
      </c>
      <c r="E25" s="116">
        <f>'SOE 12 ME 8-2018'!C27</f>
        <v>43765106.579999998</v>
      </c>
      <c r="F25" s="116">
        <f>'SOE 12 ME 8-2018'!C15</f>
        <v>352068.21</v>
      </c>
      <c r="G25" s="116">
        <f t="shared" si="6"/>
        <v>2237170073.8599997</v>
      </c>
      <c r="H25" s="109">
        <f t="shared" si="5"/>
        <v>8.3706590000000008E-3</v>
      </c>
      <c r="J25" s="101" t="str">
        <f t="shared" si="7"/>
        <v>include</v>
      </c>
    </row>
    <row r="26" spans="1:10" x14ac:dyDescent="0.25">
      <c r="A26" s="107" t="s">
        <v>139</v>
      </c>
      <c r="B26" s="116">
        <f>'NetWriteoffs-Elec'!B21</f>
        <v>20261588.965489</v>
      </c>
      <c r="C26" s="116">
        <f>'SOE 12 ME 8-2018'!B29</f>
        <v>2423734650.4299998</v>
      </c>
      <c r="D26" s="116">
        <f>'SOE 12 ME 8-2018'!B21</f>
        <v>66034871.479999997</v>
      </c>
      <c r="E26" s="116">
        <f>'SOE 12 ME 8-2018'!B27</f>
        <v>118832165.98999999</v>
      </c>
      <c r="F26" s="116">
        <f>'SOE 12 ME 8-2018'!B15</f>
        <v>342378.54</v>
      </c>
      <c r="G26" s="116">
        <f t="shared" si="6"/>
        <v>2238525234.4200001</v>
      </c>
      <c r="H26" s="109">
        <f t="shared" si="5"/>
        <v>9.0513109999999994E-3</v>
      </c>
      <c r="J26" s="101" t="str">
        <f t="shared" si="7"/>
        <v>include</v>
      </c>
    </row>
    <row r="28" spans="1:10" x14ac:dyDescent="0.25">
      <c r="A28" s="99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7"/>
  <sheetViews>
    <sheetView zoomScale="90" zoomScaleNormal="90" workbookViewId="0">
      <pane ySplit="1" topLeftCell="A2" activePane="bottomLeft" state="frozen"/>
      <selection sqref="A1:XFD1048576"/>
      <selection pane="bottomLeft" sqref="A1:XFD1048576"/>
    </sheetView>
  </sheetViews>
  <sheetFormatPr defaultColWidth="8.88671875" defaultRowHeight="14.4" x14ac:dyDescent="0.3"/>
  <cols>
    <col min="1" max="1" width="48.6640625" style="44" customWidth="1"/>
    <col min="2" max="2" width="20.33203125" style="44" customWidth="1"/>
    <col min="3" max="16384" width="8.88671875" style="44"/>
  </cols>
  <sheetData>
    <row r="1" spans="1:2" x14ac:dyDescent="0.3">
      <c r="A1" s="74" t="s">
        <v>54</v>
      </c>
    </row>
    <row r="2" spans="1:2" ht="16.5" customHeight="1" x14ac:dyDescent="0.3">
      <c r="A2" s="75"/>
      <c r="B2" s="76"/>
    </row>
    <row r="3" spans="1:2" ht="16.5" customHeight="1" x14ac:dyDescent="0.3">
      <c r="A3" s="77" t="s">
        <v>132</v>
      </c>
      <c r="B3" s="78"/>
    </row>
    <row r="4" spans="1:2" ht="16.5" customHeight="1" x14ac:dyDescent="0.3">
      <c r="A4" s="45" t="s">
        <v>108</v>
      </c>
      <c r="B4" s="79" t="s">
        <v>53</v>
      </c>
    </row>
    <row r="5" spans="1:2" ht="16.5" customHeight="1" x14ac:dyDescent="0.3">
      <c r="A5" s="80" t="s">
        <v>109</v>
      </c>
      <c r="B5" s="81">
        <f>'ZO12'!B4</f>
        <v>17972410.350000001</v>
      </c>
    </row>
    <row r="6" spans="1:2" ht="16.5" customHeight="1" x14ac:dyDescent="0.3">
      <c r="A6" s="80" t="s">
        <v>128</v>
      </c>
      <c r="B6" s="81">
        <f>'ZO12'!B5</f>
        <v>415484.87</v>
      </c>
    </row>
    <row r="7" spans="1:2" ht="16.5" customHeight="1" x14ac:dyDescent="0.3">
      <c r="A7" s="80" t="s">
        <v>129</v>
      </c>
      <c r="B7" s="81">
        <f>'ZO12'!B6</f>
        <v>138055.31</v>
      </c>
    </row>
    <row r="8" spans="1:2" ht="16.5" customHeight="1" x14ac:dyDescent="0.3">
      <c r="A8" s="80" t="s">
        <v>130</v>
      </c>
      <c r="B8" s="81">
        <f>'ZO12'!B7</f>
        <v>118854.72</v>
      </c>
    </row>
    <row r="9" spans="1:2" ht="16.5" customHeight="1" x14ac:dyDescent="0.3">
      <c r="A9" s="80" t="s">
        <v>152</v>
      </c>
      <c r="B9" s="81">
        <f>'ZO12'!B8</f>
        <v>93557.45</v>
      </c>
    </row>
    <row r="10" spans="1:2" ht="16.5" customHeight="1" x14ac:dyDescent="0.3">
      <c r="A10" s="82" t="s">
        <v>51</v>
      </c>
      <c r="B10" s="83">
        <f>SUM(B5:B9)+(B15*'ZO12'!B20)</f>
        <v>18742755.935488999</v>
      </c>
    </row>
    <row r="11" spans="1:2" ht="16.5" customHeight="1" x14ac:dyDescent="0.3">
      <c r="A11" s="80" t="s">
        <v>110</v>
      </c>
      <c r="B11" s="81">
        <f>'ZO12'!B10</f>
        <v>4330979.28</v>
      </c>
    </row>
    <row r="12" spans="1:2" ht="16.5" customHeight="1" x14ac:dyDescent="0.3">
      <c r="A12" s="80" t="s">
        <v>131</v>
      </c>
      <c r="B12" s="81">
        <v>0</v>
      </c>
    </row>
    <row r="13" spans="1:2" ht="16.5" customHeight="1" x14ac:dyDescent="0.3">
      <c r="A13" s="82" t="s">
        <v>49</v>
      </c>
      <c r="B13" s="83">
        <f>SUM(B11:B12)+(B15*'ZO12'!B21)</f>
        <v>4333223.3545110002</v>
      </c>
    </row>
    <row r="14" spans="1:2" ht="16.5" customHeight="1" x14ac:dyDescent="0.3">
      <c r="A14" s="80" t="s">
        <v>153</v>
      </c>
      <c r="B14" s="81">
        <f>'ZO12'!B13</f>
        <v>6637.31</v>
      </c>
    </row>
    <row r="15" spans="1:2" ht="16.5" customHeight="1" x14ac:dyDescent="0.3">
      <c r="A15" s="80" t="s">
        <v>154</v>
      </c>
      <c r="B15" s="83">
        <f>SUM(B14)</f>
        <v>6637.31</v>
      </c>
    </row>
    <row r="16" spans="1:2" ht="16.5" customHeight="1" x14ac:dyDescent="0.3">
      <c r="A16" s="82" t="s">
        <v>48</v>
      </c>
      <c r="B16" s="84">
        <f>B10+B13</f>
        <v>23075979.289999999</v>
      </c>
    </row>
    <row r="17" spans="1:2" ht="16.5" customHeight="1" x14ac:dyDescent="0.3">
      <c r="A17" s="85" t="s">
        <v>47</v>
      </c>
      <c r="B17" s="86">
        <f>B16</f>
        <v>23075979.289999999</v>
      </c>
    </row>
    <row r="18" spans="1:2" ht="16.5" customHeight="1" x14ac:dyDescent="0.3">
      <c r="A18" s="87" t="s">
        <v>133</v>
      </c>
      <c r="B18" s="88"/>
    </row>
    <row r="19" spans="1:2" ht="16.5" customHeight="1" x14ac:dyDescent="0.3">
      <c r="A19" s="82" t="s">
        <v>46</v>
      </c>
      <c r="B19" s="89">
        <f>B10</f>
        <v>18742755.935488999</v>
      </c>
    </row>
    <row r="20" spans="1:2" ht="16.5" customHeight="1" x14ac:dyDescent="0.3">
      <c r="A20" s="90" t="s">
        <v>122</v>
      </c>
      <c r="B20" s="91">
        <f>'BS Acct-Elec'!D24</f>
        <v>1518833.0300000003</v>
      </c>
    </row>
    <row r="21" spans="1:2" ht="16.5" customHeight="1" x14ac:dyDescent="0.3">
      <c r="A21" s="90"/>
      <c r="B21" s="92">
        <f>SUM(B19:B20)</f>
        <v>20261588.965489</v>
      </c>
    </row>
    <row r="22" spans="1:2" ht="16.5" customHeight="1" x14ac:dyDescent="0.3">
      <c r="A22" s="93"/>
      <c r="B22" s="94"/>
    </row>
    <row r="23" spans="1:2" ht="16.5" customHeight="1" x14ac:dyDescent="0.3">
      <c r="A23" s="77" t="s">
        <v>115</v>
      </c>
      <c r="B23" s="78"/>
    </row>
    <row r="24" spans="1:2" ht="16.5" customHeight="1" x14ac:dyDescent="0.3">
      <c r="A24" s="45" t="s">
        <v>108</v>
      </c>
      <c r="B24" s="79" t="s">
        <v>53</v>
      </c>
    </row>
    <row r="25" spans="1:2" ht="16.5" customHeight="1" x14ac:dyDescent="0.3">
      <c r="A25" s="82" t="s">
        <v>135</v>
      </c>
      <c r="B25" s="81">
        <v>0</v>
      </c>
    </row>
    <row r="26" spans="1:2" ht="16.5" customHeight="1" x14ac:dyDescent="0.3">
      <c r="A26" s="82" t="s">
        <v>136</v>
      </c>
      <c r="B26" s="81">
        <v>16024853.77</v>
      </c>
    </row>
    <row r="27" spans="1:2" ht="16.5" customHeight="1" x14ac:dyDescent="0.3">
      <c r="A27" s="82" t="s">
        <v>51</v>
      </c>
      <c r="B27" s="83">
        <f>SUM(B25:B26)</f>
        <v>16024853.77</v>
      </c>
    </row>
    <row r="28" spans="1:2" ht="16.5" customHeight="1" x14ac:dyDescent="0.3">
      <c r="A28" s="82" t="s">
        <v>137</v>
      </c>
      <c r="B28" s="84">
        <v>0</v>
      </c>
    </row>
    <row r="29" spans="1:2" ht="16.5" customHeight="1" x14ac:dyDescent="0.3">
      <c r="A29" s="82" t="s">
        <v>138</v>
      </c>
      <c r="B29" s="81">
        <v>4285876.5599999996</v>
      </c>
    </row>
    <row r="30" spans="1:2" ht="16.5" customHeight="1" x14ac:dyDescent="0.3">
      <c r="A30" s="82" t="s">
        <v>49</v>
      </c>
      <c r="B30" s="95">
        <f>SUM(B28:B29)</f>
        <v>4285876.5599999996</v>
      </c>
    </row>
    <row r="31" spans="1:2" ht="16.5" customHeight="1" x14ac:dyDescent="0.3">
      <c r="A31" s="82" t="s">
        <v>48</v>
      </c>
      <c r="B31" s="84">
        <f>B27+B30</f>
        <v>20310730.329999998</v>
      </c>
    </row>
    <row r="32" spans="1:2" ht="16.5" customHeight="1" x14ac:dyDescent="0.3">
      <c r="A32" s="85" t="s">
        <v>47</v>
      </c>
      <c r="B32" s="86">
        <f>B31</f>
        <v>20310730.329999998</v>
      </c>
    </row>
    <row r="33" spans="1:2" ht="16.5" customHeight="1" x14ac:dyDescent="0.3">
      <c r="A33" s="87" t="s">
        <v>134</v>
      </c>
      <c r="B33" s="89"/>
    </row>
    <row r="34" spans="1:2" ht="16.5" customHeight="1" x14ac:dyDescent="0.3">
      <c r="A34" s="82" t="s">
        <v>46</v>
      </c>
      <c r="B34" s="89">
        <f>B27</f>
        <v>16024853.77</v>
      </c>
    </row>
    <row r="35" spans="1:2" ht="16.5" customHeight="1" x14ac:dyDescent="0.3">
      <c r="A35" s="96" t="s">
        <v>122</v>
      </c>
      <c r="B35" s="91">
        <f>'BS Acct-Elec'!D42</f>
        <v>2701734.8099999996</v>
      </c>
    </row>
    <row r="36" spans="1:2" ht="16.5" customHeight="1" x14ac:dyDescent="0.3">
      <c r="A36" s="90"/>
      <c r="B36" s="92">
        <f>SUM(B34:B35)</f>
        <v>18726588.579999998</v>
      </c>
    </row>
    <row r="37" spans="1:2" ht="16.5" customHeight="1" x14ac:dyDescent="0.3">
      <c r="A37" s="93"/>
      <c r="B37" s="94"/>
    </row>
    <row r="38" spans="1:2" ht="16.5" customHeight="1" x14ac:dyDescent="0.3">
      <c r="A38" s="77" t="s">
        <v>116</v>
      </c>
      <c r="B38" s="78"/>
    </row>
    <row r="39" spans="1:2" ht="16.5" customHeight="1" x14ac:dyDescent="0.3">
      <c r="A39" s="45" t="s">
        <v>108</v>
      </c>
      <c r="B39" s="79" t="s">
        <v>53</v>
      </c>
    </row>
    <row r="40" spans="1:2" ht="16.5" customHeight="1" x14ac:dyDescent="0.3">
      <c r="A40" s="82" t="s">
        <v>52</v>
      </c>
      <c r="B40" s="81">
        <v>17480805.469999999</v>
      </c>
    </row>
    <row r="41" spans="1:2" ht="16.5" customHeight="1" x14ac:dyDescent="0.3">
      <c r="A41" s="82" t="s">
        <v>51</v>
      </c>
      <c r="B41" s="83">
        <f>SUM(B40:B40)</f>
        <v>17480805.469999999</v>
      </c>
    </row>
    <row r="42" spans="1:2" ht="16.5" customHeight="1" x14ac:dyDescent="0.3">
      <c r="A42" s="82" t="s">
        <v>50</v>
      </c>
      <c r="B42" s="81">
        <v>4478843.62</v>
      </c>
    </row>
    <row r="43" spans="1:2" ht="16.5" customHeight="1" x14ac:dyDescent="0.3">
      <c r="A43" s="82" t="s">
        <v>49</v>
      </c>
      <c r="B43" s="95">
        <f>SUM(B42:B42)</f>
        <v>4478843.62</v>
      </c>
    </row>
    <row r="44" spans="1:2" ht="16.5" customHeight="1" x14ac:dyDescent="0.3">
      <c r="A44" s="82" t="s">
        <v>48</v>
      </c>
      <c r="B44" s="84">
        <f>B41+B43</f>
        <v>21959649.09</v>
      </c>
    </row>
    <row r="45" spans="1:2" ht="16.5" customHeight="1" x14ac:dyDescent="0.3">
      <c r="A45" s="85" t="s">
        <v>47</v>
      </c>
      <c r="B45" s="86">
        <f>B44</f>
        <v>21959649.09</v>
      </c>
    </row>
    <row r="46" spans="1:2" ht="16.5" customHeight="1" x14ac:dyDescent="0.3">
      <c r="A46" s="87" t="s">
        <v>119</v>
      </c>
      <c r="B46" s="89"/>
    </row>
    <row r="47" spans="1:2" ht="16.5" customHeight="1" x14ac:dyDescent="0.3">
      <c r="A47" s="82" t="s">
        <v>46</v>
      </c>
      <c r="B47" s="89">
        <f>B41</f>
        <v>17480805.469999999</v>
      </c>
    </row>
    <row r="48" spans="1:2" ht="16.5" customHeight="1" x14ac:dyDescent="0.3">
      <c r="A48" s="96" t="s">
        <v>122</v>
      </c>
      <c r="B48" s="91">
        <f>'BS Acct-Elec'!D60</f>
        <v>-248479.21000000014</v>
      </c>
    </row>
    <row r="49" spans="1:2" ht="16.5" customHeight="1" x14ac:dyDescent="0.3">
      <c r="A49" s="90"/>
      <c r="B49" s="92">
        <f>SUM(B47:B48)</f>
        <v>17232326.259999998</v>
      </c>
    </row>
    <row r="50" spans="1:2" ht="16.5" customHeight="1" x14ac:dyDescent="0.3">
      <c r="A50" s="75"/>
      <c r="B50" s="76"/>
    </row>
    <row r="51" spans="1:2" ht="16.5" customHeight="1" x14ac:dyDescent="0.3">
      <c r="A51" s="75"/>
      <c r="B51" s="76"/>
    </row>
    <row r="52" spans="1:2" ht="16.5" customHeight="1" x14ac:dyDescent="0.3">
      <c r="A52" s="77" t="s">
        <v>117</v>
      </c>
      <c r="B52" s="78"/>
    </row>
    <row r="53" spans="1:2" ht="16.5" customHeight="1" x14ac:dyDescent="0.3">
      <c r="A53" s="45" t="s">
        <v>108</v>
      </c>
      <c r="B53" s="79" t="s">
        <v>53</v>
      </c>
    </row>
    <row r="54" spans="1:2" ht="16.5" customHeight="1" x14ac:dyDescent="0.3">
      <c r="A54" s="82" t="s">
        <v>111</v>
      </c>
      <c r="B54" s="81">
        <v>14034500.779999999</v>
      </c>
    </row>
    <row r="55" spans="1:2" ht="16.5" customHeight="1" x14ac:dyDescent="0.3">
      <c r="A55" s="82" t="s">
        <v>51</v>
      </c>
      <c r="B55" s="83">
        <f>SUM(B54:B54)</f>
        <v>14034500.779999999</v>
      </c>
    </row>
    <row r="56" spans="1:2" ht="16.5" customHeight="1" x14ac:dyDescent="0.3">
      <c r="A56" s="82" t="s">
        <v>112</v>
      </c>
      <c r="B56" s="81">
        <v>4367438.3899999997</v>
      </c>
    </row>
    <row r="57" spans="1:2" x14ac:dyDescent="0.3">
      <c r="A57" s="82" t="s">
        <v>49</v>
      </c>
      <c r="B57" s="95">
        <f>SUM(B56:B56)</f>
        <v>4367438.3899999997</v>
      </c>
    </row>
    <row r="58" spans="1:2" x14ac:dyDescent="0.3">
      <c r="A58" s="82" t="s">
        <v>48</v>
      </c>
      <c r="B58" s="84">
        <f>B55+B57</f>
        <v>18401939.169999998</v>
      </c>
    </row>
    <row r="59" spans="1:2" x14ac:dyDescent="0.3">
      <c r="A59" s="85" t="s">
        <v>47</v>
      </c>
      <c r="B59" s="86">
        <f>B58</f>
        <v>18401939.169999998</v>
      </c>
    </row>
    <row r="60" spans="1:2" x14ac:dyDescent="0.3">
      <c r="A60" s="87" t="s">
        <v>120</v>
      </c>
      <c r="B60" s="89"/>
    </row>
    <row r="61" spans="1:2" x14ac:dyDescent="0.3">
      <c r="A61" s="82" t="s">
        <v>46</v>
      </c>
      <c r="B61" s="89">
        <f>B55</f>
        <v>14034500.779999999</v>
      </c>
    </row>
    <row r="62" spans="1:2" x14ac:dyDescent="0.3">
      <c r="A62" s="96" t="s">
        <v>122</v>
      </c>
      <c r="B62" s="91">
        <f>'BS Acct-Elec'!D78</f>
        <v>-1839963.2000000002</v>
      </c>
    </row>
    <row r="63" spans="1:2" x14ac:dyDescent="0.3">
      <c r="A63" s="90"/>
      <c r="B63" s="92">
        <f>SUM(B61:B62)</f>
        <v>12194537.579999998</v>
      </c>
    </row>
    <row r="64" spans="1:2" x14ac:dyDescent="0.3">
      <c r="A64" s="75"/>
      <c r="B64" s="76"/>
    </row>
    <row r="65" spans="1:2" x14ac:dyDescent="0.3">
      <c r="A65" s="75"/>
      <c r="B65" s="76"/>
    </row>
    <row r="66" spans="1:2" x14ac:dyDescent="0.3">
      <c r="A66" s="77" t="s">
        <v>118</v>
      </c>
      <c r="B66" s="78"/>
    </row>
    <row r="67" spans="1:2" x14ac:dyDescent="0.3">
      <c r="A67" s="45" t="s">
        <v>108</v>
      </c>
      <c r="B67" s="79" t="s">
        <v>53</v>
      </c>
    </row>
    <row r="68" spans="1:2" x14ac:dyDescent="0.3">
      <c r="A68" s="82" t="s">
        <v>111</v>
      </c>
      <c r="B68" s="81">
        <v>20289820.600000001</v>
      </c>
    </row>
    <row r="69" spans="1:2" x14ac:dyDescent="0.3">
      <c r="A69" s="82" t="s">
        <v>51</v>
      </c>
      <c r="B69" s="83">
        <f>SUM(B68:B68)</f>
        <v>20289820.600000001</v>
      </c>
    </row>
    <row r="70" spans="1:2" x14ac:dyDescent="0.3">
      <c r="A70" s="82" t="s">
        <v>112</v>
      </c>
      <c r="B70" s="81">
        <v>6426737.5099999998</v>
      </c>
    </row>
    <row r="71" spans="1:2" x14ac:dyDescent="0.3">
      <c r="A71" s="82" t="s">
        <v>49</v>
      </c>
      <c r="B71" s="95">
        <f>SUM(B70:B70)</f>
        <v>6426737.5099999998</v>
      </c>
    </row>
    <row r="72" spans="1:2" x14ac:dyDescent="0.3">
      <c r="A72" s="82" t="s">
        <v>48</v>
      </c>
      <c r="B72" s="84">
        <f>B69+B71</f>
        <v>26716558.109999999</v>
      </c>
    </row>
    <row r="73" spans="1:2" x14ac:dyDescent="0.3">
      <c r="A73" s="85" t="s">
        <v>47</v>
      </c>
      <c r="B73" s="86">
        <f>B72</f>
        <v>26716558.109999999</v>
      </c>
    </row>
    <row r="74" spans="1:2" x14ac:dyDescent="0.3">
      <c r="A74" s="87" t="s">
        <v>121</v>
      </c>
      <c r="B74" s="89"/>
    </row>
    <row r="75" spans="1:2" x14ac:dyDescent="0.3">
      <c r="A75" s="82" t="s">
        <v>46</v>
      </c>
      <c r="B75" s="89">
        <f>B69</f>
        <v>20289820.600000001</v>
      </c>
    </row>
    <row r="76" spans="1:2" x14ac:dyDescent="0.3">
      <c r="A76" s="96" t="s">
        <v>122</v>
      </c>
      <c r="B76" s="91">
        <f>'BS Acct-Elec'!D96</f>
        <v>-376791.03000000026</v>
      </c>
    </row>
    <row r="77" spans="1:2" x14ac:dyDescent="0.3">
      <c r="A77" s="90"/>
      <c r="B77" s="92">
        <f>SUM(B75:B76)</f>
        <v>19913029.57</v>
      </c>
    </row>
    <row r="78" spans="1:2" x14ac:dyDescent="0.3">
      <c r="A78" s="75"/>
      <c r="B78" s="76"/>
    </row>
    <row r="79" spans="1:2" x14ac:dyDescent="0.3">
      <c r="B79" s="64"/>
    </row>
    <row r="80" spans="1:2" x14ac:dyDescent="0.3">
      <c r="A80" s="44" t="s">
        <v>94</v>
      </c>
      <c r="B80" s="64"/>
    </row>
    <row r="81" spans="1:2" x14ac:dyDescent="0.3">
      <c r="A81" s="44" t="s">
        <v>95</v>
      </c>
      <c r="B81" s="97"/>
    </row>
    <row r="82" spans="1:2" x14ac:dyDescent="0.3">
      <c r="A82" s="44" t="s">
        <v>96</v>
      </c>
      <c r="B82" s="97"/>
    </row>
    <row r="83" spans="1:2" x14ac:dyDescent="0.3">
      <c r="A83" s="44" t="s">
        <v>97</v>
      </c>
      <c r="B83" s="97"/>
    </row>
    <row r="84" spans="1:2" x14ac:dyDescent="0.3">
      <c r="A84" s="44" t="s">
        <v>98</v>
      </c>
      <c r="B84" s="97"/>
    </row>
    <row r="85" spans="1:2" x14ac:dyDescent="0.3">
      <c r="A85" s="44" t="s">
        <v>99</v>
      </c>
      <c r="B85" s="97"/>
    </row>
    <row r="86" spans="1:2" x14ac:dyDescent="0.3">
      <c r="A86" s="44" t="s">
        <v>106</v>
      </c>
      <c r="B86" s="97"/>
    </row>
    <row r="87" spans="1:2" x14ac:dyDescent="0.3">
      <c r="A87" s="44" t="s">
        <v>100</v>
      </c>
      <c r="B87" s="97"/>
    </row>
    <row r="88" spans="1:2" x14ac:dyDescent="0.3">
      <c r="A88" s="44" t="s">
        <v>105</v>
      </c>
      <c r="B88" s="97"/>
    </row>
    <row r="89" spans="1:2" x14ac:dyDescent="0.3">
      <c r="A89" s="44" t="s">
        <v>107</v>
      </c>
      <c r="B89" s="97"/>
    </row>
    <row r="90" spans="1:2" x14ac:dyDescent="0.3">
      <c r="A90" s="44" t="s">
        <v>101</v>
      </c>
      <c r="B90" s="97"/>
    </row>
    <row r="91" spans="1:2" x14ac:dyDescent="0.3">
      <c r="A91" s="44" t="s">
        <v>102</v>
      </c>
      <c r="B91" s="97"/>
    </row>
    <row r="92" spans="1:2" x14ac:dyDescent="0.3">
      <c r="A92" s="44" t="s">
        <v>103</v>
      </c>
      <c r="B92" s="97"/>
    </row>
    <row r="93" spans="1:2" x14ac:dyDescent="0.3">
      <c r="A93" s="44" t="s">
        <v>104</v>
      </c>
      <c r="B93" s="97"/>
    </row>
    <row r="94" spans="1:2" x14ac:dyDescent="0.3">
      <c r="B94" s="97"/>
    </row>
    <row r="95" spans="1:2" x14ac:dyDescent="0.3">
      <c r="B95" s="97"/>
    </row>
    <row r="96" spans="1:2" x14ac:dyDescent="0.3">
      <c r="B96" s="97"/>
    </row>
    <row r="97" spans="2:2" x14ac:dyDescent="0.3">
      <c r="B97" s="97"/>
    </row>
    <row r="98" spans="2:2" x14ac:dyDescent="0.3">
      <c r="B98" s="97"/>
    </row>
    <row r="99" spans="2:2" x14ac:dyDescent="0.3">
      <c r="B99" s="97"/>
    </row>
    <row r="100" spans="2:2" x14ac:dyDescent="0.3">
      <c r="B100" s="97"/>
    </row>
    <row r="101" spans="2:2" x14ac:dyDescent="0.3">
      <c r="B101" s="97"/>
    </row>
    <row r="102" spans="2:2" x14ac:dyDescent="0.3">
      <c r="B102" s="97"/>
    </row>
    <row r="103" spans="2:2" x14ac:dyDescent="0.3">
      <c r="B103" s="97"/>
    </row>
    <row r="104" spans="2:2" x14ac:dyDescent="0.3">
      <c r="B104" s="97"/>
    </row>
    <row r="105" spans="2:2" x14ac:dyDescent="0.3">
      <c r="B105" s="97"/>
    </row>
    <row r="106" spans="2:2" x14ac:dyDescent="0.3">
      <c r="B106" s="97"/>
    </row>
    <row r="107" spans="2:2" x14ac:dyDescent="0.3">
      <c r="B107" s="97"/>
    </row>
    <row r="108" spans="2:2" x14ac:dyDescent="0.3">
      <c r="B108" s="97"/>
    </row>
    <row r="109" spans="2:2" x14ac:dyDescent="0.3">
      <c r="B109" s="97"/>
    </row>
    <row r="110" spans="2:2" x14ac:dyDescent="0.3">
      <c r="B110" s="97"/>
    </row>
    <row r="111" spans="2:2" x14ac:dyDescent="0.3">
      <c r="B111" s="97"/>
    </row>
    <row r="112" spans="2:2" x14ac:dyDescent="0.3">
      <c r="B112" s="97"/>
    </row>
    <row r="113" spans="2:2" x14ac:dyDescent="0.3">
      <c r="B113" s="97"/>
    </row>
    <row r="114" spans="2:2" x14ac:dyDescent="0.3">
      <c r="B114" s="97"/>
    </row>
    <row r="115" spans="2:2" x14ac:dyDescent="0.3">
      <c r="B115" s="97"/>
    </row>
    <row r="116" spans="2:2" x14ac:dyDescent="0.3">
      <c r="B116" s="97"/>
    </row>
    <row r="117" spans="2:2" x14ac:dyDescent="0.3">
      <c r="B117" s="97"/>
    </row>
    <row r="118" spans="2:2" x14ac:dyDescent="0.3">
      <c r="B118" s="97"/>
    </row>
    <row r="119" spans="2:2" x14ac:dyDescent="0.3">
      <c r="B119" s="97"/>
    </row>
    <row r="120" spans="2:2" x14ac:dyDescent="0.3">
      <c r="B120" s="97"/>
    </row>
    <row r="121" spans="2:2" x14ac:dyDescent="0.3">
      <c r="B121" s="97"/>
    </row>
    <row r="122" spans="2:2" x14ac:dyDescent="0.3">
      <c r="B122" s="97"/>
    </row>
    <row r="123" spans="2:2" x14ac:dyDescent="0.3">
      <c r="B123" s="97"/>
    </row>
    <row r="124" spans="2:2" x14ac:dyDescent="0.3">
      <c r="B124" s="97"/>
    </row>
    <row r="125" spans="2:2" x14ac:dyDescent="0.3">
      <c r="B125" s="97"/>
    </row>
    <row r="126" spans="2:2" x14ac:dyDescent="0.3">
      <c r="B126" s="97"/>
    </row>
    <row r="127" spans="2:2" x14ac:dyDescent="0.3">
      <c r="B127" s="97"/>
    </row>
  </sheetData>
  <pageMargins left="0.7" right="0.7" top="0.75" bottom="0.75" header="0.3" footer="0.3"/>
  <pageSetup scale="1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="90" zoomScaleNormal="90" workbookViewId="0">
      <pane ySplit="7" topLeftCell="A89" activePane="bottomLeft" state="frozen"/>
      <selection sqref="A1:XFD1048576"/>
      <selection pane="bottomLeft" sqref="A1:XFD1048576"/>
    </sheetView>
  </sheetViews>
  <sheetFormatPr defaultColWidth="9.109375" defaultRowHeight="14.4" x14ac:dyDescent="0.3"/>
  <cols>
    <col min="1" max="1" width="11.6640625" style="44" customWidth="1"/>
    <col min="2" max="2" width="15.6640625" style="44" customWidth="1"/>
    <col min="3" max="3" width="15.44140625" style="44" customWidth="1"/>
    <col min="4" max="4" width="14.6640625" style="44" customWidth="1"/>
    <col min="5" max="5" width="14" style="44" bestFit="1" customWidth="1"/>
    <col min="6" max="6" width="12.44140625" style="44" bestFit="1" customWidth="1"/>
    <col min="7" max="8" width="13.88671875" style="44" bestFit="1" customWidth="1"/>
    <col min="9" max="10" width="12.44140625" style="44" bestFit="1" customWidth="1"/>
    <col min="11" max="16384" width="9.109375" style="44"/>
  </cols>
  <sheetData>
    <row r="1" spans="1:5" x14ac:dyDescent="0.3">
      <c r="A1" s="44" t="s">
        <v>93</v>
      </c>
    </row>
    <row r="2" spans="1:5" x14ac:dyDescent="0.3">
      <c r="A2" s="44" t="s">
        <v>92</v>
      </c>
    </row>
    <row r="3" spans="1:5" x14ac:dyDescent="0.3">
      <c r="A3" s="66"/>
    </row>
    <row r="4" spans="1:5" x14ac:dyDescent="0.3">
      <c r="A4" s="9"/>
      <c r="B4" s="8"/>
      <c r="C4" s="8"/>
      <c r="D4" s="8"/>
      <c r="E4" s="7" t="s">
        <v>91</v>
      </c>
    </row>
    <row r="5" spans="1:5" x14ac:dyDescent="0.3">
      <c r="A5" s="7" t="s">
        <v>90</v>
      </c>
      <c r="B5" s="7" t="s">
        <v>89</v>
      </c>
      <c r="C5" s="7" t="s">
        <v>88</v>
      </c>
      <c r="D5" s="7" t="s">
        <v>87</v>
      </c>
      <c r="E5" s="7" t="s">
        <v>86</v>
      </c>
    </row>
    <row r="6" spans="1:5" x14ac:dyDescent="0.3">
      <c r="A6" s="7"/>
      <c r="B6" s="7"/>
      <c r="C6" s="7"/>
      <c r="D6" s="7"/>
      <c r="E6" s="7"/>
    </row>
    <row r="7" spans="1:5" x14ac:dyDescent="0.3">
      <c r="A7" s="6" t="s">
        <v>85</v>
      </c>
      <c r="B7" s="5" t="s">
        <v>84</v>
      </c>
      <c r="C7" s="5" t="s">
        <v>83</v>
      </c>
      <c r="D7" s="5" t="s">
        <v>82</v>
      </c>
      <c r="E7" s="5" t="s">
        <v>81</v>
      </c>
    </row>
    <row r="8" spans="1:5" x14ac:dyDescent="0.3">
      <c r="A8" s="12"/>
      <c r="B8" s="11"/>
      <c r="C8" s="11"/>
      <c r="D8" s="11"/>
      <c r="E8" s="11"/>
    </row>
    <row r="9" spans="1:5" x14ac:dyDescent="0.3">
      <c r="A9" s="12"/>
      <c r="B9" s="11"/>
      <c r="C9" s="11"/>
      <c r="D9" s="11"/>
      <c r="E9" s="11"/>
    </row>
    <row r="10" spans="1:5" x14ac:dyDescent="0.3">
      <c r="A10" s="67" t="s">
        <v>80</v>
      </c>
      <c r="B10" s="68"/>
      <c r="C10" s="68"/>
      <c r="D10" s="68"/>
      <c r="E10" s="68">
        <v>-3383386.71</v>
      </c>
    </row>
    <row r="11" spans="1:5" x14ac:dyDescent="0.3">
      <c r="A11" s="12">
        <v>43131</v>
      </c>
      <c r="B11" s="68">
        <v>4792534.5599999996</v>
      </c>
      <c r="C11" s="68">
        <v>5110112.26</v>
      </c>
      <c r="D11" s="68">
        <v>-317577.7</v>
      </c>
      <c r="E11" s="68">
        <v>-3700964.41</v>
      </c>
    </row>
    <row r="12" spans="1:5" x14ac:dyDescent="0.3">
      <c r="A12" s="12">
        <f>A11+28</f>
        <v>43159</v>
      </c>
      <c r="B12" s="68">
        <v>2642006.79</v>
      </c>
      <c r="C12" s="68">
        <v>2790357.48</v>
      </c>
      <c r="D12" s="68">
        <v>-148350.69</v>
      </c>
      <c r="E12" s="68">
        <v>-3849315.1</v>
      </c>
    </row>
    <row r="13" spans="1:5" x14ac:dyDescent="0.3">
      <c r="A13" s="12">
        <f>A12+31</f>
        <v>43190</v>
      </c>
      <c r="B13" s="68">
        <v>1901913.99</v>
      </c>
      <c r="C13" s="68">
        <v>2216543.8199999998</v>
      </c>
      <c r="D13" s="68">
        <v>-314629.83</v>
      </c>
      <c r="E13" s="68">
        <v>-4163944.93</v>
      </c>
    </row>
    <row r="14" spans="1:5" x14ac:dyDescent="0.3">
      <c r="A14" s="12">
        <f>A13+30</f>
        <v>43220</v>
      </c>
      <c r="B14" s="68">
        <v>1531937.7</v>
      </c>
      <c r="C14" s="68">
        <v>1880551.19</v>
      </c>
      <c r="D14" s="68">
        <v>-348613.49</v>
      </c>
      <c r="E14" s="68">
        <v>-4512558.42</v>
      </c>
    </row>
    <row r="15" spans="1:5" x14ac:dyDescent="0.3">
      <c r="A15" s="12">
        <f>A14+31</f>
        <v>43251</v>
      </c>
      <c r="B15" s="68">
        <v>1572436.17</v>
      </c>
      <c r="C15" s="68">
        <v>1792200.9</v>
      </c>
      <c r="D15" s="68">
        <v>-219764.73</v>
      </c>
      <c r="E15" s="68">
        <v>-4732323.1500000004</v>
      </c>
    </row>
    <row r="16" spans="1:5" x14ac:dyDescent="0.3">
      <c r="A16" s="12">
        <f>A15+30</f>
        <v>43281</v>
      </c>
      <c r="B16" s="68">
        <v>1953976.63</v>
      </c>
      <c r="C16" s="68">
        <v>1745062.65</v>
      </c>
      <c r="D16" s="68">
        <v>208913.98</v>
      </c>
      <c r="E16" s="68">
        <v>-4523409.17</v>
      </c>
    </row>
    <row r="17" spans="1:6" x14ac:dyDescent="0.3">
      <c r="A17" s="12">
        <f t="shared" ref="A17:A22" si="0">A16+31</f>
        <v>43312</v>
      </c>
      <c r="B17" s="68">
        <v>2403790.17</v>
      </c>
      <c r="C17" s="68">
        <v>1789150.51</v>
      </c>
      <c r="D17" s="68">
        <v>614639.66</v>
      </c>
      <c r="E17" s="68">
        <v>-3908769.51</v>
      </c>
    </row>
    <row r="18" spans="1:6" x14ac:dyDescent="0.3">
      <c r="A18" s="12">
        <f t="shared" si="0"/>
        <v>43343</v>
      </c>
      <c r="B18" s="68">
        <v>2279343.91</v>
      </c>
      <c r="C18" s="68">
        <v>1766140.8</v>
      </c>
      <c r="D18" s="68">
        <v>513203.11</v>
      </c>
      <c r="E18" s="68">
        <v>-3395566.4</v>
      </c>
    </row>
    <row r="19" spans="1:6" x14ac:dyDescent="0.3">
      <c r="A19" s="12">
        <f>A18+30</f>
        <v>43373</v>
      </c>
      <c r="B19" s="68">
        <v>4143260.07</v>
      </c>
      <c r="C19" s="68">
        <v>2788819.22</v>
      </c>
      <c r="D19" s="68">
        <v>1354440.85</v>
      </c>
      <c r="E19" s="68">
        <v>-2041125.55</v>
      </c>
    </row>
    <row r="20" spans="1:6" x14ac:dyDescent="0.3">
      <c r="A20" s="12">
        <f t="shared" si="0"/>
        <v>43404</v>
      </c>
      <c r="B20" s="68">
        <v>1271945.8700000001</v>
      </c>
      <c r="C20" s="68">
        <v>1509765.61</v>
      </c>
      <c r="D20" s="68">
        <v>-237819.74</v>
      </c>
      <c r="E20" s="68">
        <v>-2278945.29</v>
      </c>
    </row>
    <row r="21" spans="1:6" x14ac:dyDescent="0.3">
      <c r="A21" s="12">
        <f>A20+30</f>
        <v>43434</v>
      </c>
      <c r="B21" s="68">
        <v>1458354.82</v>
      </c>
      <c r="C21" s="68">
        <v>1340742.3400000001</v>
      </c>
      <c r="D21" s="68">
        <v>117612.48</v>
      </c>
      <c r="E21" s="68">
        <v>-2161332.81</v>
      </c>
    </row>
    <row r="22" spans="1:6" x14ac:dyDescent="0.3">
      <c r="A22" s="12">
        <f t="shared" si="0"/>
        <v>43465</v>
      </c>
      <c r="B22" s="68">
        <v>1718610</v>
      </c>
      <c r="C22" s="68">
        <v>1421830.87</v>
      </c>
      <c r="D22" s="68">
        <v>296779.13</v>
      </c>
      <c r="E22" s="68">
        <v>-1864553.68</v>
      </c>
    </row>
    <row r="23" spans="1:6" x14ac:dyDescent="0.3">
      <c r="A23" s="10"/>
      <c r="B23" s="11"/>
      <c r="C23" s="11"/>
      <c r="D23" s="11"/>
      <c r="E23" s="11"/>
    </row>
    <row r="24" spans="1:6" x14ac:dyDescent="0.3">
      <c r="B24" s="3"/>
      <c r="C24" s="2" t="s">
        <v>79</v>
      </c>
      <c r="D24" s="1">
        <f>SUM(D11:D23)</f>
        <v>1518833.0300000003</v>
      </c>
    </row>
    <row r="26" spans="1:6" x14ac:dyDescent="0.3">
      <c r="B26" s="69" t="s">
        <v>78</v>
      </c>
      <c r="C26" s="70"/>
      <c r="D26" s="71"/>
      <c r="E26" s="1">
        <f>E22-E10</f>
        <v>1518833.03</v>
      </c>
    </row>
    <row r="27" spans="1:6" x14ac:dyDescent="0.3">
      <c r="A27" s="10"/>
      <c r="B27" s="11"/>
      <c r="C27" s="11"/>
      <c r="D27" s="11"/>
      <c r="E27" s="11"/>
    </row>
    <row r="28" spans="1:6" x14ac:dyDescent="0.3">
      <c r="A28" s="67" t="s">
        <v>80</v>
      </c>
      <c r="B28" s="68"/>
      <c r="C28" s="68"/>
      <c r="D28" s="68"/>
      <c r="E28" s="68">
        <v>-6085121.5199999996</v>
      </c>
      <c r="F28" s="4"/>
    </row>
    <row r="29" spans="1:6" x14ac:dyDescent="0.3">
      <c r="A29" s="12">
        <v>42766</v>
      </c>
      <c r="B29" s="68">
        <v>2966196.2</v>
      </c>
      <c r="C29" s="68">
        <v>2883680.37</v>
      </c>
      <c r="D29" s="68">
        <v>82515.83</v>
      </c>
      <c r="E29" s="68">
        <v>-6002605.6900000004</v>
      </c>
      <c r="F29" s="7"/>
    </row>
    <row r="30" spans="1:6" x14ac:dyDescent="0.3">
      <c r="A30" s="12">
        <f>A29+28</f>
        <v>42794</v>
      </c>
      <c r="B30" s="68">
        <v>2618386.0099999998</v>
      </c>
      <c r="C30" s="68">
        <v>3071687.85</v>
      </c>
      <c r="D30" s="68">
        <v>-453301.84</v>
      </c>
      <c r="E30" s="68">
        <v>-6455907.5300000003</v>
      </c>
      <c r="F30" s="7"/>
    </row>
    <row r="31" spans="1:6" x14ac:dyDescent="0.3">
      <c r="A31" s="12">
        <f>A30+31</f>
        <v>42825</v>
      </c>
      <c r="B31" s="68">
        <v>3002033.19</v>
      </c>
      <c r="C31" s="68">
        <v>3080588.24</v>
      </c>
      <c r="D31" s="68">
        <v>-78555.05</v>
      </c>
      <c r="E31" s="68">
        <v>-6534462.5800000001</v>
      </c>
      <c r="F31" s="7"/>
    </row>
    <row r="32" spans="1:6" x14ac:dyDescent="0.3">
      <c r="A32" s="12">
        <f>A31+30</f>
        <v>42855</v>
      </c>
      <c r="B32" s="68">
        <v>1844355.62</v>
      </c>
      <c r="C32" s="68">
        <v>2365390.69</v>
      </c>
      <c r="D32" s="68">
        <v>-521035.07</v>
      </c>
      <c r="E32" s="68">
        <v>-7055497.6500000004</v>
      </c>
      <c r="F32" s="7"/>
    </row>
    <row r="33" spans="1:6" x14ac:dyDescent="0.3">
      <c r="A33" s="12">
        <f>A32+31</f>
        <v>42886</v>
      </c>
      <c r="B33" s="68">
        <v>1639803.8</v>
      </c>
      <c r="C33" s="68">
        <v>832685.15</v>
      </c>
      <c r="D33" s="68">
        <v>807118.65</v>
      </c>
      <c r="E33" s="68">
        <v>-6248379</v>
      </c>
      <c r="F33" s="7"/>
    </row>
    <row r="34" spans="1:6" x14ac:dyDescent="0.3">
      <c r="A34" s="12">
        <f>A33+30</f>
        <v>42916</v>
      </c>
      <c r="B34" s="68">
        <v>2354239.85</v>
      </c>
      <c r="C34" s="68">
        <v>2104584.06</v>
      </c>
      <c r="D34" s="68">
        <v>249655.79</v>
      </c>
      <c r="E34" s="68">
        <v>-5998723.21</v>
      </c>
      <c r="F34" s="7"/>
    </row>
    <row r="35" spans="1:6" x14ac:dyDescent="0.3">
      <c r="A35" s="12">
        <f t="shared" ref="A35:A40" si="1">A34+31</f>
        <v>42947</v>
      </c>
      <c r="B35" s="68">
        <v>2439245.4900000002</v>
      </c>
      <c r="C35" s="68">
        <v>1472362.31</v>
      </c>
      <c r="D35" s="68">
        <v>966883.18</v>
      </c>
      <c r="E35" s="68">
        <v>-5031840.03</v>
      </c>
      <c r="F35" s="7"/>
    </row>
    <row r="36" spans="1:6" x14ac:dyDescent="0.3">
      <c r="A36" s="12">
        <f t="shared" si="1"/>
        <v>42978</v>
      </c>
      <c r="B36" s="68">
        <v>2830944.58</v>
      </c>
      <c r="C36" s="68">
        <v>2196275.52</v>
      </c>
      <c r="D36" s="68">
        <v>634669.06000000006</v>
      </c>
      <c r="E36" s="68">
        <v>-4397170.97</v>
      </c>
      <c r="F36" s="7"/>
    </row>
    <row r="37" spans="1:6" x14ac:dyDescent="0.3">
      <c r="A37" s="12">
        <f>A36+30</f>
        <v>43008</v>
      </c>
      <c r="B37" s="68">
        <v>2397428.7999999998</v>
      </c>
      <c r="C37" s="68">
        <v>1394556.35</v>
      </c>
      <c r="D37" s="68">
        <v>1002872.45</v>
      </c>
      <c r="E37" s="68">
        <v>-3394298.52</v>
      </c>
      <c r="F37" s="7"/>
    </row>
    <row r="38" spans="1:6" x14ac:dyDescent="0.3">
      <c r="A38" s="12">
        <f t="shared" si="1"/>
        <v>43039</v>
      </c>
      <c r="B38" s="68">
        <v>2372278.9300000002</v>
      </c>
      <c r="C38" s="68">
        <v>1305027.92</v>
      </c>
      <c r="D38" s="68">
        <v>1067251.01</v>
      </c>
      <c r="E38" s="68">
        <v>-2327047.5099999998</v>
      </c>
      <c r="F38" s="7"/>
    </row>
    <row r="39" spans="1:6" x14ac:dyDescent="0.3">
      <c r="A39" s="12">
        <f>A38+30</f>
        <v>43069</v>
      </c>
      <c r="B39" s="68">
        <v>2178334.37</v>
      </c>
      <c r="C39" s="68">
        <v>1598324.77</v>
      </c>
      <c r="D39" s="68">
        <v>580009.6</v>
      </c>
      <c r="E39" s="68">
        <v>-1747037.91</v>
      </c>
      <c r="F39" s="7"/>
    </row>
    <row r="40" spans="1:6" x14ac:dyDescent="0.3">
      <c r="A40" s="12">
        <f t="shared" si="1"/>
        <v>43100</v>
      </c>
      <c r="B40" s="68">
        <v>1896189.73</v>
      </c>
      <c r="C40" s="68">
        <v>3532538.53</v>
      </c>
      <c r="D40" s="68">
        <v>-1636348.8</v>
      </c>
      <c r="E40" s="68">
        <v>-3383386.71</v>
      </c>
      <c r="F40" s="7"/>
    </row>
    <row r="41" spans="1:6" x14ac:dyDescent="0.3">
      <c r="B41" s="4"/>
      <c r="C41" s="4"/>
      <c r="D41" s="4"/>
      <c r="E41" s="4"/>
      <c r="F41" s="7"/>
    </row>
    <row r="42" spans="1:6" x14ac:dyDescent="0.3">
      <c r="B42" s="3"/>
      <c r="C42" s="2" t="s">
        <v>79</v>
      </c>
      <c r="D42" s="1">
        <f>SUM(D29:D41)</f>
        <v>2701734.8099999996</v>
      </c>
      <c r="F42" s="7"/>
    </row>
    <row r="43" spans="1:6" x14ac:dyDescent="0.3">
      <c r="F43" s="7"/>
    </row>
    <row r="44" spans="1:6" x14ac:dyDescent="0.3">
      <c r="B44" s="69" t="s">
        <v>78</v>
      </c>
      <c r="C44" s="70"/>
      <c r="D44" s="71"/>
      <c r="E44" s="1">
        <f>E40-E28</f>
        <v>2701734.8099999996</v>
      </c>
      <c r="F44" s="7"/>
    </row>
    <row r="45" spans="1:6" x14ac:dyDescent="0.3">
      <c r="A45" s="10"/>
      <c r="B45" s="11"/>
      <c r="C45" s="11"/>
      <c r="D45" s="11"/>
      <c r="E45" s="11"/>
    </row>
    <row r="46" spans="1:6" x14ac:dyDescent="0.3">
      <c r="A46" s="67" t="s">
        <v>80</v>
      </c>
      <c r="B46" s="68"/>
      <c r="C46" s="68"/>
      <c r="D46" s="68"/>
      <c r="E46" s="68">
        <v>-5836642.3099999996</v>
      </c>
      <c r="F46" s="4"/>
    </row>
    <row r="47" spans="1:6" x14ac:dyDescent="0.3">
      <c r="A47" s="12">
        <v>42400</v>
      </c>
      <c r="B47" s="68">
        <v>2553013.6800000002</v>
      </c>
      <c r="C47" s="68">
        <v>3251351.23</v>
      </c>
      <c r="D47" s="68">
        <v>-698337.55</v>
      </c>
      <c r="E47" s="68">
        <v>-6534979.8600000003</v>
      </c>
      <c r="F47" s="4"/>
    </row>
    <row r="48" spans="1:6" x14ac:dyDescent="0.3">
      <c r="A48" s="12">
        <f>A47+28</f>
        <v>42428</v>
      </c>
      <c r="B48" s="68">
        <v>3128105.57</v>
      </c>
      <c r="C48" s="68">
        <v>2261728.86</v>
      </c>
      <c r="D48" s="68">
        <v>866376.71</v>
      </c>
      <c r="E48" s="68">
        <v>-5668603.1500000004</v>
      </c>
      <c r="F48" s="4"/>
    </row>
    <row r="49" spans="1:6" x14ac:dyDescent="0.3">
      <c r="A49" s="12">
        <f>A48+32</f>
        <v>42460</v>
      </c>
      <c r="B49" s="68">
        <v>2778173.33</v>
      </c>
      <c r="C49" s="68">
        <v>1757147.39</v>
      </c>
      <c r="D49" s="68">
        <v>1021025.94</v>
      </c>
      <c r="E49" s="68">
        <v>-4647577.21</v>
      </c>
      <c r="F49" s="4"/>
    </row>
    <row r="50" spans="1:6" x14ac:dyDescent="0.3">
      <c r="A50" s="12">
        <f>A49+30</f>
        <v>42490</v>
      </c>
      <c r="B50" s="68">
        <v>1123328.6100000001</v>
      </c>
      <c r="C50" s="68">
        <v>1614401.79</v>
      </c>
      <c r="D50" s="68">
        <v>-491073.18</v>
      </c>
      <c r="E50" s="68">
        <v>-5138650.3899999997</v>
      </c>
      <c r="F50" s="4"/>
    </row>
    <row r="51" spans="1:6" x14ac:dyDescent="0.3">
      <c r="A51" s="12">
        <f>A50+31</f>
        <v>42521</v>
      </c>
      <c r="B51" s="68">
        <v>1047154.8</v>
      </c>
      <c r="C51" s="68">
        <v>1595643.65</v>
      </c>
      <c r="D51" s="68">
        <v>-548488.85</v>
      </c>
      <c r="E51" s="68">
        <v>-5687139.2400000002</v>
      </c>
      <c r="F51" s="4"/>
    </row>
    <row r="52" spans="1:6" x14ac:dyDescent="0.3">
      <c r="A52" s="12">
        <f>A51+30</f>
        <v>42551</v>
      </c>
      <c r="B52" s="68">
        <v>2138126.59</v>
      </c>
      <c r="C52" s="68">
        <v>1915327.01</v>
      </c>
      <c r="D52" s="68">
        <v>222799.58</v>
      </c>
      <c r="E52" s="68">
        <v>-5464339.6600000001</v>
      </c>
      <c r="F52" s="4"/>
    </row>
    <row r="53" spans="1:6" x14ac:dyDescent="0.3">
      <c r="A53" s="12">
        <f t="shared" ref="A53:A58" si="2">A52+31</f>
        <v>42582</v>
      </c>
      <c r="B53" s="68">
        <v>1838131.61</v>
      </c>
      <c r="C53" s="68">
        <v>1770509.27</v>
      </c>
      <c r="D53" s="68">
        <v>67622.34</v>
      </c>
      <c r="E53" s="68">
        <v>-5396717.3200000003</v>
      </c>
      <c r="F53" s="4"/>
    </row>
    <row r="54" spans="1:6" x14ac:dyDescent="0.3">
      <c r="A54" s="12">
        <f t="shared" si="2"/>
        <v>42613</v>
      </c>
      <c r="B54" s="68">
        <v>1985517.62</v>
      </c>
      <c r="C54" s="68">
        <v>1913714.68</v>
      </c>
      <c r="D54" s="68">
        <v>71802.94</v>
      </c>
      <c r="E54" s="68">
        <v>-5324914.38</v>
      </c>
      <c r="F54" s="4"/>
    </row>
    <row r="55" spans="1:6" x14ac:dyDescent="0.3">
      <c r="A55" s="12">
        <f>A54+30</f>
        <v>42643</v>
      </c>
      <c r="B55" s="68">
        <v>2309376.89</v>
      </c>
      <c r="C55" s="68">
        <v>2667019.33</v>
      </c>
      <c r="D55" s="68">
        <v>-357642.44</v>
      </c>
      <c r="E55" s="68">
        <v>-5682556.8200000003</v>
      </c>
      <c r="F55" s="4"/>
    </row>
    <row r="56" spans="1:6" x14ac:dyDescent="0.3">
      <c r="A56" s="12">
        <f t="shared" si="2"/>
        <v>42674</v>
      </c>
      <c r="B56" s="68">
        <v>1486065.41</v>
      </c>
      <c r="C56" s="68">
        <v>1315317.56</v>
      </c>
      <c r="D56" s="68">
        <v>170747.85</v>
      </c>
      <c r="E56" s="68">
        <v>-5511808.9699999997</v>
      </c>
      <c r="F56" s="4"/>
    </row>
    <row r="57" spans="1:6" x14ac:dyDescent="0.3">
      <c r="A57" s="12">
        <f>A56+30</f>
        <v>42704</v>
      </c>
      <c r="B57" s="68">
        <v>1651751.19</v>
      </c>
      <c r="C57" s="68">
        <v>1612160</v>
      </c>
      <c r="D57" s="68">
        <v>39591.19</v>
      </c>
      <c r="E57" s="68">
        <v>-5472217.7800000003</v>
      </c>
      <c r="F57" s="4"/>
    </row>
    <row r="58" spans="1:6" x14ac:dyDescent="0.3">
      <c r="A58" s="12">
        <f t="shared" si="2"/>
        <v>42735</v>
      </c>
      <c r="B58" s="68">
        <v>1790819.83</v>
      </c>
      <c r="C58" s="68">
        <v>2403723.5699999998</v>
      </c>
      <c r="D58" s="68">
        <v>-612903.74</v>
      </c>
      <c r="E58" s="68">
        <v>-6085121.5199999996</v>
      </c>
      <c r="F58" s="4"/>
    </row>
    <row r="59" spans="1:6" x14ac:dyDescent="0.3">
      <c r="B59" s="4"/>
      <c r="C59" s="4"/>
      <c r="D59" s="4"/>
      <c r="E59" s="4"/>
      <c r="F59" s="7"/>
    </row>
    <row r="60" spans="1:6" x14ac:dyDescent="0.3">
      <c r="B60" s="3"/>
      <c r="C60" s="2" t="s">
        <v>79</v>
      </c>
      <c r="D60" s="1">
        <f>SUM(D47:D59)</f>
        <v>-248479.21000000014</v>
      </c>
      <c r="F60" s="7"/>
    </row>
    <row r="61" spans="1:6" x14ac:dyDescent="0.3">
      <c r="F61" s="7"/>
    </row>
    <row r="62" spans="1:6" x14ac:dyDescent="0.3">
      <c r="B62" s="69" t="s">
        <v>78</v>
      </c>
      <c r="C62" s="70"/>
      <c r="D62" s="71"/>
      <c r="E62" s="1">
        <f>E58-E46</f>
        <v>-248479.20999999996</v>
      </c>
      <c r="F62" s="7"/>
    </row>
    <row r="63" spans="1:6" x14ac:dyDescent="0.3">
      <c r="A63" s="72"/>
      <c r="B63" s="73"/>
      <c r="C63" s="73"/>
      <c r="D63" s="73"/>
      <c r="E63" s="73"/>
      <c r="F63" s="7"/>
    </row>
    <row r="64" spans="1:6" x14ac:dyDescent="0.3">
      <c r="A64" s="67" t="s">
        <v>80</v>
      </c>
      <c r="B64" s="68"/>
      <c r="C64" s="68"/>
      <c r="D64" s="68"/>
      <c r="E64" s="68">
        <v>-3996679.11</v>
      </c>
      <c r="F64" s="4"/>
    </row>
    <row r="65" spans="1:6" x14ac:dyDescent="0.3">
      <c r="A65" s="12">
        <v>42035</v>
      </c>
      <c r="B65" s="68">
        <v>1619375.74</v>
      </c>
      <c r="C65" s="68">
        <v>1606070.38</v>
      </c>
      <c r="D65" s="68">
        <v>13305.36</v>
      </c>
      <c r="E65" s="68">
        <v>-3983373.75</v>
      </c>
      <c r="F65" s="4"/>
    </row>
    <row r="66" spans="1:6" x14ac:dyDescent="0.3">
      <c r="A66" s="12">
        <f>A65+28</f>
        <v>42063</v>
      </c>
      <c r="B66" s="68">
        <v>1542264.6</v>
      </c>
      <c r="C66" s="68">
        <v>1547317.38</v>
      </c>
      <c r="D66" s="68">
        <v>-5052.78</v>
      </c>
      <c r="E66" s="68">
        <v>-3988426.53</v>
      </c>
      <c r="F66" s="4"/>
    </row>
    <row r="67" spans="1:6" x14ac:dyDescent="0.3">
      <c r="A67" s="12">
        <f>A66+31</f>
        <v>42094</v>
      </c>
      <c r="B67" s="68">
        <v>1545312.32</v>
      </c>
      <c r="C67" s="68">
        <v>1851063.86</v>
      </c>
      <c r="D67" s="68">
        <v>-305751.53999999998</v>
      </c>
      <c r="E67" s="68">
        <v>-4294178.07</v>
      </c>
      <c r="F67" s="4"/>
    </row>
    <row r="68" spans="1:6" x14ac:dyDescent="0.3">
      <c r="A68" s="12">
        <f>A67+30</f>
        <v>42124</v>
      </c>
      <c r="B68" s="68">
        <v>1264362.8500000001</v>
      </c>
      <c r="C68" s="68">
        <v>1814161.61</v>
      </c>
      <c r="D68" s="68">
        <v>-549798.76</v>
      </c>
      <c r="E68" s="68">
        <v>-4843976.83</v>
      </c>
      <c r="F68" s="4"/>
    </row>
    <row r="69" spans="1:6" x14ac:dyDescent="0.3">
      <c r="A69" s="12">
        <f>A68+31</f>
        <v>42155</v>
      </c>
      <c r="B69" s="68">
        <v>1172471.24</v>
      </c>
      <c r="C69" s="68">
        <v>1414312.96</v>
      </c>
      <c r="D69" s="68">
        <v>-241841.72</v>
      </c>
      <c r="E69" s="68">
        <v>-5085818.55</v>
      </c>
      <c r="F69" s="4"/>
    </row>
    <row r="70" spans="1:6" x14ac:dyDescent="0.3">
      <c r="A70" s="12">
        <f>A69+30</f>
        <v>42185</v>
      </c>
      <c r="B70" s="68">
        <v>1963835.34</v>
      </c>
      <c r="C70" s="68">
        <v>1885045.23</v>
      </c>
      <c r="D70" s="68">
        <v>78790.11</v>
      </c>
      <c r="E70" s="68">
        <v>-5007028.4400000004</v>
      </c>
      <c r="F70" s="4"/>
    </row>
    <row r="71" spans="1:6" x14ac:dyDescent="0.3">
      <c r="A71" s="12">
        <f t="shared" ref="A71:A76" si="3">A70+31</f>
        <v>42216</v>
      </c>
      <c r="B71" s="68">
        <v>1631449.94</v>
      </c>
      <c r="C71" s="68">
        <v>1546541.23</v>
      </c>
      <c r="D71" s="68">
        <v>84908.71</v>
      </c>
      <c r="E71" s="68">
        <v>-4922119.7300000004</v>
      </c>
      <c r="F71" s="4"/>
    </row>
    <row r="72" spans="1:6" x14ac:dyDescent="0.3">
      <c r="A72" s="12">
        <f t="shared" si="3"/>
        <v>42247</v>
      </c>
      <c r="B72" s="68">
        <v>483039.14</v>
      </c>
      <c r="C72" s="68">
        <v>1505765.58</v>
      </c>
      <c r="D72" s="68">
        <v>-1022726.44</v>
      </c>
      <c r="E72" s="68">
        <v>-5944846.1699999999</v>
      </c>
      <c r="F72" s="4"/>
    </row>
    <row r="73" spans="1:6" x14ac:dyDescent="0.3">
      <c r="A73" s="12">
        <f>A72+30</f>
        <v>42277</v>
      </c>
      <c r="B73" s="68">
        <v>417725.38</v>
      </c>
      <c r="C73" s="68">
        <v>1256229.3600000001</v>
      </c>
      <c r="D73" s="68">
        <v>-838503.98</v>
      </c>
      <c r="E73" s="68">
        <v>-6783350.1500000004</v>
      </c>
      <c r="F73" s="4"/>
    </row>
    <row r="74" spans="1:6" x14ac:dyDescent="0.3">
      <c r="A74" s="12">
        <f t="shared" si="3"/>
        <v>42308</v>
      </c>
      <c r="B74" s="68">
        <v>1997427.38</v>
      </c>
      <c r="C74" s="68">
        <v>1640804.05</v>
      </c>
      <c r="D74" s="68">
        <v>356623.33</v>
      </c>
      <c r="E74" s="68">
        <v>-6426726.8200000003</v>
      </c>
      <c r="F74" s="4"/>
    </row>
    <row r="75" spans="1:6" x14ac:dyDescent="0.3">
      <c r="A75" s="12">
        <f>A74+30</f>
        <v>42338</v>
      </c>
      <c r="B75" s="68">
        <v>626906.97</v>
      </c>
      <c r="C75" s="68">
        <v>690690.88</v>
      </c>
      <c r="D75" s="68">
        <v>-63783.91</v>
      </c>
      <c r="E75" s="68">
        <v>-6490510.7300000004</v>
      </c>
      <c r="F75" s="4"/>
    </row>
    <row r="76" spans="1:6" x14ac:dyDescent="0.3">
      <c r="A76" s="12">
        <f t="shared" si="3"/>
        <v>42369</v>
      </c>
      <c r="B76" s="68">
        <v>2061011.56</v>
      </c>
      <c r="C76" s="68">
        <v>1407143.14</v>
      </c>
      <c r="D76" s="68">
        <v>653868.42000000004</v>
      </c>
      <c r="E76" s="68">
        <v>-5836642.3099999996</v>
      </c>
      <c r="F76" s="4"/>
    </row>
    <row r="77" spans="1:6" x14ac:dyDescent="0.3">
      <c r="B77" s="4"/>
      <c r="C77" s="4"/>
      <c r="D77" s="4"/>
      <c r="E77" s="4"/>
    </row>
    <row r="78" spans="1:6" x14ac:dyDescent="0.3">
      <c r="B78" s="3"/>
      <c r="C78" s="2" t="s">
        <v>79</v>
      </c>
      <c r="D78" s="1">
        <f>SUM(D65:D77)</f>
        <v>-1839963.2000000002</v>
      </c>
    </row>
    <row r="80" spans="1:6" x14ac:dyDescent="0.3">
      <c r="B80" s="69" t="s">
        <v>78</v>
      </c>
      <c r="C80" s="70"/>
      <c r="D80" s="71"/>
      <c r="E80" s="1">
        <f>E76-E64</f>
        <v>-1839963.1999999997</v>
      </c>
    </row>
    <row r="82" spans="1:9" x14ac:dyDescent="0.3">
      <c r="A82" s="67" t="s">
        <v>80</v>
      </c>
      <c r="B82" s="4"/>
      <c r="C82" s="4"/>
      <c r="D82" s="4"/>
      <c r="E82" s="68">
        <v>-3619888.08</v>
      </c>
      <c r="F82" s="4"/>
    </row>
    <row r="83" spans="1:9" x14ac:dyDescent="0.3">
      <c r="A83" s="12">
        <v>41670</v>
      </c>
      <c r="B83" s="68">
        <v>2097007.89</v>
      </c>
      <c r="C83" s="68">
        <v>2622011.1800000002</v>
      </c>
      <c r="D83" s="68">
        <v>-525003.29</v>
      </c>
      <c r="E83" s="68">
        <v>-4144891.37</v>
      </c>
      <c r="F83" s="4"/>
      <c r="G83" s="65"/>
      <c r="H83" s="65"/>
      <c r="I83" s="65"/>
    </row>
    <row r="84" spans="1:9" x14ac:dyDescent="0.3">
      <c r="A84" s="12">
        <f>A83+28</f>
        <v>41698</v>
      </c>
      <c r="B84" s="68">
        <v>1901959.05</v>
      </c>
      <c r="C84" s="68">
        <v>1549277.43</v>
      </c>
      <c r="D84" s="68">
        <v>352681.62</v>
      </c>
      <c r="E84" s="68">
        <v>-3792209.75</v>
      </c>
      <c r="F84" s="4"/>
      <c r="G84" s="65"/>
      <c r="H84" s="65"/>
      <c r="I84" s="65"/>
    </row>
    <row r="85" spans="1:9" x14ac:dyDescent="0.3">
      <c r="A85" s="12">
        <f>A84+31</f>
        <v>41729</v>
      </c>
      <c r="B85" s="68">
        <v>2004408.19</v>
      </c>
      <c r="C85" s="68">
        <v>2646116.42</v>
      </c>
      <c r="D85" s="68">
        <v>-641708.23</v>
      </c>
      <c r="E85" s="68">
        <v>-4433917.9800000004</v>
      </c>
      <c r="F85" s="4"/>
      <c r="G85" s="65"/>
      <c r="H85" s="65"/>
      <c r="I85" s="65"/>
    </row>
    <row r="86" spans="1:9" x14ac:dyDescent="0.3">
      <c r="A86" s="12">
        <f>A85+30</f>
        <v>41759</v>
      </c>
      <c r="B86" s="68">
        <v>1229304.1499999999</v>
      </c>
      <c r="C86" s="68">
        <v>2134635.52</v>
      </c>
      <c r="D86" s="68">
        <v>-905331.37</v>
      </c>
      <c r="E86" s="68">
        <v>-5339249.3499999996</v>
      </c>
      <c r="F86" s="4"/>
      <c r="G86" s="65"/>
      <c r="H86" s="65"/>
      <c r="I86" s="65"/>
    </row>
    <row r="87" spans="1:9" x14ac:dyDescent="0.3">
      <c r="A87" s="12">
        <f>A86+31</f>
        <v>41790</v>
      </c>
      <c r="B87" s="68">
        <v>1577373.45</v>
      </c>
      <c r="C87" s="68">
        <v>2014121.96</v>
      </c>
      <c r="D87" s="68">
        <v>-436748.51</v>
      </c>
      <c r="E87" s="68">
        <v>-5775997.8600000003</v>
      </c>
      <c r="F87" s="4"/>
      <c r="G87" s="65"/>
      <c r="H87" s="65"/>
      <c r="I87" s="65"/>
    </row>
    <row r="88" spans="1:9" x14ac:dyDescent="0.3">
      <c r="A88" s="12">
        <f>A87+30</f>
        <v>41820</v>
      </c>
      <c r="B88" s="68">
        <v>2118299.0699999998</v>
      </c>
      <c r="C88" s="68">
        <v>2352647.12</v>
      </c>
      <c r="D88" s="68">
        <v>-234348.05</v>
      </c>
      <c r="E88" s="68">
        <v>-6010345.9100000001</v>
      </c>
      <c r="F88" s="4"/>
      <c r="G88" s="65"/>
      <c r="H88" s="65"/>
      <c r="I88" s="65"/>
    </row>
    <row r="89" spans="1:9" x14ac:dyDescent="0.3">
      <c r="A89" s="12">
        <f t="shared" ref="A89:A94" si="4">A88+31</f>
        <v>41851</v>
      </c>
      <c r="B89" s="68">
        <v>2626662.42</v>
      </c>
      <c r="C89" s="68">
        <v>2591140.83</v>
      </c>
      <c r="D89" s="68">
        <v>35521.589999999997</v>
      </c>
      <c r="E89" s="68">
        <v>-5974824.3200000003</v>
      </c>
      <c r="F89" s="4"/>
      <c r="G89" s="65"/>
      <c r="H89" s="65"/>
      <c r="I89" s="65"/>
    </row>
    <row r="90" spans="1:9" x14ac:dyDescent="0.3">
      <c r="A90" s="12">
        <f t="shared" si="4"/>
        <v>41882</v>
      </c>
      <c r="B90" s="68">
        <v>2367650.56</v>
      </c>
      <c r="C90" s="68">
        <v>2026823.9</v>
      </c>
      <c r="D90" s="68">
        <v>340826.66</v>
      </c>
      <c r="E90" s="68">
        <v>-5633997.6600000001</v>
      </c>
      <c r="F90" s="4"/>
      <c r="G90" s="65"/>
      <c r="H90" s="65"/>
      <c r="I90" s="65"/>
    </row>
    <row r="91" spans="1:9" x14ac:dyDescent="0.3">
      <c r="A91" s="12">
        <f>A90+30</f>
        <v>41912</v>
      </c>
      <c r="B91" s="68">
        <v>2170047.42</v>
      </c>
      <c r="C91" s="68">
        <v>1814688.64</v>
      </c>
      <c r="D91" s="68">
        <v>355358.78</v>
      </c>
      <c r="E91" s="68">
        <v>-5278638.88</v>
      </c>
      <c r="F91" s="4"/>
      <c r="G91" s="65"/>
      <c r="H91" s="65"/>
      <c r="I91" s="65"/>
    </row>
    <row r="92" spans="1:9" x14ac:dyDescent="0.3">
      <c r="A92" s="12">
        <f t="shared" si="4"/>
        <v>41943</v>
      </c>
      <c r="B92" s="68">
        <v>2400016.2999999998</v>
      </c>
      <c r="C92" s="68">
        <v>1957195.11</v>
      </c>
      <c r="D92" s="68">
        <v>442821.19</v>
      </c>
      <c r="E92" s="68">
        <v>-4835817.6900000004</v>
      </c>
      <c r="F92" s="4"/>
      <c r="G92" s="65"/>
      <c r="H92" s="65"/>
      <c r="I92" s="65"/>
    </row>
    <row r="93" spans="1:9" x14ac:dyDescent="0.3">
      <c r="A93" s="12">
        <f>A92+30</f>
        <v>41973</v>
      </c>
      <c r="B93" s="68">
        <v>1809532.49</v>
      </c>
      <c r="C93" s="68">
        <v>1511963.17</v>
      </c>
      <c r="D93" s="68">
        <v>297569.32</v>
      </c>
      <c r="E93" s="68">
        <v>-4538248.37</v>
      </c>
      <c r="F93" s="4"/>
      <c r="G93" s="65"/>
      <c r="H93" s="65"/>
      <c r="I93" s="65"/>
    </row>
    <row r="94" spans="1:9" x14ac:dyDescent="0.3">
      <c r="A94" s="12">
        <f t="shared" si="4"/>
        <v>42004</v>
      </c>
      <c r="B94" s="68">
        <v>2158834.88</v>
      </c>
      <c r="C94" s="68">
        <v>1617265.62</v>
      </c>
      <c r="D94" s="68">
        <v>541569.26</v>
      </c>
      <c r="E94" s="68">
        <v>-3996679.11</v>
      </c>
      <c r="F94" s="4"/>
      <c r="G94" s="65"/>
      <c r="H94" s="65"/>
      <c r="I94" s="65"/>
    </row>
    <row r="95" spans="1:9" x14ac:dyDescent="0.3">
      <c r="B95" s="4"/>
      <c r="C95" s="4"/>
      <c r="D95" s="4"/>
      <c r="E95" s="4"/>
      <c r="F95" s="65"/>
    </row>
    <row r="96" spans="1:9" x14ac:dyDescent="0.3">
      <c r="B96" s="3"/>
      <c r="C96" s="2" t="s">
        <v>79</v>
      </c>
      <c r="D96" s="1">
        <f>SUM(D83:D95)</f>
        <v>-376791.03000000026</v>
      </c>
      <c r="F96" s="65"/>
    </row>
    <row r="97" spans="2:9" x14ac:dyDescent="0.3">
      <c r="F97" s="65"/>
    </row>
    <row r="98" spans="2:9" x14ac:dyDescent="0.3">
      <c r="B98" s="69" t="s">
        <v>78</v>
      </c>
      <c r="C98" s="70"/>
      <c r="D98" s="71"/>
      <c r="E98" s="1">
        <f>E94-E82</f>
        <v>-376791.0299999998</v>
      </c>
    </row>
    <row r="99" spans="2:9" x14ac:dyDescent="0.3">
      <c r="G99" s="65"/>
      <c r="H99" s="65"/>
    </row>
    <row r="100" spans="2:9" x14ac:dyDescent="0.3">
      <c r="G100" s="65"/>
      <c r="H100" s="65"/>
      <c r="I100" s="65"/>
    </row>
    <row r="101" spans="2:9" x14ac:dyDescent="0.3">
      <c r="G101" s="65"/>
      <c r="H101" s="65"/>
    </row>
  </sheetData>
  <printOptions horizontalCentered="1"/>
  <pageMargins left="0.7" right="0.7" top="0.75" bottom="0.75" header="0.3" footer="0.3"/>
  <pageSetup orientation="portrait" r:id="rId1"/>
  <rowBreaks count="1" manualBreakCount="1">
    <brk id="8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70" zoomScaleNormal="70" workbookViewId="0">
      <pane xSplit="1" ySplit="3" topLeftCell="B7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4.4" x14ac:dyDescent="0.3"/>
  <cols>
    <col min="1" max="1" width="52.88671875" style="44" bestFit="1" customWidth="1"/>
    <col min="2" max="2" width="22" style="44" customWidth="1"/>
    <col min="3" max="14" width="15.6640625" style="44" customWidth="1"/>
    <col min="15" max="16384" width="8.88671875" style="44"/>
  </cols>
  <sheetData>
    <row r="1" spans="1:14" x14ac:dyDescent="0.3">
      <c r="A1" s="44" t="s">
        <v>155</v>
      </c>
    </row>
    <row r="3" spans="1:14" x14ac:dyDescent="0.3">
      <c r="A3" s="45" t="s">
        <v>156</v>
      </c>
      <c r="B3" s="46" t="s">
        <v>157</v>
      </c>
      <c r="C3" s="46" t="s">
        <v>158</v>
      </c>
      <c r="D3" s="46" t="s">
        <v>159</v>
      </c>
      <c r="E3" s="46" t="s">
        <v>160</v>
      </c>
      <c r="F3" s="46" t="s">
        <v>161</v>
      </c>
      <c r="G3" s="46" t="s">
        <v>162</v>
      </c>
      <c r="H3" s="46" t="s">
        <v>163</v>
      </c>
      <c r="I3" s="46" t="s">
        <v>164</v>
      </c>
      <c r="J3" s="46" t="s">
        <v>165</v>
      </c>
      <c r="K3" s="46" t="s">
        <v>166</v>
      </c>
      <c r="L3" s="46" t="s">
        <v>167</v>
      </c>
      <c r="M3" s="46" t="s">
        <v>168</v>
      </c>
      <c r="N3" s="46" t="s">
        <v>169</v>
      </c>
    </row>
    <row r="4" spans="1:14" x14ac:dyDescent="0.3">
      <c r="A4" s="47" t="s">
        <v>170</v>
      </c>
      <c r="B4" s="48">
        <v>17972410.350000001</v>
      </c>
      <c r="C4" s="48">
        <v>1131075.73</v>
      </c>
      <c r="D4" s="48">
        <v>1322580.8999999999</v>
      </c>
      <c r="E4" s="48">
        <v>970299.98</v>
      </c>
      <c r="F4" s="48">
        <v>2492117</v>
      </c>
      <c r="G4" s="48">
        <v>1432790.93</v>
      </c>
      <c r="H4" s="48">
        <v>1326648.81</v>
      </c>
      <c r="I4" s="48">
        <v>1545742.83</v>
      </c>
      <c r="J4" s="48">
        <v>1661071.31</v>
      </c>
      <c r="K4" s="48">
        <v>1397378.28</v>
      </c>
      <c r="L4" s="48">
        <v>1596741.61</v>
      </c>
      <c r="M4" s="48">
        <v>1396812.44</v>
      </c>
      <c r="N4" s="48">
        <v>1699150.53</v>
      </c>
    </row>
    <row r="5" spans="1:14" x14ac:dyDescent="0.3">
      <c r="A5" s="47" t="s">
        <v>171</v>
      </c>
      <c r="B5" s="49">
        <v>415484.87</v>
      </c>
      <c r="C5" s="49">
        <v>415482.49</v>
      </c>
      <c r="D5" s="49">
        <v>0.83</v>
      </c>
      <c r="E5" s="49">
        <v>-324698.45</v>
      </c>
      <c r="F5" s="49">
        <v>324700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0</v>
      </c>
    </row>
    <row r="6" spans="1:14" x14ac:dyDescent="0.3">
      <c r="A6" s="47" t="s">
        <v>172</v>
      </c>
      <c r="B6" s="49">
        <v>138055.31</v>
      </c>
      <c r="C6" s="49">
        <v>138055.31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</row>
    <row r="7" spans="1:14" x14ac:dyDescent="0.3">
      <c r="A7" s="47" t="s">
        <v>173</v>
      </c>
      <c r="B7" s="49">
        <v>118854.72</v>
      </c>
      <c r="C7" s="49">
        <v>118854.72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</row>
    <row r="8" spans="1:14" x14ac:dyDescent="0.3">
      <c r="A8" s="50" t="s">
        <v>152</v>
      </c>
      <c r="B8" s="51">
        <v>93557.45</v>
      </c>
      <c r="C8" s="51">
        <v>93557.45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</row>
    <row r="9" spans="1:14" x14ac:dyDescent="0.3">
      <c r="A9" s="52" t="s">
        <v>174</v>
      </c>
      <c r="B9" s="53">
        <f>SUM(B4:B8)</f>
        <v>18738362.699999999</v>
      </c>
      <c r="C9" s="53">
        <f t="shared" ref="C9:N9" si="0">SUM(C4:C8)</f>
        <v>1897025.7</v>
      </c>
      <c r="D9" s="53">
        <f t="shared" si="0"/>
        <v>1322581.73</v>
      </c>
      <c r="E9" s="53">
        <f t="shared" si="0"/>
        <v>645601.53</v>
      </c>
      <c r="F9" s="53">
        <f t="shared" si="0"/>
        <v>2816817</v>
      </c>
      <c r="G9" s="53">
        <f t="shared" si="0"/>
        <v>1432790.93</v>
      </c>
      <c r="H9" s="53">
        <f t="shared" si="0"/>
        <v>1326648.81</v>
      </c>
      <c r="I9" s="53">
        <f t="shared" si="0"/>
        <v>1545742.83</v>
      </c>
      <c r="J9" s="53">
        <f t="shared" si="0"/>
        <v>1661071.31</v>
      </c>
      <c r="K9" s="53">
        <f t="shared" si="0"/>
        <v>1397378.28</v>
      </c>
      <c r="L9" s="53">
        <f t="shared" si="0"/>
        <v>1596741.61</v>
      </c>
      <c r="M9" s="53">
        <f t="shared" si="0"/>
        <v>1396812.44</v>
      </c>
      <c r="N9" s="53">
        <f t="shared" si="0"/>
        <v>1699150.53</v>
      </c>
    </row>
    <row r="10" spans="1:14" x14ac:dyDescent="0.3">
      <c r="A10" s="47" t="s">
        <v>175</v>
      </c>
      <c r="B10" s="49">
        <v>4330979.28</v>
      </c>
      <c r="C10" s="49">
        <v>238387.28</v>
      </c>
      <c r="D10" s="49">
        <v>369349.17</v>
      </c>
      <c r="E10" s="49">
        <v>267112.78999999998</v>
      </c>
      <c r="F10" s="49">
        <v>788329.15</v>
      </c>
      <c r="G10" s="49">
        <v>361005.39</v>
      </c>
      <c r="H10" s="49">
        <v>295681.52</v>
      </c>
      <c r="I10" s="49">
        <v>354261.68</v>
      </c>
      <c r="J10" s="49">
        <v>311003.87</v>
      </c>
      <c r="K10" s="49">
        <v>313030.38</v>
      </c>
      <c r="L10" s="49">
        <v>329167.71000000002</v>
      </c>
      <c r="M10" s="49">
        <v>321039.19</v>
      </c>
      <c r="N10" s="49">
        <v>382611.15</v>
      </c>
    </row>
    <row r="11" spans="1:14" x14ac:dyDescent="0.3">
      <c r="A11" s="47" t="s">
        <v>176</v>
      </c>
      <c r="B11" s="49">
        <v>0</v>
      </c>
      <c r="C11" s="49">
        <v>0</v>
      </c>
      <c r="D11" s="49">
        <v>0</v>
      </c>
      <c r="E11" s="49">
        <v>-205490</v>
      </c>
      <c r="F11" s="49">
        <v>205490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</row>
    <row r="12" spans="1:14" x14ac:dyDescent="0.3">
      <c r="A12" s="52" t="s">
        <v>49</v>
      </c>
      <c r="B12" s="53">
        <f>SUM(B10:B11)</f>
        <v>4330979.28</v>
      </c>
      <c r="C12" s="53">
        <f t="shared" ref="C12:N12" si="1">SUM(C10:C11)</f>
        <v>238387.28</v>
      </c>
      <c r="D12" s="53">
        <f t="shared" si="1"/>
        <v>369349.17</v>
      </c>
      <c r="E12" s="53">
        <f t="shared" si="1"/>
        <v>61622.789999999979</v>
      </c>
      <c r="F12" s="53">
        <f t="shared" si="1"/>
        <v>993819.15</v>
      </c>
      <c r="G12" s="53">
        <f t="shared" si="1"/>
        <v>361005.39</v>
      </c>
      <c r="H12" s="53">
        <f t="shared" si="1"/>
        <v>295681.52</v>
      </c>
      <c r="I12" s="53">
        <f t="shared" si="1"/>
        <v>354261.68</v>
      </c>
      <c r="J12" s="53">
        <f t="shared" si="1"/>
        <v>311003.87</v>
      </c>
      <c r="K12" s="53">
        <f t="shared" si="1"/>
        <v>313030.38</v>
      </c>
      <c r="L12" s="53">
        <f t="shared" si="1"/>
        <v>329167.71000000002</v>
      </c>
      <c r="M12" s="53">
        <f t="shared" si="1"/>
        <v>321039.19</v>
      </c>
      <c r="N12" s="53">
        <f t="shared" si="1"/>
        <v>382611.15</v>
      </c>
    </row>
    <row r="13" spans="1:14" x14ac:dyDescent="0.3">
      <c r="A13" s="47" t="s">
        <v>177</v>
      </c>
      <c r="B13" s="49">
        <v>6637.31</v>
      </c>
      <c r="C13" s="49">
        <v>0</v>
      </c>
      <c r="D13" s="49">
        <v>0</v>
      </c>
      <c r="E13" s="49">
        <v>6637.31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</row>
    <row r="14" spans="1:14" x14ac:dyDescent="0.3">
      <c r="A14" s="52" t="s">
        <v>154</v>
      </c>
      <c r="B14" s="53">
        <f>SUM(B13)</f>
        <v>6637.31</v>
      </c>
      <c r="C14" s="53">
        <f t="shared" ref="C14:N14" si="2">SUM(C13)</f>
        <v>0</v>
      </c>
      <c r="D14" s="53">
        <f t="shared" si="2"/>
        <v>0</v>
      </c>
      <c r="E14" s="53">
        <f t="shared" si="2"/>
        <v>6637.31</v>
      </c>
      <c r="F14" s="53">
        <f t="shared" si="2"/>
        <v>0</v>
      </c>
      <c r="G14" s="53">
        <f t="shared" si="2"/>
        <v>0</v>
      </c>
      <c r="H14" s="53">
        <f t="shared" si="2"/>
        <v>0</v>
      </c>
      <c r="I14" s="53">
        <f t="shared" si="2"/>
        <v>0</v>
      </c>
      <c r="J14" s="53">
        <f t="shared" si="2"/>
        <v>0</v>
      </c>
      <c r="K14" s="53">
        <f t="shared" si="2"/>
        <v>0</v>
      </c>
      <c r="L14" s="53">
        <f t="shared" si="2"/>
        <v>0</v>
      </c>
      <c r="M14" s="53">
        <f t="shared" si="2"/>
        <v>0</v>
      </c>
      <c r="N14" s="53">
        <f t="shared" si="2"/>
        <v>0</v>
      </c>
    </row>
    <row r="15" spans="1:14" x14ac:dyDescent="0.3">
      <c r="A15" s="54" t="s">
        <v>48</v>
      </c>
      <c r="B15" s="55">
        <f>B9+B12+B14</f>
        <v>23075979.289999999</v>
      </c>
      <c r="C15" s="55">
        <f t="shared" ref="C15:N15" si="3">C9+C12+C14</f>
        <v>2135412.98</v>
      </c>
      <c r="D15" s="55">
        <f t="shared" si="3"/>
        <v>1691930.9</v>
      </c>
      <c r="E15" s="55">
        <f t="shared" si="3"/>
        <v>713861.63000000012</v>
      </c>
      <c r="F15" s="55">
        <f t="shared" si="3"/>
        <v>3810636.15</v>
      </c>
      <c r="G15" s="55">
        <f t="shared" si="3"/>
        <v>1793796.3199999998</v>
      </c>
      <c r="H15" s="55">
        <f t="shared" si="3"/>
        <v>1622330.33</v>
      </c>
      <c r="I15" s="55">
        <f t="shared" si="3"/>
        <v>1900004.51</v>
      </c>
      <c r="J15" s="55">
        <f t="shared" si="3"/>
        <v>1972075.1800000002</v>
      </c>
      <c r="K15" s="55">
        <f t="shared" si="3"/>
        <v>1710408.6600000001</v>
      </c>
      <c r="L15" s="55">
        <f t="shared" si="3"/>
        <v>1925909.32</v>
      </c>
      <c r="M15" s="55">
        <f t="shared" si="3"/>
        <v>1717851.63</v>
      </c>
      <c r="N15" s="55">
        <f t="shared" si="3"/>
        <v>2081761.6800000002</v>
      </c>
    </row>
    <row r="16" spans="1:14" x14ac:dyDescent="0.3">
      <c r="A16" s="56" t="s">
        <v>178</v>
      </c>
      <c r="B16" s="57">
        <v>22982421.84</v>
      </c>
      <c r="C16" s="57">
        <v>2041855.53</v>
      </c>
      <c r="D16" s="57">
        <v>1691930.9</v>
      </c>
      <c r="E16" s="57">
        <v>713861.63</v>
      </c>
      <c r="F16" s="57">
        <v>3810636.15</v>
      </c>
      <c r="G16" s="57">
        <v>1793796.32</v>
      </c>
      <c r="H16" s="57">
        <v>1622330.33</v>
      </c>
      <c r="I16" s="57">
        <v>1900004.51</v>
      </c>
      <c r="J16" s="57">
        <v>1972075.18</v>
      </c>
      <c r="K16" s="57">
        <v>1710408.66</v>
      </c>
      <c r="L16" s="57">
        <v>1925909.32</v>
      </c>
      <c r="M16" s="57">
        <v>1717851.63</v>
      </c>
      <c r="N16" s="57">
        <v>2081761.68</v>
      </c>
    </row>
    <row r="17" spans="1:14" x14ac:dyDescent="0.3">
      <c r="A17" s="47" t="s">
        <v>179</v>
      </c>
      <c r="B17" s="4">
        <f>B15-B16</f>
        <v>93557.449999999255</v>
      </c>
      <c r="C17" s="4">
        <f t="shared" ref="C17:N17" si="4">C15-C16</f>
        <v>93557.449999999953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</row>
    <row r="18" spans="1:14" x14ac:dyDescent="0.3">
      <c r="A18" s="58" t="s">
        <v>180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">
      <c r="A19" s="5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">
      <c r="A20" s="58" t="s">
        <v>181</v>
      </c>
      <c r="B20" s="59">
        <v>0.66190000000000004</v>
      </c>
    </row>
    <row r="21" spans="1:14" x14ac:dyDescent="0.3">
      <c r="A21" s="58" t="s">
        <v>182</v>
      </c>
      <c r="B21" s="59">
        <v>0.33810000000000001</v>
      </c>
    </row>
    <row r="22" spans="1:14" x14ac:dyDescent="0.3">
      <c r="A22" s="58"/>
      <c r="B22" s="59"/>
    </row>
    <row r="23" spans="1:14" x14ac:dyDescent="0.3">
      <c r="A23" s="44" t="s">
        <v>183</v>
      </c>
      <c r="B23" s="60">
        <f>B27+(B$29*$B$20)</f>
        <v>18742755.935488999</v>
      </c>
      <c r="C23" s="60">
        <f t="shared" ref="C23:N23" si="5">C27+(C$29*$B$20)</f>
        <v>1897025.7</v>
      </c>
      <c r="D23" s="60">
        <f t="shared" si="5"/>
        <v>1322581.73</v>
      </c>
      <c r="E23" s="60">
        <f t="shared" si="5"/>
        <v>649994.76548900001</v>
      </c>
      <c r="F23" s="60">
        <f t="shared" si="5"/>
        <v>2816817</v>
      </c>
      <c r="G23" s="60">
        <f t="shared" si="5"/>
        <v>1432790.93</v>
      </c>
      <c r="H23" s="60">
        <f t="shared" si="5"/>
        <v>1326648.81</v>
      </c>
      <c r="I23" s="60">
        <f t="shared" si="5"/>
        <v>1545742.83</v>
      </c>
      <c r="J23" s="60">
        <f t="shared" si="5"/>
        <v>1661071.31</v>
      </c>
      <c r="K23" s="60">
        <f t="shared" si="5"/>
        <v>1397378.28</v>
      </c>
      <c r="L23" s="60">
        <f t="shared" si="5"/>
        <v>1596741.61</v>
      </c>
      <c r="M23" s="60">
        <f t="shared" si="5"/>
        <v>1396812.44</v>
      </c>
      <c r="N23" s="60">
        <f t="shared" si="5"/>
        <v>1699150.53</v>
      </c>
    </row>
    <row r="24" spans="1:14" x14ac:dyDescent="0.3">
      <c r="A24" s="44" t="s">
        <v>184</v>
      </c>
      <c r="B24" s="4">
        <f>B28+(B$29*$B$21)</f>
        <v>4333223.3545110002</v>
      </c>
      <c r="C24" s="4">
        <f t="shared" ref="C24:N24" si="6">C28+(C$29*$B$21)</f>
        <v>238387.28</v>
      </c>
      <c r="D24" s="4">
        <f t="shared" si="6"/>
        <v>369349.17</v>
      </c>
      <c r="E24" s="4">
        <f t="shared" si="6"/>
        <v>63866.864510999978</v>
      </c>
      <c r="F24" s="4">
        <f t="shared" si="6"/>
        <v>993819.15</v>
      </c>
      <c r="G24" s="4">
        <f t="shared" si="6"/>
        <v>361005.39</v>
      </c>
      <c r="H24" s="4">
        <f t="shared" si="6"/>
        <v>295681.52</v>
      </c>
      <c r="I24" s="4">
        <f t="shared" si="6"/>
        <v>354261.68</v>
      </c>
      <c r="J24" s="4">
        <f t="shared" si="6"/>
        <v>311003.87</v>
      </c>
      <c r="K24" s="4">
        <f t="shared" si="6"/>
        <v>313030.38</v>
      </c>
      <c r="L24" s="4">
        <f t="shared" si="6"/>
        <v>329167.71000000002</v>
      </c>
      <c r="M24" s="4">
        <f t="shared" si="6"/>
        <v>321039.19</v>
      </c>
      <c r="N24" s="4">
        <f t="shared" si="6"/>
        <v>382611.15</v>
      </c>
    </row>
    <row r="25" spans="1:14" ht="15" thickBot="1" x14ac:dyDescent="0.35">
      <c r="B25" s="61">
        <f>SUM(B23:B24)</f>
        <v>23075979.289999999</v>
      </c>
      <c r="C25" s="61">
        <f t="shared" ref="C25:N25" si="7">SUM(C23:C24)</f>
        <v>2135412.98</v>
      </c>
      <c r="D25" s="61">
        <f t="shared" si="7"/>
        <v>1691930.9</v>
      </c>
      <c r="E25" s="61">
        <f t="shared" si="7"/>
        <v>713861.63</v>
      </c>
      <c r="F25" s="61">
        <f t="shared" si="7"/>
        <v>3810636.15</v>
      </c>
      <c r="G25" s="61">
        <f t="shared" si="7"/>
        <v>1793796.3199999998</v>
      </c>
      <c r="H25" s="61">
        <f t="shared" si="7"/>
        <v>1622330.33</v>
      </c>
      <c r="I25" s="61">
        <f t="shared" si="7"/>
        <v>1900004.51</v>
      </c>
      <c r="J25" s="61">
        <f t="shared" si="7"/>
        <v>1972075.1800000002</v>
      </c>
      <c r="K25" s="61">
        <f t="shared" si="7"/>
        <v>1710408.6600000001</v>
      </c>
      <c r="L25" s="61">
        <f t="shared" si="7"/>
        <v>1925909.32</v>
      </c>
      <c r="M25" s="61">
        <f t="shared" si="7"/>
        <v>1717851.63</v>
      </c>
      <c r="N25" s="61">
        <f t="shared" si="7"/>
        <v>2081761.6800000002</v>
      </c>
    </row>
    <row r="26" spans="1:14" ht="15" thickTop="1" x14ac:dyDescent="0.3"/>
    <row r="27" spans="1:14" x14ac:dyDescent="0.3">
      <c r="A27" s="44" t="s">
        <v>183</v>
      </c>
      <c r="B27" s="60">
        <f>B9</f>
        <v>18738362.699999999</v>
      </c>
      <c r="C27" s="60">
        <f t="shared" ref="C27:N27" si="8">C9</f>
        <v>1897025.7</v>
      </c>
      <c r="D27" s="60">
        <f t="shared" si="8"/>
        <v>1322581.73</v>
      </c>
      <c r="E27" s="60">
        <f t="shared" si="8"/>
        <v>645601.53</v>
      </c>
      <c r="F27" s="60">
        <f t="shared" si="8"/>
        <v>2816817</v>
      </c>
      <c r="G27" s="60">
        <f t="shared" si="8"/>
        <v>1432790.93</v>
      </c>
      <c r="H27" s="60">
        <f t="shared" si="8"/>
        <v>1326648.81</v>
      </c>
      <c r="I27" s="60">
        <f t="shared" si="8"/>
        <v>1545742.83</v>
      </c>
      <c r="J27" s="60">
        <f t="shared" si="8"/>
        <v>1661071.31</v>
      </c>
      <c r="K27" s="60">
        <f t="shared" si="8"/>
        <v>1397378.28</v>
      </c>
      <c r="L27" s="60">
        <f t="shared" si="8"/>
        <v>1596741.61</v>
      </c>
      <c r="M27" s="60">
        <f t="shared" si="8"/>
        <v>1396812.44</v>
      </c>
      <c r="N27" s="60">
        <f t="shared" si="8"/>
        <v>1699150.53</v>
      </c>
    </row>
    <row r="28" spans="1:14" x14ac:dyDescent="0.3">
      <c r="A28" s="44" t="s">
        <v>184</v>
      </c>
      <c r="B28" s="4">
        <f>B12</f>
        <v>4330979.28</v>
      </c>
      <c r="C28" s="4">
        <f t="shared" ref="C28:N28" si="9">C12</f>
        <v>238387.28</v>
      </c>
      <c r="D28" s="4">
        <f t="shared" si="9"/>
        <v>369349.17</v>
      </c>
      <c r="E28" s="4">
        <f t="shared" si="9"/>
        <v>61622.789999999979</v>
      </c>
      <c r="F28" s="4">
        <f t="shared" si="9"/>
        <v>993819.15</v>
      </c>
      <c r="G28" s="4">
        <f t="shared" si="9"/>
        <v>361005.39</v>
      </c>
      <c r="H28" s="4">
        <f t="shared" si="9"/>
        <v>295681.52</v>
      </c>
      <c r="I28" s="4">
        <f t="shared" si="9"/>
        <v>354261.68</v>
      </c>
      <c r="J28" s="4">
        <f t="shared" si="9"/>
        <v>311003.87</v>
      </c>
      <c r="K28" s="4">
        <f t="shared" si="9"/>
        <v>313030.38</v>
      </c>
      <c r="L28" s="4">
        <f t="shared" si="9"/>
        <v>329167.71000000002</v>
      </c>
      <c r="M28" s="4">
        <f t="shared" si="9"/>
        <v>321039.19</v>
      </c>
      <c r="N28" s="4">
        <f t="shared" si="9"/>
        <v>382611.15</v>
      </c>
    </row>
    <row r="29" spans="1:14" x14ac:dyDescent="0.3">
      <c r="A29" s="44" t="s">
        <v>185</v>
      </c>
      <c r="B29" s="4">
        <f>B14</f>
        <v>6637.31</v>
      </c>
      <c r="C29" s="4">
        <f t="shared" ref="C29:N29" si="10">C14</f>
        <v>0</v>
      </c>
      <c r="D29" s="4">
        <f t="shared" si="10"/>
        <v>0</v>
      </c>
      <c r="E29" s="4">
        <f t="shared" si="10"/>
        <v>6637.31</v>
      </c>
      <c r="F29" s="4">
        <f t="shared" si="10"/>
        <v>0</v>
      </c>
      <c r="G29" s="4">
        <f t="shared" si="10"/>
        <v>0</v>
      </c>
      <c r="H29" s="4">
        <f t="shared" si="10"/>
        <v>0</v>
      </c>
      <c r="I29" s="4">
        <f t="shared" si="10"/>
        <v>0</v>
      </c>
      <c r="J29" s="4">
        <f t="shared" si="10"/>
        <v>0</v>
      </c>
      <c r="K29" s="4">
        <f t="shared" si="10"/>
        <v>0</v>
      </c>
      <c r="L29" s="4">
        <f t="shared" si="10"/>
        <v>0</v>
      </c>
      <c r="M29" s="4">
        <f t="shared" si="10"/>
        <v>0</v>
      </c>
      <c r="N29" s="4">
        <f t="shared" si="10"/>
        <v>0</v>
      </c>
    </row>
    <row r="30" spans="1:14" ht="15" thickBot="1" x14ac:dyDescent="0.35">
      <c r="B30" s="61">
        <f>SUM(B27:B29)</f>
        <v>23075979.289999999</v>
      </c>
      <c r="C30" s="61">
        <f t="shared" ref="C30:N30" si="11">SUM(C27:C29)</f>
        <v>2135412.98</v>
      </c>
      <c r="D30" s="61">
        <f t="shared" si="11"/>
        <v>1691930.9</v>
      </c>
      <c r="E30" s="61">
        <f t="shared" si="11"/>
        <v>713861.63000000012</v>
      </c>
      <c r="F30" s="61">
        <f t="shared" si="11"/>
        <v>3810636.15</v>
      </c>
      <c r="G30" s="61">
        <f t="shared" si="11"/>
        <v>1793796.3199999998</v>
      </c>
      <c r="H30" s="61">
        <f t="shared" si="11"/>
        <v>1622330.33</v>
      </c>
      <c r="I30" s="61">
        <f t="shared" si="11"/>
        <v>1900004.51</v>
      </c>
      <c r="J30" s="61">
        <f t="shared" si="11"/>
        <v>1972075.1800000002</v>
      </c>
      <c r="K30" s="61">
        <f t="shared" si="11"/>
        <v>1710408.6600000001</v>
      </c>
      <c r="L30" s="61">
        <f t="shared" si="11"/>
        <v>1925909.32</v>
      </c>
      <c r="M30" s="61">
        <f t="shared" si="11"/>
        <v>1717851.63</v>
      </c>
      <c r="N30" s="61">
        <f t="shared" si="11"/>
        <v>2081761.6800000002</v>
      </c>
    </row>
    <row r="31" spans="1:14" ht="15" thickTop="1" x14ac:dyDescent="0.3"/>
    <row r="34" spans="1:10" x14ac:dyDescent="0.3">
      <c r="A34" s="62" t="s">
        <v>186</v>
      </c>
      <c r="B34" s="62" t="s">
        <v>183</v>
      </c>
      <c r="C34" s="62" t="s">
        <v>187</v>
      </c>
      <c r="D34" s="62" t="s">
        <v>185</v>
      </c>
      <c r="E34" s="62" t="s">
        <v>188</v>
      </c>
      <c r="F34" s="62" t="s">
        <v>189</v>
      </c>
      <c r="G34" s="62" t="s">
        <v>190</v>
      </c>
      <c r="H34" s="62" t="s">
        <v>191</v>
      </c>
      <c r="I34" s="62" t="s">
        <v>192</v>
      </c>
    </row>
    <row r="35" spans="1:10" x14ac:dyDescent="0.3">
      <c r="A35" s="44" t="s">
        <v>193</v>
      </c>
      <c r="B35" s="60">
        <v>18738362.699999999</v>
      </c>
      <c r="C35" s="60">
        <v>4330979.2799999993</v>
      </c>
      <c r="D35" s="60">
        <v>6637.31</v>
      </c>
      <c r="E35" s="60">
        <v>4393.24</v>
      </c>
      <c r="F35" s="60">
        <v>2244.0700000000002</v>
      </c>
      <c r="G35" s="60">
        <v>18742755.939999998</v>
      </c>
      <c r="H35" s="60">
        <v>4333223.3499999996</v>
      </c>
      <c r="I35" s="60">
        <v>23075979.289999999</v>
      </c>
    </row>
    <row r="36" spans="1:10" x14ac:dyDescent="0.3">
      <c r="B36" s="63">
        <f>B27-B35</f>
        <v>0</v>
      </c>
      <c r="C36" s="63">
        <f>B28-C35</f>
        <v>0</v>
      </c>
      <c r="D36" s="63">
        <f>B29-D35</f>
        <v>0</v>
      </c>
      <c r="E36" s="63">
        <f>B29*B20-E35</f>
        <v>-4.5109999991836958E-3</v>
      </c>
      <c r="F36" s="63">
        <f>B29*B21-F35</f>
        <v>4.5110000000931905E-3</v>
      </c>
      <c r="G36" s="63">
        <f>B23-G35</f>
        <v>-4.5109987258911133E-3</v>
      </c>
      <c r="H36" s="63">
        <f>B24-H35</f>
        <v>4.5110005885362625E-3</v>
      </c>
      <c r="I36" s="63">
        <f>B25-I35</f>
        <v>0</v>
      </c>
      <c r="J36" s="64"/>
    </row>
    <row r="37" spans="1:10" x14ac:dyDescent="0.3">
      <c r="B37" s="63">
        <f>B40+B44-B35</f>
        <v>0</v>
      </c>
      <c r="C37" s="63">
        <f t="shared" ref="C37:I37" si="12">C40+C44-C35</f>
        <v>0</v>
      </c>
      <c r="D37" s="63">
        <f t="shared" si="12"/>
        <v>0</v>
      </c>
      <c r="E37" s="63">
        <f t="shared" si="12"/>
        <v>-39.829999999999927</v>
      </c>
      <c r="F37" s="63">
        <f t="shared" si="12"/>
        <v>39.829999999999927</v>
      </c>
      <c r="G37" s="63">
        <f t="shared" si="12"/>
        <v>-39.829999998211861</v>
      </c>
      <c r="H37" s="63">
        <f t="shared" si="12"/>
        <v>39.830000000074506</v>
      </c>
      <c r="I37" s="63">
        <f t="shared" si="12"/>
        <v>0</v>
      </c>
    </row>
    <row r="38" spans="1:10" x14ac:dyDescent="0.3">
      <c r="B38" s="60"/>
      <c r="C38" s="60"/>
      <c r="D38" s="60"/>
      <c r="E38" s="60"/>
      <c r="F38" s="60"/>
      <c r="G38" s="60"/>
      <c r="H38" s="60"/>
      <c r="I38" s="60"/>
    </row>
    <row r="39" spans="1:10" x14ac:dyDescent="0.3">
      <c r="A39" s="62" t="s">
        <v>194</v>
      </c>
      <c r="B39" s="62" t="s">
        <v>183</v>
      </c>
      <c r="C39" s="62" t="s">
        <v>187</v>
      </c>
      <c r="D39" s="62" t="s">
        <v>185</v>
      </c>
      <c r="E39" s="62" t="s">
        <v>188</v>
      </c>
      <c r="F39" s="62" t="s">
        <v>189</v>
      </c>
      <c r="G39" s="62" t="s">
        <v>190</v>
      </c>
      <c r="H39" s="62" t="s">
        <v>191</v>
      </c>
      <c r="I39" s="62" t="s">
        <v>192</v>
      </c>
    </row>
    <row r="40" spans="1:10" x14ac:dyDescent="0.3">
      <c r="A40" s="44" t="s">
        <v>193</v>
      </c>
      <c r="B40" s="60">
        <v>9441465.6999999993</v>
      </c>
      <c r="C40" s="60">
        <v>2319865.2999999998</v>
      </c>
      <c r="D40" s="60">
        <v>6637.31</v>
      </c>
      <c r="E40" s="60">
        <v>4353.41</v>
      </c>
      <c r="F40" s="60">
        <v>2283.9</v>
      </c>
      <c r="G40" s="60">
        <v>9445819.1099999994</v>
      </c>
      <c r="H40" s="60">
        <v>2322149.1999999997</v>
      </c>
      <c r="I40" s="60">
        <v>11767968.309999999</v>
      </c>
    </row>
    <row r="41" spans="1:10" x14ac:dyDescent="0.3">
      <c r="B41" s="63">
        <f>SUM(C27:H27)-B40</f>
        <v>0</v>
      </c>
      <c r="C41" s="63">
        <f>SUM(C28:H28)-C40</f>
        <v>0</v>
      </c>
      <c r="D41" s="63">
        <f>SUM(C29:H29)-D40</f>
        <v>0</v>
      </c>
      <c r="E41" s="63">
        <f>SUM(C29:H29)*B20-E40</f>
        <v>39.825489000000744</v>
      </c>
      <c r="F41" s="63">
        <f>SUM(C29:H29)*B21-F40</f>
        <v>-39.825488999999834</v>
      </c>
      <c r="G41" s="63">
        <f>SUM(C23:H23)-G40</f>
        <v>39.82548899948597</v>
      </c>
      <c r="H41" s="63">
        <f>SUM(C24:H24)-H40</f>
        <v>-39.82548899948597</v>
      </c>
      <c r="I41" s="63">
        <f>SUM(C25:H25)-I40</f>
        <v>0</v>
      </c>
    </row>
    <row r="43" spans="1:10" x14ac:dyDescent="0.3">
      <c r="A43" s="62" t="s">
        <v>195</v>
      </c>
      <c r="B43" s="62" t="s">
        <v>183</v>
      </c>
      <c r="C43" s="62" t="s">
        <v>187</v>
      </c>
      <c r="D43" s="62" t="s">
        <v>185</v>
      </c>
      <c r="E43" s="62" t="s">
        <v>188</v>
      </c>
      <c r="F43" s="62" t="s">
        <v>189</v>
      </c>
      <c r="G43" s="62" t="s">
        <v>190</v>
      </c>
      <c r="H43" s="62" t="s">
        <v>191</v>
      </c>
      <c r="I43" s="62" t="s">
        <v>192</v>
      </c>
    </row>
    <row r="44" spans="1:10" x14ac:dyDescent="0.3">
      <c r="A44" s="44" t="s">
        <v>193</v>
      </c>
      <c r="B44" s="60">
        <v>9296897</v>
      </c>
      <c r="C44" s="60">
        <v>2011113.98</v>
      </c>
      <c r="D44" s="60">
        <v>0</v>
      </c>
      <c r="E44" s="60">
        <v>0</v>
      </c>
      <c r="F44" s="60">
        <v>0</v>
      </c>
      <c r="G44" s="60">
        <v>9296897</v>
      </c>
      <c r="H44" s="60">
        <v>2011113.98</v>
      </c>
      <c r="I44" s="60">
        <v>11308010.98</v>
      </c>
    </row>
    <row r="45" spans="1:10" x14ac:dyDescent="0.3">
      <c r="B45" s="63">
        <f>SUM(I27:N27)-B44</f>
        <v>0</v>
      </c>
      <c r="C45" s="63">
        <f>SUM(I28:N28)-C44</f>
        <v>0</v>
      </c>
      <c r="D45" s="63">
        <f>SUM(I29:N29)-D44</f>
        <v>0</v>
      </c>
      <c r="E45" s="63">
        <f>SUM(I29:N29)*B20-E44</f>
        <v>0</v>
      </c>
      <c r="F45" s="63">
        <f>SUM(I29:N29)*B21-F44</f>
        <v>0</v>
      </c>
      <c r="G45" s="63">
        <f>SUM(I23:N23)-G44</f>
        <v>0</v>
      </c>
      <c r="H45" s="63">
        <f>SUM(I24:N24)-H44</f>
        <v>0</v>
      </c>
      <c r="I45" s="63">
        <f>SUM(I25:N25)-I44</f>
        <v>0</v>
      </c>
    </row>
    <row r="47" spans="1:10" x14ac:dyDescent="0.3">
      <c r="E47" s="44" t="s">
        <v>196</v>
      </c>
    </row>
    <row r="48" spans="1:10" x14ac:dyDescent="0.3">
      <c r="E48" s="44" t="s">
        <v>197</v>
      </c>
    </row>
    <row r="49" spans="2:12" x14ac:dyDescent="0.3">
      <c r="E49" s="44" t="s">
        <v>198</v>
      </c>
    </row>
    <row r="52" spans="2:12" x14ac:dyDescent="0.3">
      <c r="B52" s="44" t="s">
        <v>199</v>
      </c>
      <c r="L52" s="65"/>
    </row>
    <row r="53" spans="2:12" x14ac:dyDescent="0.3">
      <c r="L53" s="65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90" zoomScaleNormal="90" workbookViewId="0">
      <pane ySplit="9" topLeftCell="A10" activePane="bottomLeft" state="frozen"/>
      <selection sqref="A1:XFD1048576"/>
      <selection pane="bottomLeft" sqref="A1:XFD1048576"/>
    </sheetView>
  </sheetViews>
  <sheetFormatPr defaultColWidth="9.109375" defaultRowHeight="13.2" x14ac:dyDescent="0.25"/>
  <cols>
    <col min="1" max="1" width="41.88671875" style="15" customWidth="1"/>
    <col min="2" max="2" width="18.109375" style="15" bestFit="1" customWidth="1"/>
    <col min="3" max="4" width="17" style="15" bestFit="1" customWidth="1"/>
    <col min="5" max="5" width="16" style="15" bestFit="1" customWidth="1"/>
    <col min="6" max="6" width="17" style="15" bestFit="1" customWidth="1"/>
    <col min="7" max="16384" width="9.109375" style="15"/>
  </cols>
  <sheetData>
    <row r="1" spans="1:6" ht="13.8" x14ac:dyDescent="0.25">
      <c r="A1" s="13" t="s">
        <v>30</v>
      </c>
      <c r="B1" s="13"/>
      <c r="C1" s="14"/>
      <c r="D1" s="14"/>
      <c r="E1" s="14"/>
      <c r="F1" s="14"/>
    </row>
    <row r="2" spans="1:6" ht="13.8" x14ac:dyDescent="0.25">
      <c r="A2" s="13" t="s">
        <v>71</v>
      </c>
      <c r="B2" s="13"/>
      <c r="C2" s="14"/>
      <c r="D2" s="14"/>
      <c r="E2" s="14"/>
      <c r="F2" s="14"/>
    </row>
    <row r="3" spans="1:6" ht="13.8" x14ac:dyDescent="0.25">
      <c r="A3" s="13" t="s">
        <v>200</v>
      </c>
      <c r="B3" s="13"/>
      <c r="C3" s="14"/>
      <c r="D3" s="14"/>
      <c r="E3" s="14"/>
      <c r="F3" s="14"/>
    </row>
    <row r="4" spans="1:6" x14ac:dyDescent="0.25">
      <c r="A4" s="16" t="s">
        <v>70</v>
      </c>
      <c r="B4" s="17"/>
      <c r="C4" s="14"/>
      <c r="D4" s="14"/>
      <c r="E4" s="14"/>
      <c r="F4" s="14"/>
    </row>
    <row r="5" spans="1:6" x14ac:dyDescent="0.25">
      <c r="A5" s="17" t="s">
        <v>55</v>
      </c>
      <c r="B5" s="18"/>
      <c r="C5" s="14"/>
      <c r="D5" s="14"/>
      <c r="E5" s="14"/>
      <c r="F5" s="14"/>
    </row>
    <row r="6" spans="1:6" x14ac:dyDescent="0.25">
      <c r="A6" s="19" t="s">
        <v>55</v>
      </c>
      <c r="B6" s="20"/>
    </row>
    <row r="7" spans="1:6" x14ac:dyDescent="0.25">
      <c r="A7" s="21"/>
      <c r="B7" s="22" t="s">
        <v>66</v>
      </c>
      <c r="C7" s="22" t="s">
        <v>66</v>
      </c>
      <c r="D7" s="22" t="s">
        <v>66</v>
      </c>
      <c r="E7" s="22" t="s">
        <v>66</v>
      </c>
      <c r="F7" s="22" t="s">
        <v>66</v>
      </c>
    </row>
    <row r="8" spans="1:6" ht="13.2" hidden="1" customHeight="1" x14ac:dyDescent="0.25">
      <c r="A8" s="21"/>
      <c r="B8" s="21"/>
      <c r="C8" s="21"/>
      <c r="D8" s="21"/>
      <c r="E8" s="21"/>
      <c r="F8" s="23">
        <v>2014</v>
      </c>
    </row>
    <row r="9" spans="1:6" ht="12.75" customHeight="1" x14ac:dyDescent="0.25">
      <c r="A9" s="24" t="s">
        <v>69</v>
      </c>
      <c r="B9" s="23">
        <v>2018</v>
      </c>
      <c r="C9" s="23">
        <v>2017</v>
      </c>
      <c r="D9" s="23">
        <v>2016</v>
      </c>
      <c r="E9" s="23">
        <v>2015</v>
      </c>
      <c r="F9" s="23">
        <v>2014</v>
      </c>
    </row>
    <row r="10" spans="1:6" ht="16.2" customHeight="1" x14ac:dyDescent="0.25">
      <c r="A10" s="25"/>
      <c r="B10" s="26"/>
    </row>
    <row r="11" spans="1:6" ht="16.2" customHeight="1" x14ac:dyDescent="0.3">
      <c r="A11" s="27" t="s">
        <v>65</v>
      </c>
      <c r="B11" s="28">
        <v>1196268238.4200001</v>
      </c>
      <c r="C11" s="29">
        <v>1206580502.9400001</v>
      </c>
      <c r="D11" s="30">
        <v>1133862487.3</v>
      </c>
      <c r="E11" s="30">
        <v>972482415.11000001</v>
      </c>
      <c r="F11" s="30">
        <v>1094161314.3900001</v>
      </c>
    </row>
    <row r="12" spans="1:6" ht="16.2" customHeight="1" x14ac:dyDescent="0.3">
      <c r="A12" s="27" t="s">
        <v>64</v>
      </c>
      <c r="B12" s="28">
        <v>897241305.27999997</v>
      </c>
      <c r="C12" s="29">
        <v>886859926.16999996</v>
      </c>
      <c r="D12" s="29">
        <v>871447338.10000002</v>
      </c>
      <c r="E12" s="29">
        <v>834490539.30999994</v>
      </c>
      <c r="F12" s="29">
        <v>850004365.10000002</v>
      </c>
    </row>
    <row r="13" spans="1:6" ht="16.2" customHeight="1" x14ac:dyDescent="0.3">
      <c r="A13" s="27" t="s">
        <v>63</v>
      </c>
      <c r="B13" s="28">
        <v>112088641.86</v>
      </c>
      <c r="C13" s="29">
        <v>112775056.37</v>
      </c>
      <c r="D13" s="29">
        <v>114104395.95999999</v>
      </c>
      <c r="E13" s="29">
        <v>110630822.8</v>
      </c>
      <c r="F13" s="29">
        <v>109112240</v>
      </c>
    </row>
    <row r="14" spans="1:6" ht="16.2" customHeight="1" x14ac:dyDescent="0.3">
      <c r="A14" s="27" t="s">
        <v>62</v>
      </c>
      <c r="B14" s="28">
        <v>19087272.260000002</v>
      </c>
      <c r="C14" s="29">
        <v>19260556.640000001</v>
      </c>
      <c r="D14" s="29">
        <v>19870616.940000001</v>
      </c>
      <c r="E14" s="29">
        <v>19891781.289999999</v>
      </c>
      <c r="F14" s="29">
        <v>18350533.440000001</v>
      </c>
    </row>
    <row r="15" spans="1:6" ht="16.2" customHeight="1" x14ac:dyDescent="0.3">
      <c r="A15" s="27" t="s">
        <v>61</v>
      </c>
      <c r="B15" s="28">
        <v>342378.54</v>
      </c>
      <c r="C15" s="29">
        <v>352068.21</v>
      </c>
      <c r="D15" s="29">
        <v>324713.43</v>
      </c>
      <c r="E15" s="29">
        <v>318609.98</v>
      </c>
      <c r="F15" s="29">
        <v>355232.6</v>
      </c>
    </row>
    <row r="16" spans="1:6" ht="16.2" customHeight="1" x14ac:dyDescent="0.25">
      <c r="A16" s="31" t="s">
        <v>60</v>
      </c>
      <c r="B16" s="32">
        <f>SUM(B11:B15)</f>
        <v>2225027836.3600001</v>
      </c>
      <c r="C16" s="32">
        <f t="shared" ref="C16:E16" si="0">SUM(C11:C15)</f>
        <v>2225828110.3299999</v>
      </c>
      <c r="D16" s="32">
        <f t="shared" si="0"/>
        <v>2139609551.7300003</v>
      </c>
      <c r="E16" s="32">
        <f t="shared" si="0"/>
        <v>1937814168.49</v>
      </c>
      <c r="F16" s="32">
        <f>SUM(F11:F15)</f>
        <v>2071983685.5300002</v>
      </c>
    </row>
    <row r="17" spans="1:6" ht="16.2" customHeight="1" x14ac:dyDescent="0.25">
      <c r="A17" s="27" t="s">
        <v>59</v>
      </c>
      <c r="B17" s="33">
        <v>0</v>
      </c>
      <c r="C17" s="33">
        <v>0</v>
      </c>
      <c r="D17" s="33">
        <v>0</v>
      </c>
      <c r="E17" s="33">
        <v>0</v>
      </c>
      <c r="F17" s="34">
        <v>-2013980.97</v>
      </c>
    </row>
    <row r="18" spans="1:6" ht="16.2" customHeight="1" x14ac:dyDescent="0.25">
      <c r="A18" s="31" t="s">
        <v>58</v>
      </c>
      <c r="B18" s="35">
        <f>SUM(B16:B17)</f>
        <v>2225027836.3600001</v>
      </c>
      <c r="C18" s="35">
        <f t="shared" ref="C18:F18" si="1">SUM(C16:C17)</f>
        <v>2225828110.3299999</v>
      </c>
      <c r="D18" s="35">
        <f t="shared" si="1"/>
        <v>2139609551.7300003</v>
      </c>
      <c r="E18" s="35">
        <f t="shared" si="1"/>
        <v>1937814168.49</v>
      </c>
      <c r="F18" s="35">
        <f t="shared" si="1"/>
        <v>2069969704.5600002</v>
      </c>
    </row>
    <row r="19" spans="1:6" ht="16.2" customHeight="1" x14ac:dyDescent="0.25">
      <c r="A19" s="31"/>
      <c r="B19" s="33"/>
      <c r="C19" s="36"/>
      <c r="D19" s="36"/>
      <c r="E19" s="36"/>
      <c r="F19" s="36"/>
    </row>
    <row r="20" spans="1:6" ht="16.2" customHeight="1" x14ac:dyDescent="0.3">
      <c r="A20" s="27" t="s">
        <v>57</v>
      </c>
      <c r="B20" s="28">
        <v>13839776.6</v>
      </c>
      <c r="C20" s="29">
        <v>11694031.74</v>
      </c>
      <c r="D20" s="29">
        <v>10594752.65</v>
      </c>
      <c r="E20" s="29">
        <v>9752998.5800000001</v>
      </c>
      <c r="F20" s="29">
        <v>9650154.4900000002</v>
      </c>
    </row>
    <row r="21" spans="1:6" ht="16.2" customHeight="1" x14ac:dyDescent="0.3">
      <c r="A21" s="27" t="s">
        <v>56</v>
      </c>
      <c r="B21" s="28">
        <v>66034871.479999997</v>
      </c>
      <c r="C21" s="29">
        <v>50098528.460000001</v>
      </c>
      <c r="D21" s="29">
        <v>54786786.670000002</v>
      </c>
      <c r="E21" s="29">
        <v>38417260.890000001</v>
      </c>
      <c r="F21" s="29">
        <v>52229082.280000001</v>
      </c>
    </row>
    <row r="22" spans="1:6" ht="16.2" customHeight="1" x14ac:dyDescent="0.25">
      <c r="A22" s="37" t="s">
        <v>68</v>
      </c>
      <c r="B22" s="35">
        <f>SUM(B18:B21)</f>
        <v>2304902484.4400001</v>
      </c>
      <c r="C22" s="35">
        <f t="shared" ref="C22:F22" si="2">SUM(C18:C21)</f>
        <v>2287620670.5299997</v>
      </c>
      <c r="D22" s="35">
        <f t="shared" si="2"/>
        <v>2204991091.0500002</v>
      </c>
      <c r="E22" s="35">
        <f t="shared" si="2"/>
        <v>1985984427.96</v>
      </c>
      <c r="F22" s="35">
        <f t="shared" si="2"/>
        <v>2131848941.3300002</v>
      </c>
    </row>
    <row r="23" spans="1:6" ht="16.2" customHeight="1" x14ac:dyDescent="0.3">
      <c r="A23" s="27" t="s">
        <v>75</v>
      </c>
      <c r="B23" s="28">
        <v>11564552.289999999</v>
      </c>
      <c r="C23" s="29">
        <v>9496232.2899999991</v>
      </c>
      <c r="D23" s="29">
        <v>-20561353.420000002</v>
      </c>
      <c r="E23" s="29">
        <v>-8920275.9800000004</v>
      </c>
      <c r="F23" s="33">
        <v>8605960.6199999992</v>
      </c>
    </row>
    <row r="24" spans="1:6" ht="16.2" customHeight="1" x14ac:dyDescent="0.3">
      <c r="A24" s="27" t="s">
        <v>72</v>
      </c>
      <c r="B24" s="28">
        <v>19619587.059999999</v>
      </c>
      <c r="C24" s="29">
        <v>17945037.66</v>
      </c>
      <c r="D24" s="29">
        <v>19496447.309999999</v>
      </c>
      <c r="E24" s="29">
        <v>20603229.579999998</v>
      </c>
      <c r="F24" s="33">
        <v>23297079.739999998</v>
      </c>
    </row>
    <row r="25" spans="1:6" ht="16.2" customHeight="1" x14ac:dyDescent="0.3">
      <c r="A25" s="27" t="s">
        <v>77</v>
      </c>
      <c r="B25" s="28">
        <v>-31405766.780000001</v>
      </c>
      <c r="C25" s="29">
        <v>-11722638.5</v>
      </c>
      <c r="D25" s="29">
        <v>5730067.96</v>
      </c>
      <c r="E25" s="29">
        <v>23831650.07</v>
      </c>
      <c r="F25" s="33">
        <v>13349026.15</v>
      </c>
    </row>
    <row r="26" spans="1:6" ht="16.2" customHeight="1" x14ac:dyDescent="0.3">
      <c r="A26" s="27" t="s">
        <v>76</v>
      </c>
      <c r="B26" s="38">
        <v>119053793.42</v>
      </c>
      <c r="C26" s="34">
        <v>28046475.129999999</v>
      </c>
      <c r="D26" s="34">
        <v>12247037.640000001</v>
      </c>
      <c r="E26" s="34">
        <v>9416782.3699999992</v>
      </c>
      <c r="F26" s="34">
        <v>10264685.140000001</v>
      </c>
    </row>
    <row r="27" spans="1:6" ht="16.2" customHeight="1" x14ac:dyDescent="0.25">
      <c r="A27" s="27" t="s">
        <v>73</v>
      </c>
      <c r="B27" s="34">
        <f>SUM(B23:B26)</f>
        <v>118832165.98999999</v>
      </c>
      <c r="C27" s="34">
        <f t="shared" ref="C27:F27" si="3">SUM(C23:C26)</f>
        <v>43765106.579999998</v>
      </c>
      <c r="D27" s="34">
        <f t="shared" si="3"/>
        <v>16912199.489999998</v>
      </c>
      <c r="E27" s="34">
        <f t="shared" si="3"/>
        <v>44931386.039999999</v>
      </c>
      <c r="F27" s="34">
        <f t="shared" si="3"/>
        <v>55516751.649999999</v>
      </c>
    </row>
    <row r="28" spans="1:6" ht="16.2" customHeight="1" x14ac:dyDescent="0.25">
      <c r="A28" s="39"/>
      <c r="B28" s="40"/>
    </row>
    <row r="29" spans="1:6" ht="13.8" thickBot="1" x14ac:dyDescent="0.3">
      <c r="A29" s="31" t="s">
        <v>67</v>
      </c>
      <c r="B29" s="41">
        <f>B27+B22</f>
        <v>2423734650.4299998</v>
      </c>
      <c r="C29" s="41">
        <f t="shared" ref="C29:F29" si="4">C27+C22</f>
        <v>2331385777.1099997</v>
      </c>
      <c r="D29" s="41">
        <f t="shared" si="4"/>
        <v>2221903290.54</v>
      </c>
      <c r="E29" s="41">
        <f t="shared" si="4"/>
        <v>2030915814</v>
      </c>
      <c r="F29" s="41">
        <f t="shared" si="4"/>
        <v>2187365692.98</v>
      </c>
    </row>
    <row r="30" spans="1:6" ht="13.8" thickTop="1" x14ac:dyDescent="0.25">
      <c r="B30" s="42"/>
      <c r="C30" s="43"/>
      <c r="D30" s="43"/>
      <c r="E30" s="43"/>
      <c r="F30" s="43"/>
    </row>
  </sheetData>
  <printOptions horizontalCentered="1"/>
  <pageMargins left="0.25" right="0.25" top="0.25" bottom="0.38" header="0" footer="0"/>
  <pageSetup scale="83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D24D58-968E-4908-BAE8-370CB8010A7D}"/>
</file>

<file path=customXml/itemProps2.xml><?xml version="1.0" encoding="utf-8"?>
<ds:datastoreItem xmlns:ds="http://schemas.openxmlformats.org/officeDocument/2006/customXml" ds:itemID="{65B78C9E-B60E-47F8-9C5F-7D9570FA6938}"/>
</file>

<file path=customXml/itemProps3.xml><?xml version="1.0" encoding="utf-8"?>
<ds:datastoreItem xmlns:ds="http://schemas.openxmlformats.org/officeDocument/2006/customXml" ds:itemID="{D7537826-8FC0-4743-8681-7AAE0C66A56E}"/>
</file>

<file path=customXml/itemProps4.xml><?xml version="1.0" encoding="utf-8"?>
<ds:datastoreItem xmlns:ds="http://schemas.openxmlformats.org/officeDocument/2006/customXml" ds:itemID="{C98EAB16-333A-48D7-88EE-D233526074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Summary</vt:lpstr>
      <vt:lpstr>3-YR AVERAGE-ELEC</vt:lpstr>
      <vt:lpstr>NetWriteoffs-Elec</vt:lpstr>
      <vt:lpstr>BS Acct-Elec</vt:lpstr>
      <vt:lpstr>ZO12</vt:lpstr>
      <vt:lpstr>SOE 12 ME 8-2018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Peterson, Pete</cp:lastModifiedBy>
  <cp:lastPrinted>2018-03-01T15:53:07Z</cp:lastPrinted>
  <dcterms:created xsi:type="dcterms:W3CDTF">2010-08-24T19:04:01Z</dcterms:created>
  <dcterms:modified xsi:type="dcterms:W3CDTF">2020-02-28T19:40:09Z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