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ustomProperty10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3260" yWindow="1836" windowWidth="9636" windowHeight="7332" tabRatio="833"/>
  </bookViews>
  <sheets>
    <sheet name="Lead Electric" sheetId="79" r:id="rId1"/>
    <sheet name="Rev Req Summary" sheetId="85" r:id="rId2"/>
    <sheet name="Powerex for Microsoft" sheetId="84" r:id="rId3"/>
    <sheet name="SCh 95A Amort 12ME 12-2018" sheetId="71" r:id="rId4"/>
    <sheet name="456 Decoup Rev 12ME 12-2018" sheetId="70" r:id="rId5"/>
    <sheet name="FIT Over Coll 12ME 12-2018" sheetId="72" r:id="rId6"/>
    <sheet name="ZO12 45600154 GAAP 12ME 12-2018" sheetId="73" r:id="rId7"/>
    <sheet name="PTC" sheetId="74" r:id="rId8"/>
    <sheet name="Transp Oth Op" sheetId="75" r:id="rId9"/>
    <sheet name="Sch 142 break out" sheetId="76" r:id="rId10"/>
  </sheets>
  <definedNames>
    <definedName name="_xlnm.Print_Area" localSheetId="4">'456 Decoup Rev 12ME 12-2018'!$A$1:$D$26</definedName>
  </definedNames>
  <calcPr calcId="162913"/>
</workbook>
</file>

<file path=xl/calcChain.xml><?xml version="1.0" encoding="utf-8"?>
<calcChain xmlns="http://schemas.openxmlformats.org/spreadsheetml/2006/main">
  <c r="C124" i="79" l="1"/>
  <c r="C123" i="79"/>
  <c r="C122" i="79"/>
  <c r="C121" i="79"/>
  <c r="C120" i="79"/>
  <c r="C119" i="79"/>
  <c r="H122" i="79"/>
  <c r="G122" i="79"/>
  <c r="F122" i="79"/>
  <c r="H120" i="79"/>
  <c r="G120" i="79"/>
  <c r="F120" i="79"/>
  <c r="H115" i="79"/>
  <c r="G115" i="79"/>
  <c r="F115" i="79"/>
  <c r="H114" i="79"/>
  <c r="G114" i="79"/>
  <c r="F114" i="79"/>
  <c r="H113" i="79"/>
  <c r="G113" i="79"/>
  <c r="F113" i="79"/>
  <c r="H112" i="79"/>
  <c r="G112" i="79"/>
  <c r="F112" i="79"/>
  <c r="H111" i="79"/>
  <c r="G111" i="79"/>
  <c r="F111" i="79"/>
  <c r="H110" i="79"/>
  <c r="G110" i="79"/>
  <c r="F110" i="79"/>
  <c r="H109" i="79"/>
  <c r="G109" i="79"/>
  <c r="F109" i="79"/>
  <c r="H108" i="79"/>
  <c r="G108" i="79"/>
  <c r="F108" i="79"/>
  <c r="H106" i="79"/>
  <c r="G106" i="79"/>
  <c r="F106" i="79"/>
  <c r="H105" i="79"/>
  <c r="G105" i="79"/>
  <c r="F105" i="79"/>
  <c r="H104" i="79"/>
  <c r="G104" i="79"/>
  <c r="F104" i="79"/>
  <c r="H103" i="79"/>
  <c r="G103" i="79"/>
  <c r="F103" i="79"/>
  <c r="H102" i="79"/>
  <c r="G102" i="79"/>
  <c r="F102" i="79"/>
  <c r="H101" i="79"/>
  <c r="G101" i="79"/>
  <c r="F101" i="79"/>
  <c r="H100" i="79"/>
  <c r="G100" i="79"/>
  <c r="F100" i="79"/>
  <c r="H99" i="79"/>
  <c r="G99" i="79"/>
  <c r="F99" i="79"/>
  <c r="F95" i="79"/>
  <c r="H94" i="79"/>
  <c r="G94" i="79"/>
  <c r="F94" i="79"/>
  <c r="F92" i="79"/>
  <c r="F91" i="79"/>
  <c r="E122" i="79"/>
  <c r="E120" i="79"/>
  <c r="E115" i="79"/>
  <c r="E114" i="79"/>
  <c r="E113" i="79"/>
  <c r="E112" i="79"/>
  <c r="E111" i="79"/>
  <c r="E110" i="79"/>
  <c r="E109" i="79"/>
  <c r="E108" i="79"/>
  <c r="E106" i="79"/>
  <c r="E105" i="79"/>
  <c r="E104" i="79"/>
  <c r="E103" i="79"/>
  <c r="E102" i="79"/>
  <c r="E101" i="79"/>
  <c r="E100" i="79"/>
  <c r="E99" i="79"/>
  <c r="E95" i="79"/>
  <c r="E94" i="79"/>
  <c r="E92" i="79"/>
  <c r="E91" i="79"/>
  <c r="C117" i="79" l="1"/>
  <c r="H33" i="79" l="1"/>
  <c r="D30" i="79"/>
  <c r="E26" i="79"/>
  <c r="G26" i="79" s="1"/>
  <c r="G28" i="79" l="1"/>
  <c r="B32" i="76" l="1"/>
  <c r="E37" i="79" l="1"/>
  <c r="E36" i="79"/>
  <c r="E20" i="79"/>
  <c r="E96" i="79" s="1"/>
  <c r="G20" i="79" l="1"/>
  <c r="G96" i="79" s="1"/>
  <c r="H20" i="79" l="1"/>
  <c r="H96" i="79" s="1"/>
  <c r="E17" i="79"/>
  <c r="E93" i="79" s="1"/>
  <c r="C8" i="85"/>
  <c r="A9" i="85"/>
  <c r="A10" i="85" s="1"/>
  <c r="A11" i="85" s="1"/>
  <c r="A12" i="85" s="1"/>
  <c r="A13" i="85" s="1"/>
  <c r="A14" i="85" s="1"/>
  <c r="A15" i="85" s="1"/>
  <c r="A16" i="85" s="1"/>
  <c r="A17" i="85" s="1"/>
  <c r="A18" i="85" s="1"/>
  <c r="A19" i="85" s="1"/>
  <c r="A20" i="85" s="1"/>
  <c r="A21" i="85" s="1"/>
  <c r="A22" i="85" s="1"/>
  <c r="A23" i="85" s="1"/>
  <c r="A24" i="85" s="1"/>
  <c r="A25" i="85" s="1"/>
  <c r="A26" i="85" s="1"/>
  <c r="A27" i="85" s="1"/>
  <c r="A28" i="85" s="1"/>
  <c r="A29" i="85" s="1"/>
  <c r="A30" i="85" s="1"/>
  <c r="A31" i="85" s="1"/>
  <c r="A32" i="85" s="1"/>
  <c r="A33" i="85" s="1"/>
  <c r="A34" i="85" s="1"/>
  <c r="A35" i="85" s="1"/>
  <c r="A36" i="85" s="1"/>
  <c r="A37" i="85" s="1"/>
  <c r="A38" i="85" s="1"/>
  <c r="A39" i="85" s="1"/>
  <c r="C11" i="85"/>
  <c r="C12" i="85"/>
  <c r="C13" i="85"/>
  <c r="C14" i="85"/>
  <c r="C15" i="85"/>
  <c r="C16" i="85"/>
  <c r="C17" i="85"/>
  <c r="C18" i="85"/>
  <c r="C19" i="85"/>
  <c r="C20" i="85"/>
  <c r="C21" i="85"/>
  <c r="C22" i="85"/>
  <c r="C23" i="85"/>
  <c r="D24" i="85"/>
  <c r="E24" i="85"/>
  <c r="F24" i="85"/>
  <c r="C29" i="85"/>
  <c r="C30" i="85"/>
  <c r="C31" i="85"/>
  <c r="C32" i="85"/>
  <c r="G15" i="79" l="1"/>
  <c r="G91" i="79" s="1"/>
  <c r="B2" i="76"/>
  <c r="E14" i="79"/>
  <c r="E90" i="79" s="1"/>
  <c r="E13" i="79"/>
  <c r="E89" i="79" s="1"/>
  <c r="E21" i="79"/>
  <c r="E97" i="79" s="1"/>
  <c r="G16" i="79"/>
  <c r="G92" i="79" s="1"/>
  <c r="F26" i="85"/>
  <c r="E26" i="85"/>
  <c r="D26" i="85"/>
  <c r="G17" i="79"/>
  <c r="G93" i="79" s="1"/>
  <c r="C33" i="85"/>
  <c r="G19" i="79"/>
  <c r="G95" i="79" s="1"/>
  <c r="C24" i="85"/>
  <c r="F17" i="79"/>
  <c r="F93" i="79" s="1"/>
  <c r="H17" i="79" l="1"/>
  <c r="H93" i="79" s="1"/>
  <c r="G21" i="79"/>
  <c r="G97" i="79" s="1"/>
  <c r="F13" i="79"/>
  <c r="F89" i="79" s="1"/>
  <c r="F36" i="85"/>
  <c r="E36" i="85"/>
  <c r="D36" i="85"/>
  <c r="C26" i="85"/>
  <c r="C36" i="85" s="1"/>
  <c r="F21" i="84"/>
  <c r="J20" i="84"/>
  <c r="H20" i="84"/>
  <c r="J19" i="84"/>
  <c r="H19" i="84"/>
  <c r="J18" i="84"/>
  <c r="H18" i="84"/>
  <c r="J17" i="84"/>
  <c r="H17" i="84"/>
  <c r="J16" i="84"/>
  <c r="H16" i="84"/>
  <c r="J15" i="84"/>
  <c r="H15" i="84"/>
  <c r="J14" i="84"/>
  <c r="H14" i="84"/>
  <c r="J21" i="84" l="1"/>
  <c r="H21" i="84"/>
  <c r="G29" i="79"/>
  <c r="H29" i="79" s="1"/>
  <c r="H21" i="79"/>
  <c r="H97" i="79" s="1"/>
  <c r="F39" i="85"/>
  <c r="E39" i="85"/>
  <c r="D39" i="85"/>
  <c r="C39" i="85"/>
  <c r="F28" i="79"/>
  <c r="F26" i="79"/>
  <c r="F25" i="79"/>
  <c r="F15" i="79"/>
  <c r="F16" i="79"/>
  <c r="F19" i="79"/>
  <c r="F20" i="79"/>
  <c r="F96" i="79" s="1"/>
  <c r="F21" i="79"/>
  <c r="F97" i="79" s="1"/>
  <c r="D38" i="79"/>
  <c r="D22" i="79"/>
  <c r="H19" i="79" l="1"/>
  <c r="H95" i="79" s="1"/>
  <c r="H15" i="79"/>
  <c r="H91" i="79" s="1"/>
  <c r="H16" i="79"/>
  <c r="H92" i="79" s="1"/>
  <c r="D31" i="79"/>
  <c r="G13" i="79" l="1"/>
  <c r="G89" i="79" s="1"/>
  <c r="A14" i="79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F14" i="79"/>
  <c r="F90" i="79" s="1"/>
  <c r="H13" i="79" l="1"/>
  <c r="H89" i="79" s="1"/>
  <c r="G14" i="79"/>
  <c r="G90" i="79" s="1"/>
  <c r="H14" i="79" l="1"/>
  <c r="H90" i="79" s="1"/>
  <c r="H28" i="79" l="1"/>
  <c r="H26" i="79"/>
  <c r="D16" i="70"/>
  <c r="D15" i="70"/>
  <c r="D14" i="70"/>
  <c r="D13" i="70"/>
  <c r="D11" i="70"/>
  <c r="D7" i="70"/>
  <c r="C25" i="70"/>
  <c r="C24" i="70"/>
  <c r="C23" i="70"/>
  <c r="C22" i="70"/>
  <c r="C21" i="70"/>
  <c r="C20" i="70"/>
  <c r="C19" i="70"/>
  <c r="C18" i="70"/>
  <c r="C17" i="70"/>
  <c r="C12" i="70"/>
  <c r="C10" i="70"/>
  <c r="C9" i="70"/>
  <c r="C8" i="70"/>
  <c r="C6" i="70"/>
  <c r="B3" i="76" l="1"/>
  <c r="B16" i="75"/>
  <c r="E27" i="79" s="1"/>
  <c r="E18" i="79" l="1"/>
  <c r="G27" i="79"/>
  <c r="H27" i="79" s="1"/>
  <c r="F27" i="79"/>
  <c r="F18" i="79" l="1"/>
  <c r="F22" i="79" s="1"/>
  <c r="F98" i="79" s="1"/>
  <c r="G18" i="79"/>
  <c r="H18" i="79" s="1"/>
  <c r="E22" i="79"/>
  <c r="E98" i="79" s="1"/>
  <c r="H22" i="79"/>
  <c r="H98" i="79" s="1"/>
  <c r="G22" i="79"/>
  <c r="G98" i="79" s="1"/>
  <c r="F37" i="79" l="1"/>
  <c r="G37" i="79" l="1"/>
  <c r="H37" i="79" l="1"/>
  <c r="B26" i="70"/>
  <c r="F36" i="79" l="1"/>
  <c r="E38" i="79"/>
  <c r="D26" i="70"/>
  <c r="E24" i="79" s="1"/>
  <c r="E30" i="79" s="1"/>
  <c r="C26" i="70"/>
  <c r="H25" i="79" l="1"/>
  <c r="G25" i="79"/>
  <c r="F38" i="79"/>
  <c r="G36" i="79"/>
  <c r="F24" i="79"/>
  <c r="F30" i="79" s="1"/>
  <c r="E31" i="79"/>
  <c r="E107" i="79" s="1"/>
  <c r="B5" i="76"/>
  <c r="H36" i="79" l="1"/>
  <c r="G24" i="79"/>
  <c r="G30" i="79" s="1"/>
  <c r="G38" i="79"/>
  <c r="H38" i="79" l="1"/>
  <c r="H24" i="79"/>
  <c r="H30" i="79" s="1"/>
  <c r="F31" i="79"/>
  <c r="F107" i="79" s="1"/>
  <c r="G31" i="79" l="1"/>
  <c r="G107" i="79" s="1"/>
  <c r="H31" i="79"/>
  <c r="H107" i="79" s="1"/>
  <c r="E41" i="79" l="1"/>
  <c r="E117" i="79" s="1"/>
  <c r="D41" i="79" l="1"/>
  <c r="F41" i="79"/>
  <c r="F117" i="79" s="1"/>
  <c r="G41" i="79"/>
  <c r="G117" i="79" s="1"/>
  <c r="H41" i="79" l="1"/>
  <c r="H117" i="79" s="1"/>
  <c r="C116" i="79" l="1"/>
  <c r="D40" i="79"/>
  <c r="F40" i="79"/>
  <c r="G40" i="79"/>
  <c r="E40" i="79"/>
  <c r="E116" i="79" l="1"/>
  <c r="E43" i="79"/>
  <c r="G116" i="79"/>
  <c r="H40" i="79"/>
  <c r="G43" i="79"/>
  <c r="F116" i="79"/>
  <c r="C118" i="79"/>
  <c r="E42" i="79"/>
  <c r="E118" i="79" s="1"/>
  <c r="D42" i="79"/>
  <c r="D43" i="79" s="1"/>
  <c r="D45" i="79" s="1"/>
  <c r="D47" i="79" s="1"/>
  <c r="D48" i="79" s="1"/>
  <c r="F42" i="79"/>
  <c r="F118" i="79" s="1"/>
  <c r="G42" i="79"/>
  <c r="F43" i="79" l="1"/>
  <c r="F45" i="79"/>
  <c r="F119" i="79"/>
  <c r="H116" i="79"/>
  <c r="G45" i="79"/>
  <c r="G119" i="79"/>
  <c r="G118" i="79"/>
  <c r="H42" i="79"/>
  <c r="H118" i="79" s="1"/>
  <c r="E45" i="79"/>
  <c r="E119" i="79"/>
  <c r="E121" i="79" l="1"/>
  <c r="E47" i="79"/>
  <c r="E123" i="79" s="1"/>
  <c r="H43" i="79"/>
  <c r="G47" i="79"/>
  <c r="G123" i="79" s="1"/>
  <c r="G121" i="79"/>
  <c r="G48" i="79"/>
  <c r="G124" i="79" s="1"/>
  <c r="F121" i="79"/>
  <c r="F47" i="79"/>
  <c r="F123" i="79" s="1"/>
  <c r="E48" i="79" l="1"/>
  <c r="E124" i="79" s="1"/>
  <c r="F48" i="79"/>
  <c r="F124" i="79" s="1"/>
  <c r="H45" i="79"/>
  <c r="H119" i="79"/>
  <c r="H121" i="79" l="1"/>
  <c r="H47" i="79"/>
  <c r="H123" i="79" s="1"/>
  <c r="H48" i="79"/>
  <c r="H124" i="79" s="1"/>
</calcChain>
</file>

<file path=xl/sharedStrings.xml><?xml version="1.0" encoding="utf-8"?>
<sst xmlns="http://schemas.openxmlformats.org/spreadsheetml/2006/main" count="312" uniqueCount="171">
  <si>
    <t>Firm Resale</t>
  </si>
  <si>
    <t>Line No.</t>
  </si>
  <si>
    <t>Difference</t>
  </si>
  <si>
    <t>Total</t>
  </si>
  <si>
    <t>Description</t>
  </si>
  <si>
    <t>Temperature Adjustment</t>
  </si>
  <si>
    <t>Schedule 40 Adjustment</t>
  </si>
  <si>
    <t>Sales of Electricity</t>
  </si>
  <si>
    <t>PSE</t>
  </si>
  <si>
    <t>Proforma Revenue Summary</t>
  </si>
  <si>
    <t>Revenue Requirements</t>
  </si>
  <si>
    <t>Retail Customers</t>
  </si>
  <si>
    <t>Proforma Sales of Electricity</t>
  </si>
  <si>
    <t>Decoupling</t>
  </si>
  <si>
    <t>Check</t>
  </si>
  <si>
    <t>(a)</t>
  </si>
  <si>
    <t>(b)</t>
  </si>
  <si>
    <t>(c)</t>
  </si>
  <si>
    <t>(d)</t>
  </si>
  <si>
    <t>(e)</t>
  </si>
  <si>
    <t>LINE</t>
  </si>
  <si>
    <t>NO.</t>
  </si>
  <si>
    <t>DESCRIPTION</t>
  </si>
  <si>
    <t>ADJUSTMENT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</si>
  <si>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</si>
  <si>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</si>
  <si>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</si>
  <si>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</si>
  <si>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 OPERATING REVENUES</t>
  </si>
  <si>
    <t>REMOVE OVEREARNINGS ACCRUALS</t>
  </si>
  <si>
    <t>REMOVE SCHEDULE 95A TREASURY GRANTS AMORTIZATION OF INTEREST AND GRANTS</t>
  </si>
  <si>
    <t>TOTAL INCREASE (DECREASE) EXPENSES</t>
  </si>
  <si>
    <t>UNCOLLECTIBLES @</t>
  </si>
  <si>
    <t>ANNUAL FILING FEE @</t>
  </si>
  <si>
    <t>TOTAL INCREASE (DECREASE) RSI</t>
  </si>
  <si>
    <t>INCREASE (DECREASE) INCOME</t>
  </si>
  <si>
    <t>INCREASE (DECREASE) FIT @</t>
  </si>
  <si>
    <t>INCREASE (DECREASE) NOI</t>
  </si>
  <si>
    <t>Orders</t>
  </si>
  <si>
    <t>40740081  WH US Treasury Grants Amort UE-120277</t>
  </si>
  <si>
    <t>40740082  LSR US Treasury Grant Amort UE-122001</t>
  </si>
  <si>
    <t>40740121  WH US Treasury Interest Amort UE-120277</t>
  </si>
  <si>
    <t>40740122  LSR US Treasury Interest Amort UE-122001</t>
  </si>
  <si>
    <t>OTHER</t>
  </si>
  <si>
    <t>45600338  9900 - Electric ROR Accrual-Commercial</t>
  </si>
  <si>
    <t>45600330  9900 - Electric ROR Accrual-Industrial</t>
  </si>
  <si>
    <t>45600322  9900 - Electric ROR Accrual-Residential</t>
  </si>
  <si>
    <t>45600321  9900-Electric Residential Decoupling Rev</t>
  </si>
  <si>
    <t>45600323  9900-Elec NonResid Decoupl GAAP UnernRev</t>
  </si>
  <si>
    <t>45600325  Electric Schedule 26 Decoupling Revenue</t>
  </si>
  <si>
    <t>45600326  Electric Schedule 31 Decoupling Revenue</t>
  </si>
  <si>
    <t>45600331  9900-Elec Non-Residential Decoupling Rev</t>
  </si>
  <si>
    <t>45600332  9900 - Electric ROR Refund-Commercial</t>
  </si>
  <si>
    <t>45600335  Amort of Sch 142 Electric Sch26 in Rates</t>
  </si>
  <si>
    <t>45600336  Amort of Sch 142 Electric Sch31 in Rates</t>
  </si>
  <si>
    <t>45600337  9900 - Electric ROR Refund-Industrial</t>
  </si>
  <si>
    <t>45600361  9900-Amort of Sch 142 Elec Resid in rate</t>
  </si>
  <si>
    <t>45600371  9900-Amort of Sch 142 Ele NonRes in rate</t>
  </si>
  <si>
    <t>45600381  9900 - Electric ROR Refund-Residential</t>
  </si>
  <si>
    <t>REMOVE CURRENT PERIOD DECOUPLING DEFERRALS</t>
  </si>
  <si>
    <t>Schedule 142 (Estimated Adjustment)</t>
  </si>
  <si>
    <t>FOR THE TWELVE MONTHS ENDED DECEMBER 31, 2018</t>
  </si>
  <si>
    <t>Subtotal Proforma Adjustments</t>
  </si>
  <si>
    <t>Proforma Adjustments:</t>
  </si>
  <si>
    <t>Restated Sales of Electricity</t>
  </si>
  <si>
    <t>Subtotal Restating</t>
  </si>
  <si>
    <t>Other Adjustments for Rate Changes</t>
  </si>
  <si>
    <t xml:space="preserve">Schedule 194 </t>
  </si>
  <si>
    <t xml:space="preserve">Schedule 141 </t>
  </si>
  <si>
    <t xml:space="preserve">Schedule 140 </t>
  </si>
  <si>
    <t xml:space="preserve">Schedule 137 </t>
  </si>
  <si>
    <t>Schedule 135 &amp; 136</t>
  </si>
  <si>
    <t xml:space="preserve">Schedule 133 </t>
  </si>
  <si>
    <t xml:space="preserve">Schedule 132 </t>
  </si>
  <si>
    <t xml:space="preserve">Schedule 129 </t>
  </si>
  <si>
    <t xml:space="preserve">Schedule 120 </t>
  </si>
  <si>
    <t xml:space="preserve">Schedule 95A </t>
  </si>
  <si>
    <t>Schedule 95</t>
  </si>
  <si>
    <t xml:space="preserve">Schedule 81 </t>
  </si>
  <si>
    <t>Delivered Revenue Restating Adjustments:</t>
  </si>
  <si>
    <t>Transportation 449-459-MSSC</t>
  </si>
  <si>
    <t>Twelve Months ended December 2018</t>
  </si>
  <si>
    <t>Act. Costs</t>
  </si>
  <si>
    <t>45600102  E Decoup Rev Sch 8 &amp; 24</t>
  </si>
  <si>
    <t>45600103  E Decoup Rev Sch 7A, 11, 25, 29, 35 &amp; 43</t>
  </si>
  <si>
    <t>45600104  E Decoup Rev Sch 40</t>
  </si>
  <si>
    <t>45600105  E Decoup Rev Sch 7 FPC</t>
  </si>
  <si>
    <t>45600106  E Decoup Rev Sch 8 &amp; 24 FPC</t>
  </si>
  <si>
    <t>45600107  E Dcp Rev Sc 7A, 11, 25, 29, 35 &amp; 43 FPC</t>
  </si>
  <si>
    <t>45600108  E Decoup Rev Sch 40 FPC</t>
  </si>
  <si>
    <t>45600109  E Decoup Rev Sch 12 &amp; 26 FPC</t>
  </si>
  <si>
    <t>45600110  E Decoup Rev Sch 10 &amp; 31 FPC</t>
  </si>
  <si>
    <t xml:space="preserve">  ZO12                      Orders: Actual 12 Month Ended 12-2018</t>
  </si>
  <si>
    <t>12ME 12-2018</t>
  </si>
  <si>
    <t>Earnings Sharing</t>
  </si>
  <si>
    <t xml:space="preserve">  ZO12                      Orders: Actual 12 Month Ended 12ME 12-2018</t>
  </si>
  <si>
    <t>REMOVE REVENUE DEFERRALS FOR TAX REFORM</t>
  </si>
  <si>
    <t>44910001  Provision for rate refunds - Electric</t>
  </si>
  <si>
    <t>45600154  24M GAAP - E Non-Res Sch 40</t>
  </si>
  <si>
    <t>REMOVE 24 M GAAP</t>
  </si>
  <si>
    <t>40730171  1143 - PTC Deferral Post June 2010</t>
  </si>
  <si>
    <t>40730071  CLSD - 1143-PTC Deferral Post June 2010</t>
  </si>
  <si>
    <t>40730021  Amort to Repurposed PTC Reg Liability</t>
  </si>
  <si>
    <t xml:space="preserve">STATE UTILITY TAX </t>
  </si>
  <si>
    <t>ADJUSTMENTS TO SALES TO CUSTOMERS</t>
  </si>
  <si>
    <t>ADJUSTMENTS TO OTHER OPERATING REVENUES</t>
  </si>
  <si>
    <t>OTHER OPERATING EXPENSES</t>
  </si>
  <si>
    <t>REMOVE ACCRUAL FOR FUTURE PTC LIABILITY</t>
  </si>
  <si>
    <t>RECLASSIFY TRANPORTATION REVENUES FROM OTHER OPERATING</t>
  </si>
  <si>
    <t>RECLASSIFY TRANPORTATION REVENUES TO SALES TO CUSTOMERS</t>
  </si>
  <si>
    <t xml:space="preserve">     45610060  4310-Elec Trans Rev - Network 449 Transm</t>
  </si>
  <si>
    <t xml:space="preserve">     45610121  Elec Trans Rev-Ancillary Svcs Sch. 1 449</t>
  </si>
  <si>
    <t xml:space="preserve">     45610122  Elec Trans Rev-Ancillary Svcs Sch. 2 449</t>
  </si>
  <si>
    <t xml:space="preserve">     45610123  Elec Trans Rev-Ancillary Svcs Sch. 3 449</t>
  </si>
  <si>
    <t xml:space="preserve">     45610124  Elec Trans Rev-Ancillary Svcs Sch. 5 449</t>
  </si>
  <si>
    <t xml:space="preserve">     45610125  Elec Trans Rev-Ancillary Svcs Sch. 6 449</t>
  </si>
  <si>
    <t xml:space="preserve">     45610126  Unreserved Use Penalty-Refundable 449</t>
  </si>
  <si>
    <t xml:space="preserve">     45610127  Elec Trans Rev - WA ST Tax - OASIS 449</t>
  </si>
  <si>
    <t xml:space="preserve">     45610128  Elec Trans Rev - Transm Losses 449</t>
  </si>
  <si>
    <t>Ledger Sign</t>
  </si>
  <si>
    <t>SAP Order</t>
  </si>
  <si>
    <t>Total Tranportation Revenues in Other Operating</t>
  </si>
  <si>
    <t>SCHEDULE 40 ADJUSTMENT</t>
  </si>
  <si>
    <t>45600139  E Decoup Amort of Sch 142 - Sch 8 &amp; 24</t>
  </si>
  <si>
    <t>45600141  E Dcp Amort Sch 142-Sc 7A,11,25,29,35,43</t>
  </si>
  <si>
    <t>45600142  E Decoup Amort of Sch 142 - Sch 40 in Ra</t>
  </si>
  <si>
    <t>45600143  E FPC Decoup Amort Sch 142  - Sch 7 in R</t>
  </si>
  <si>
    <t>45600144  E FPC Decoup Amort Sch 142 - Sch 8 &amp; 24</t>
  </si>
  <si>
    <t>45600146  E FPC Decoup Amort Sch 142 - Sch 40 in R</t>
  </si>
  <si>
    <t>45600147  E FPC Decoup Amort Sch 142 - Sch 12 &amp; 26</t>
  </si>
  <si>
    <t>45600148  E FPC Decoup Amort Sch 142 - Sch 10 &amp; 31</t>
  </si>
  <si>
    <t>45600149  E Decoup Amort Sch 142 - Sch 46 &amp; 49 in</t>
  </si>
  <si>
    <t>45600151  E FPC Decoup Amort Sch 142 - Sch 46&amp;49</t>
  </si>
  <si>
    <t>From Cost of Service Files</t>
  </si>
  <si>
    <t>ledger sign</t>
  </si>
  <si>
    <t>Revenue Recovering Amortization of Prior Decoupling Deferrals</t>
  </si>
  <si>
    <t>Revmove Revenue Recovering Amortization of Prior Decoupling Deferrals</t>
  </si>
  <si>
    <t>Revenue Recovering Current Decoupling Deferrals</t>
  </si>
  <si>
    <t>credit</t>
  </si>
  <si>
    <t>debit</t>
  </si>
  <si>
    <t>(c)=(b)-(a)</t>
  </si>
  <si>
    <t>%'s</t>
  </si>
  <si>
    <t>PROFORMA</t>
  </si>
  <si>
    <t>RESTATED</t>
  </si>
  <si>
    <t>ACTUAL</t>
  </si>
  <si>
    <t>TY</t>
  </si>
  <si>
    <t xml:space="preserve">        2019 GENERAL RATE CASE</t>
  </si>
  <si>
    <t>REVENUE AND EXPENSES - ELECTRIC</t>
  </si>
  <si>
    <t xml:space="preserve">  PUGET SOUND ENERGY-ELECTRIC</t>
  </si>
  <si>
    <t>(e)=(d)-(b)</t>
  </si>
  <si>
    <t>POWEREX TRANSMISSION REVENUE FOR MICROSOFT</t>
  </si>
  <si>
    <t>Total projection</t>
  </si>
  <si>
    <t>Losses    (current estimate)</t>
  </si>
  <si>
    <t>Schedule 6 - Reserves - Supplemental</t>
  </si>
  <si>
    <t>Schedule 5 - Reserves - Spinning</t>
  </si>
  <si>
    <t>Schedule 3 - Regulation &amp; Frequency Response Service</t>
  </si>
  <si>
    <t>Schedule 2 - Reactive Control and Voltage Control</t>
  </si>
  <si>
    <t>Schedule 1 - Scheduling, System Control &amp; Dispatch Service</t>
  </si>
  <si>
    <t>Point to Point Transmission Sales</t>
  </si>
  <si>
    <t>Jan - Dec</t>
  </si>
  <si>
    <t>April - Dec</t>
  </si>
  <si>
    <t xml:space="preserve">Monthly </t>
  </si>
  <si>
    <t>Order</t>
  </si>
  <si>
    <t>Powerex for Microsoft</t>
  </si>
  <si>
    <t>TOTAL INCREASE (DECREASE) RETAIL REVENUES</t>
  </si>
  <si>
    <t>Annualize Tax Reform Rates Eff 5-1-18</t>
  </si>
  <si>
    <t>ANNUALIZE TAX REFORM REVENUES EFFECTIVE 5-1-2019 FROM UE-180282 - SALES TO CUSTOMERS</t>
  </si>
  <si>
    <t>ANNUALIZE TAX REFORM REVENUES EFFECTIVE 5-1-2019 FROM UE-180282 - SALES FOR RESALE FIRM</t>
  </si>
  <si>
    <t xml:space="preserve">As Filed </t>
  </si>
  <si>
    <t>ANNUALIZE TAX REFORM REVENUES EFFECTIVE 5-1-2018 FROM UE-180282 - SALES TO CUSTOMERS</t>
  </si>
  <si>
    <t>Staff's Recommended Rev and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</si>
</sst>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_(* #,##0_);_(* \(#,##0\);_(* &quot;-&quot;??_);_(@_)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Calibri"/>
      <family val="2"/>
      <scheme val="minor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>
        <fgColor rgb="FFECECEC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/>
    <xf numFmtId="43" fontId="3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43" fontId="5" fillId="0" borderId="2" xfId="0" applyNumberFormat="1" applyFont="1" applyFill="1" applyBorder="1"/>
    <xf numFmtId="41" fontId="2" fillId="0" borderId="0" xfId="0" applyNumberFormat="1" applyFont="1" applyFill="1"/>
    <xf numFmtId="41" fontId="4" fillId="0" borderId="0" xfId="0" applyNumberFormat="1" applyFont="1" applyFill="1"/>
    <xf numFmtId="0" fontId="9" fillId="0" borderId="0" xfId="0" applyFont="1" applyFill="1"/>
    <xf numFmtId="0" fontId="7" fillId="0" borderId="0" xfId="0" applyFont="1" applyFill="1"/>
    <xf numFmtId="43" fontId="7" fillId="0" borderId="0" xfId="0" applyNumberFormat="1" applyFont="1" applyFill="1"/>
    <xf numFmtId="4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inden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3" fontId="8" fillId="0" borderId="0" xfId="0" applyNumberFormat="1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164" fontId="7" fillId="0" borderId="0" xfId="0" applyNumberFormat="1" applyFont="1" applyFill="1" applyBorder="1"/>
    <xf numFmtId="164" fontId="7" fillId="0" borderId="1" xfId="0" applyNumberFormat="1" applyFont="1" applyFill="1" applyBorder="1"/>
    <xf numFmtId="0" fontId="7" fillId="0" borderId="0" xfId="0" applyFont="1" applyFill="1" applyAlignment="1">
      <alignment horizontal="right"/>
    </xf>
    <xf numFmtId="0" fontId="6" fillId="0" borderId="0" xfId="0" applyFont="1" applyFill="1"/>
    <xf numFmtId="0" fontId="10" fillId="0" borderId="1" xfId="0" applyFont="1" applyFill="1" applyBorder="1" applyAlignment="1">
      <alignment horizontal="center"/>
    </xf>
    <xf numFmtId="43" fontId="6" fillId="0" borderId="0" xfId="0" applyNumberFormat="1" applyFont="1" applyFill="1"/>
    <xf numFmtId="41" fontId="6" fillId="0" borderId="0" xfId="0" applyNumberFormat="1" applyFont="1" applyFill="1"/>
    <xf numFmtId="0" fontId="6" fillId="0" borderId="6" xfId="0" applyFont="1" applyFill="1" applyBorder="1"/>
    <xf numFmtId="167" fontId="6" fillId="0" borderId="0" xfId="0" applyNumberFormat="1" applyFont="1" applyFill="1"/>
    <xf numFmtId="42" fontId="6" fillId="0" borderId="5" xfId="0" applyNumberFormat="1" applyFont="1" applyFill="1" applyBorder="1"/>
    <xf numFmtId="0" fontId="1" fillId="0" borderId="0" xfId="0" applyFont="1" applyFill="1"/>
    <xf numFmtId="43" fontId="1" fillId="0" borderId="0" xfId="0" applyNumberFormat="1" applyFont="1" applyFill="1"/>
    <xf numFmtId="44" fontId="1" fillId="0" borderId="0" xfId="0" applyNumberFormat="1" applyFont="1" applyFill="1"/>
    <xf numFmtId="0" fontId="1" fillId="0" borderId="3" xfId="0" applyFont="1" applyFill="1" applyBorder="1"/>
    <xf numFmtId="44" fontId="1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44" fontId="5" fillId="0" borderId="2" xfId="0" applyNumberFormat="1" applyFont="1" applyFill="1" applyBorder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3" fontId="12" fillId="0" borderId="2" xfId="0" applyNumberFormat="1" applyFont="1" applyFill="1" applyBorder="1"/>
    <xf numFmtId="0" fontId="11" fillId="0" borderId="0" xfId="0" applyNumberFormat="1" applyFont="1" applyFill="1"/>
    <xf numFmtId="43" fontId="1" fillId="0" borderId="0" xfId="0" applyNumberFormat="1" applyFont="1" applyFill="1" applyBorder="1"/>
    <xf numFmtId="0" fontId="1" fillId="0" borderId="0" xfId="1" applyFont="1" applyFill="1"/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quotePrefix="1" applyFont="1" applyFill="1" applyBorder="1" applyAlignment="1">
      <alignment horizontal="center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quotePrefix="1" applyFont="1" applyFill="1" applyBorder="1" applyAlignment="1">
      <alignment horizontal="center" wrapText="1"/>
    </xf>
    <xf numFmtId="0" fontId="1" fillId="0" borderId="0" xfId="1" applyFont="1" applyFill="1" applyAlignment="1">
      <alignment horizontal="center"/>
    </xf>
    <xf numFmtId="164" fontId="1" fillId="0" borderId="0" xfId="1" applyNumberFormat="1" applyFont="1" applyFill="1"/>
    <xf numFmtId="0" fontId="1" fillId="0" borderId="0" xfId="1" quotePrefix="1" applyFont="1" applyFill="1" applyAlignment="1">
      <alignment horizontal="left"/>
    </xf>
    <xf numFmtId="164" fontId="1" fillId="0" borderId="0" xfId="1" quotePrefix="1" applyNumberFormat="1" applyFont="1" applyFill="1" applyAlignment="1">
      <alignment horizontal="left" indent="1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left" indent="1"/>
    </xf>
    <xf numFmtId="44" fontId="1" fillId="0" borderId="0" xfId="1" applyNumberFormat="1" applyFont="1" applyFill="1"/>
    <xf numFmtId="0" fontId="10" fillId="0" borderId="0" xfId="0" applyNumberFormat="1" applyFont="1" applyFill="1" applyAlignment="1">
      <alignment horizontal="right"/>
    </xf>
    <xf numFmtId="0" fontId="13" fillId="0" borderId="0" xfId="0" applyFont="1" applyFill="1"/>
    <xf numFmtId="0" fontId="10" fillId="0" borderId="0" xfId="0" quotePrefix="1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/>
    </xf>
    <xf numFmtId="0" fontId="10" fillId="0" borderId="0" xfId="0" quotePrefix="1" applyNumberFormat="1" applyFont="1" applyFill="1" applyBorder="1" applyAlignment="1">
      <alignment horizontal="center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quotePrefix="1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/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/>
    <xf numFmtId="0" fontId="10" fillId="0" borderId="1" xfId="0" quotePrefix="1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/>
    <xf numFmtId="0" fontId="10" fillId="0" borderId="0" xfId="0" quotePrefix="1" applyNumberFormat="1" applyFont="1" applyFill="1" applyBorder="1" applyAlignment="1" applyProtection="1">
      <alignment horizontal="center"/>
      <protection locked="0"/>
    </xf>
    <xf numFmtId="42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 indent="2"/>
    </xf>
    <xf numFmtId="42" fontId="6" fillId="0" borderId="0" xfId="0" applyNumberFormat="1" applyFont="1" applyFill="1" applyBorder="1"/>
    <xf numFmtId="41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/>
    <xf numFmtId="41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left" indent="2"/>
    </xf>
    <xf numFmtId="41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 indent="1"/>
    </xf>
    <xf numFmtId="41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/>
    <xf numFmtId="43" fontId="6" fillId="0" borderId="0" xfId="0" applyNumberFormat="1" applyFont="1" applyFill="1" applyBorder="1" applyAlignment="1">
      <alignment horizontal="center"/>
    </xf>
    <xf numFmtId="0" fontId="6" fillId="0" borderId="0" xfId="0" quotePrefix="1" applyNumberFormat="1" applyFont="1" applyFill="1" applyAlignment="1">
      <alignment horizontal="left" indent="2"/>
    </xf>
    <xf numFmtId="41" fontId="6" fillId="0" borderId="0" xfId="0" applyNumberFormat="1" applyFont="1" applyFill="1" applyAlignment="1"/>
    <xf numFmtId="41" fontId="6" fillId="0" borderId="0" xfId="0" applyNumberFormat="1" applyFont="1" applyFill="1" applyAlignment="1">
      <alignment horizontal="left"/>
    </xf>
    <xf numFmtId="41" fontId="6" fillId="0" borderId="7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left"/>
    </xf>
    <xf numFmtId="37" fontId="6" fillId="0" borderId="1" xfId="0" applyNumberFormat="1" applyFont="1" applyFill="1" applyBorder="1" applyAlignment="1"/>
    <xf numFmtId="37" fontId="6" fillId="0" borderId="6" xfId="0" applyNumberFormat="1" applyFont="1" applyFill="1" applyBorder="1" applyAlignment="1"/>
    <xf numFmtId="41" fontId="6" fillId="0" borderId="1" xfId="0" applyNumberFormat="1" applyFont="1" applyFill="1" applyBorder="1" applyAlignment="1">
      <alignment horizontal="right"/>
    </xf>
    <xf numFmtId="43" fontId="6" fillId="0" borderId="1" xfId="0" applyNumberFormat="1" applyFont="1" applyFill="1" applyBorder="1" applyAlignment="1">
      <alignment horizontal="right"/>
    </xf>
    <xf numFmtId="168" fontId="6" fillId="0" borderId="0" xfId="2" applyNumberFormat="1" applyFont="1" applyFill="1"/>
    <xf numFmtId="0" fontId="1" fillId="0" borderId="0" xfId="1" applyFont="1" applyFill="1" applyAlignment="1">
      <alignment horizontal="center"/>
    </xf>
    <xf numFmtId="0" fontId="1" fillId="0" borderId="0" xfId="1" quotePrefix="1" applyFont="1" applyFill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170"/>
  <sheetViews>
    <sheetView tabSelected="1" zoomScaleNormal="100" workbookViewId="0">
      <selection activeCell="B36" sqref="B36"/>
    </sheetView>
  </sheetViews>
  <sheetFormatPr defaultColWidth="8.88671875" defaultRowHeight="13.2" x14ac:dyDescent="0.25"/>
  <cols>
    <col min="1" max="1" width="5.109375" style="20" bestFit="1" customWidth="1"/>
    <col min="2" max="2" width="80.33203125" style="20" customWidth="1"/>
    <col min="3" max="3" width="10.33203125" style="20" customWidth="1"/>
    <col min="4" max="4" width="15" style="20" customWidth="1"/>
    <col min="5" max="5" width="14" style="20" customWidth="1"/>
    <col min="6" max="6" width="13.109375" style="20" customWidth="1"/>
    <col min="7" max="7" width="14.6640625" style="20" customWidth="1"/>
    <col min="8" max="8" width="15.88671875" style="20" customWidth="1"/>
    <col min="9" max="9" width="8.88671875" style="20"/>
    <col min="10" max="10" width="5" style="20" bestFit="1" customWidth="1"/>
    <col min="11" max="11" width="90.6640625" style="20" bestFit="1" customWidth="1"/>
    <col min="12" max="12" width="15.6640625" style="20" customWidth="1"/>
    <col min="13" max="13" width="14" style="20" customWidth="1"/>
    <col min="14" max="14" width="12" style="20" bestFit="1" customWidth="1"/>
    <col min="15" max="15" width="13.109375" style="20" bestFit="1" customWidth="1"/>
    <col min="16" max="16" width="11.44140625" style="20" bestFit="1" customWidth="1"/>
    <col min="17" max="17" width="13.109375" style="20" bestFit="1" customWidth="1"/>
    <col min="18" max="16384" width="8.88671875" style="20"/>
  </cols>
  <sheetData>
    <row r="2" spans="1:21" ht="14.4" x14ac:dyDescent="0.3">
      <c r="A2" s="56"/>
      <c r="B2" s="56"/>
      <c r="C2" s="56"/>
      <c r="D2" s="56"/>
      <c r="E2" s="56"/>
      <c r="F2" s="56"/>
      <c r="G2" s="56"/>
      <c r="H2" s="27"/>
    </row>
    <row r="3" spans="1:21" ht="18" x14ac:dyDescent="0.35">
      <c r="A3" s="56"/>
      <c r="B3" s="56"/>
      <c r="C3" s="56"/>
      <c r="D3" s="56"/>
      <c r="E3" s="56"/>
      <c r="F3" s="56"/>
      <c r="G3" s="56"/>
      <c r="H3" s="27"/>
      <c r="J3" s="57" t="s">
        <v>170</v>
      </c>
    </row>
    <row r="4" spans="1:21" ht="14.4" x14ac:dyDescent="0.3">
      <c r="A4" s="58"/>
      <c r="B4" s="59"/>
      <c r="D4" s="60" t="s">
        <v>148</v>
      </c>
      <c r="E4" s="58"/>
      <c r="F4" s="58"/>
      <c r="G4" s="58"/>
      <c r="H4" s="27"/>
      <c r="J4" s="58"/>
      <c r="K4" s="59"/>
      <c r="M4" s="60" t="s">
        <v>148</v>
      </c>
      <c r="N4" s="58"/>
      <c r="O4" s="58"/>
      <c r="P4" s="58"/>
      <c r="Q4" s="27"/>
    </row>
    <row r="5" spans="1:21" x14ac:dyDescent="0.25">
      <c r="D5" s="61" t="s">
        <v>147</v>
      </c>
      <c r="E5" s="62"/>
      <c r="F5" s="62"/>
      <c r="G5" s="62"/>
      <c r="H5" s="62"/>
      <c r="M5" s="61" t="s">
        <v>147</v>
      </c>
      <c r="N5" s="62"/>
      <c r="O5" s="62"/>
      <c r="P5" s="62"/>
      <c r="Q5" s="62"/>
    </row>
    <row r="6" spans="1:21" x14ac:dyDescent="0.25">
      <c r="C6" s="61" t="s">
        <v>61</v>
      </c>
      <c r="D6" s="63"/>
      <c r="E6" s="63"/>
      <c r="F6" s="63"/>
      <c r="G6" s="63"/>
      <c r="H6" s="63"/>
      <c r="L6" s="61" t="s">
        <v>61</v>
      </c>
      <c r="M6" s="63"/>
      <c r="N6" s="63"/>
      <c r="O6" s="63"/>
      <c r="P6" s="63"/>
      <c r="Q6" s="63"/>
    </row>
    <row r="7" spans="1:21" x14ac:dyDescent="0.25">
      <c r="D7" s="61" t="s">
        <v>146</v>
      </c>
      <c r="E7" s="63"/>
      <c r="F7" s="63"/>
      <c r="G7" s="63"/>
      <c r="H7" s="63"/>
      <c r="M7" s="61" t="s">
        <v>146</v>
      </c>
      <c r="N7" s="63"/>
      <c r="O7" s="63"/>
      <c r="P7" s="63"/>
      <c r="Q7" s="63"/>
    </row>
    <row r="8" spans="1:21" x14ac:dyDescent="0.25">
      <c r="C8" s="62"/>
      <c r="D8" s="63"/>
      <c r="E8" s="63"/>
      <c r="F8" s="63"/>
      <c r="G8" s="63"/>
      <c r="H8" s="63"/>
      <c r="L8" s="62"/>
      <c r="M8" s="63"/>
      <c r="N8" s="63"/>
      <c r="O8" s="63"/>
      <c r="P8" s="63"/>
      <c r="Q8" s="63"/>
    </row>
    <row r="9" spans="1:21" x14ac:dyDescent="0.25">
      <c r="A9" s="64"/>
      <c r="B9" s="65"/>
      <c r="C9" s="65"/>
      <c r="D9" s="66" t="s">
        <v>145</v>
      </c>
      <c r="E9" s="67"/>
      <c r="F9" s="68" t="s">
        <v>143</v>
      </c>
      <c r="G9" s="67"/>
      <c r="H9" s="68" t="s">
        <v>142</v>
      </c>
      <c r="J9" s="64"/>
      <c r="K9" s="65"/>
      <c r="L9" s="65"/>
      <c r="M9" s="66" t="s">
        <v>145</v>
      </c>
      <c r="N9" s="67"/>
      <c r="O9" s="68" t="s">
        <v>143</v>
      </c>
      <c r="P9" s="67"/>
      <c r="Q9" s="68" t="s">
        <v>142</v>
      </c>
    </row>
    <row r="10" spans="1:21" x14ac:dyDescent="0.25">
      <c r="A10" s="69" t="s">
        <v>20</v>
      </c>
      <c r="B10" s="70"/>
      <c r="C10" s="70"/>
      <c r="D10" s="68" t="s">
        <v>144</v>
      </c>
      <c r="E10" s="68" t="s">
        <v>143</v>
      </c>
      <c r="F10" s="68" t="s">
        <v>23</v>
      </c>
      <c r="G10" s="68" t="s">
        <v>142</v>
      </c>
      <c r="H10" s="68" t="s">
        <v>23</v>
      </c>
      <c r="J10" s="69" t="s">
        <v>20</v>
      </c>
      <c r="K10" s="70"/>
      <c r="L10" s="70"/>
      <c r="M10" s="68" t="s">
        <v>144</v>
      </c>
      <c r="N10" s="68" t="s">
        <v>143</v>
      </c>
      <c r="O10" s="68" t="s">
        <v>23</v>
      </c>
      <c r="P10" s="68" t="s">
        <v>142</v>
      </c>
      <c r="Q10" s="68" t="s">
        <v>23</v>
      </c>
    </row>
    <row r="11" spans="1:21" x14ac:dyDescent="0.25">
      <c r="A11" s="71" t="s">
        <v>21</v>
      </c>
      <c r="B11" s="72" t="s">
        <v>22</v>
      </c>
      <c r="C11" s="73" t="s">
        <v>141</v>
      </c>
      <c r="D11" s="21" t="s">
        <v>15</v>
      </c>
      <c r="E11" s="74" t="s">
        <v>16</v>
      </c>
      <c r="F11" s="21" t="s">
        <v>140</v>
      </c>
      <c r="G11" s="74" t="s">
        <v>18</v>
      </c>
      <c r="H11" s="21" t="s">
        <v>149</v>
      </c>
      <c r="J11" s="71" t="s">
        <v>21</v>
      </c>
      <c r="K11" s="72" t="s">
        <v>22</v>
      </c>
      <c r="L11" s="73" t="s">
        <v>141</v>
      </c>
      <c r="M11" s="21" t="s">
        <v>15</v>
      </c>
      <c r="N11" s="74" t="s">
        <v>16</v>
      </c>
      <c r="O11" s="21" t="s">
        <v>140</v>
      </c>
      <c r="P11" s="74" t="s">
        <v>18</v>
      </c>
      <c r="Q11" s="21" t="s">
        <v>149</v>
      </c>
    </row>
    <row r="12" spans="1:21" x14ac:dyDescent="0.25">
      <c r="A12" s="66"/>
      <c r="B12" s="75"/>
      <c r="C12" s="75"/>
      <c r="D12" s="76"/>
      <c r="E12" s="76"/>
      <c r="F12" s="76"/>
      <c r="G12" s="76"/>
      <c r="H12" s="77"/>
      <c r="J12" s="66"/>
      <c r="K12" s="75"/>
      <c r="L12" s="75"/>
      <c r="M12" s="76"/>
      <c r="N12" s="76"/>
      <c r="O12" s="76"/>
      <c r="P12" s="76"/>
      <c r="Q12" s="77"/>
    </row>
    <row r="13" spans="1:21" ht="14.4" x14ac:dyDescent="0.3">
      <c r="A13" s="78">
        <v>1</v>
      </c>
      <c r="B13" s="79" t="s">
        <v>24</v>
      </c>
      <c r="C13" s="80"/>
      <c r="D13" s="77">
        <v>0</v>
      </c>
      <c r="E13" s="77">
        <f>'Rev Req Summary'!C15</f>
        <v>5983138.4299999997</v>
      </c>
      <c r="F13" s="77">
        <f>E13-D13</f>
        <v>5983138.4299999997</v>
      </c>
      <c r="G13" s="77">
        <f>+F13</f>
        <v>5983138.4299999997</v>
      </c>
      <c r="H13" s="77">
        <f t="shared" ref="H13:H19" si="0">+G13-E13</f>
        <v>0</v>
      </c>
      <c r="J13" s="78">
        <v>1</v>
      </c>
      <c r="K13" s="79" t="s">
        <v>24</v>
      </c>
      <c r="L13" s="80"/>
      <c r="M13" s="77">
        <v>0</v>
      </c>
      <c r="N13" s="77">
        <v>5983138.4299999997</v>
      </c>
      <c r="O13" s="77">
        <v>5983138.4299999997</v>
      </c>
      <c r="P13" s="77">
        <v>5983138.4299999997</v>
      </c>
      <c r="Q13" s="77">
        <v>0</v>
      </c>
      <c r="R13" s="27"/>
      <c r="S13" s="27"/>
      <c r="T13" s="27"/>
      <c r="U13" s="27"/>
    </row>
    <row r="14" spans="1:21" ht="14.4" x14ac:dyDescent="0.3">
      <c r="A14" s="78">
        <f t="shared" ref="A14:A48" si="1">A13+1</f>
        <v>2</v>
      </c>
      <c r="B14" s="79" t="s">
        <v>25</v>
      </c>
      <c r="C14" s="80"/>
      <c r="D14" s="81">
        <v>0</v>
      </c>
      <c r="E14" s="81">
        <f>'Rev Req Summary'!C12</f>
        <v>41885179.539999999</v>
      </c>
      <c r="F14" s="81">
        <f>E14-D14</f>
        <v>41885179.539999999</v>
      </c>
      <c r="G14" s="81">
        <f>+F14</f>
        <v>41885179.539999999</v>
      </c>
      <c r="H14" s="81">
        <f t="shared" si="0"/>
        <v>0</v>
      </c>
      <c r="J14" s="78">
        <v>2</v>
      </c>
      <c r="K14" s="79" t="s">
        <v>25</v>
      </c>
      <c r="L14" s="80"/>
      <c r="M14" s="81">
        <v>0</v>
      </c>
      <c r="N14" s="81">
        <v>41885179.539999999</v>
      </c>
      <c r="O14" s="81">
        <v>41885179.539999999</v>
      </c>
      <c r="P14" s="81">
        <v>41885179.539999999</v>
      </c>
      <c r="Q14" s="81">
        <v>0</v>
      </c>
      <c r="R14" s="27"/>
      <c r="S14" s="27"/>
      <c r="T14" s="27"/>
      <c r="U14" s="27"/>
    </row>
    <row r="15" spans="1:21" ht="14.4" x14ac:dyDescent="0.3">
      <c r="A15" s="78">
        <f t="shared" si="1"/>
        <v>3</v>
      </c>
      <c r="B15" s="79" t="s">
        <v>26</v>
      </c>
      <c r="C15" s="80"/>
      <c r="D15" s="81">
        <v>0</v>
      </c>
      <c r="E15" s="81"/>
      <c r="F15" s="81">
        <f t="shared" ref="F15:F21" si="2">E15-D15</f>
        <v>0</v>
      </c>
      <c r="G15" s="81">
        <f>'Rev Req Summary'!C30</f>
        <v>1895876.7300000002</v>
      </c>
      <c r="H15" s="81">
        <f t="shared" si="0"/>
        <v>1895876.7300000002</v>
      </c>
      <c r="J15" s="78">
        <v>3</v>
      </c>
      <c r="K15" s="79" t="s">
        <v>26</v>
      </c>
      <c r="L15" s="80"/>
      <c r="M15" s="81">
        <v>0</v>
      </c>
      <c r="N15" s="81"/>
      <c r="O15" s="81">
        <v>0</v>
      </c>
      <c r="P15" s="81">
        <v>1895876.7300000002</v>
      </c>
      <c r="Q15" s="81">
        <v>1895876.7300000002</v>
      </c>
      <c r="R15" s="27"/>
      <c r="S15" s="27"/>
      <c r="T15" s="27"/>
      <c r="U15" s="27"/>
    </row>
    <row r="16" spans="1:21" ht="14.4" x14ac:dyDescent="0.3">
      <c r="A16" s="78">
        <f t="shared" si="1"/>
        <v>4</v>
      </c>
      <c r="B16" s="79" t="s">
        <v>27</v>
      </c>
      <c r="C16" s="82"/>
      <c r="D16" s="81">
        <v>0</v>
      </c>
      <c r="E16" s="81"/>
      <c r="F16" s="81">
        <f t="shared" si="2"/>
        <v>0</v>
      </c>
      <c r="G16" s="81">
        <f>'Rev Req Summary'!C19</f>
        <v>-723802.14000000013</v>
      </c>
      <c r="H16" s="81">
        <f t="shared" si="0"/>
        <v>-723802.14000000013</v>
      </c>
      <c r="J16" s="78">
        <v>4</v>
      </c>
      <c r="K16" s="79" t="s">
        <v>27</v>
      </c>
      <c r="L16" s="82"/>
      <c r="M16" s="81">
        <v>0</v>
      </c>
      <c r="N16" s="81"/>
      <c r="O16" s="81">
        <v>0</v>
      </c>
      <c r="P16" s="81">
        <v>-723802.14000000013</v>
      </c>
      <c r="Q16" s="81">
        <v>-723802.14000000013</v>
      </c>
      <c r="R16" s="27"/>
      <c r="S16" s="27"/>
      <c r="T16" s="27"/>
      <c r="U16" s="27"/>
    </row>
    <row r="17" spans="1:21" ht="14.4" x14ac:dyDescent="0.3">
      <c r="A17" s="78">
        <f t="shared" si="1"/>
        <v>5</v>
      </c>
      <c r="B17" s="79" t="s">
        <v>166</v>
      </c>
      <c r="C17" s="80"/>
      <c r="D17" s="81"/>
      <c r="E17" s="81">
        <f>'Rev Req Summary'!D22+'Rev Req Summary'!F22</f>
        <v>-20725035.350196019</v>
      </c>
      <c r="F17" s="81">
        <f t="shared" si="2"/>
        <v>-20725035.350196019</v>
      </c>
      <c r="G17" s="81">
        <f>E17</f>
        <v>-20725035.350196019</v>
      </c>
      <c r="H17" s="81">
        <f t="shared" si="0"/>
        <v>0</v>
      </c>
      <c r="J17" s="78">
        <v>5</v>
      </c>
      <c r="K17" s="79" t="s">
        <v>169</v>
      </c>
      <c r="L17" s="80"/>
      <c r="M17" s="81"/>
      <c r="N17" s="81">
        <v>-20725035.350196019</v>
      </c>
      <c r="O17" s="81">
        <v>-20725035.350196019</v>
      </c>
      <c r="P17" s="81">
        <v>-20725035.350196019</v>
      </c>
      <c r="Q17" s="81">
        <v>0</v>
      </c>
      <c r="R17" s="27"/>
      <c r="S17" s="27"/>
      <c r="T17" s="27"/>
      <c r="U17" s="27"/>
    </row>
    <row r="18" spans="1:21" ht="14.4" x14ac:dyDescent="0.3">
      <c r="A18" s="78">
        <f t="shared" si="1"/>
        <v>6</v>
      </c>
      <c r="B18" s="79" t="s">
        <v>108</v>
      </c>
      <c r="D18" s="81">
        <v>0</v>
      </c>
      <c r="E18" s="81">
        <f>-E27</f>
        <v>10345744.779999999</v>
      </c>
      <c r="F18" s="81">
        <f>E18-D18</f>
        <v>10345744.779999999</v>
      </c>
      <c r="G18" s="81">
        <f>E18</f>
        <v>10345744.779999999</v>
      </c>
      <c r="H18" s="81">
        <f t="shared" si="0"/>
        <v>0</v>
      </c>
      <c r="J18" s="78">
        <v>6</v>
      </c>
      <c r="K18" s="79" t="s">
        <v>108</v>
      </c>
      <c r="M18" s="81">
        <v>0</v>
      </c>
      <c r="N18" s="81">
        <v>10345744.779999999</v>
      </c>
      <c r="O18" s="81">
        <v>10345744.779999999</v>
      </c>
      <c r="P18" s="81">
        <v>10345744.779999999</v>
      </c>
      <c r="Q18" s="81">
        <v>0</v>
      </c>
      <c r="R18" s="27"/>
      <c r="S18" s="27"/>
      <c r="T18" s="27"/>
      <c r="U18" s="27"/>
    </row>
    <row r="19" spans="1:21" ht="14.4" x14ac:dyDescent="0.3">
      <c r="A19" s="78">
        <f t="shared" si="1"/>
        <v>7</v>
      </c>
      <c r="B19" s="79" t="s">
        <v>122</v>
      </c>
      <c r="C19" s="83"/>
      <c r="D19" s="81">
        <v>0</v>
      </c>
      <c r="E19" s="81"/>
      <c r="F19" s="81">
        <f t="shared" si="2"/>
        <v>0</v>
      </c>
      <c r="G19" s="84">
        <f>'Rev Req Summary'!C29</f>
        <v>-18966470.07</v>
      </c>
      <c r="H19" s="81">
        <f t="shared" si="0"/>
        <v>-18966470.07</v>
      </c>
      <c r="J19" s="78">
        <v>7</v>
      </c>
      <c r="K19" s="79" t="s">
        <v>122</v>
      </c>
      <c r="L19" s="83"/>
      <c r="M19" s="81">
        <v>0</v>
      </c>
      <c r="N19" s="81"/>
      <c r="O19" s="81">
        <v>0</v>
      </c>
      <c r="P19" s="81">
        <v>-18966469.07</v>
      </c>
      <c r="Q19" s="81">
        <v>-18966469.07</v>
      </c>
      <c r="R19" s="27"/>
      <c r="S19" s="27"/>
      <c r="T19" s="27"/>
      <c r="U19" s="27"/>
    </row>
    <row r="20" spans="1:21" ht="14.4" x14ac:dyDescent="0.3">
      <c r="A20" s="78">
        <f t="shared" si="1"/>
        <v>8</v>
      </c>
      <c r="B20" s="79" t="s">
        <v>167</v>
      </c>
      <c r="C20" s="85"/>
      <c r="D20" s="81">
        <v>0</v>
      </c>
      <c r="E20" s="81">
        <f>'Rev Req Summary'!E22</f>
        <v>114.23000000000138</v>
      </c>
      <c r="F20" s="81">
        <f t="shared" si="2"/>
        <v>114.23000000000138</v>
      </c>
      <c r="G20" s="81">
        <f>E20</f>
        <v>114.23000000000138</v>
      </c>
      <c r="H20" s="81">
        <f>+G20-E20</f>
        <v>0</v>
      </c>
      <c r="J20" s="78">
        <v>8</v>
      </c>
      <c r="K20" s="86" t="s">
        <v>167</v>
      </c>
      <c r="L20" s="85"/>
      <c r="M20" s="81">
        <v>0</v>
      </c>
      <c r="N20" s="81">
        <v>114.23000000000138</v>
      </c>
      <c r="O20" s="81">
        <v>114.23000000000138</v>
      </c>
      <c r="P20" s="81">
        <v>114.23000000000138</v>
      </c>
      <c r="Q20" s="81">
        <v>0</v>
      </c>
      <c r="R20" s="27"/>
      <c r="S20" s="27"/>
      <c r="T20" s="27"/>
      <c r="U20" s="27"/>
    </row>
    <row r="21" spans="1:21" ht="14.4" x14ac:dyDescent="0.3">
      <c r="A21" s="78">
        <f t="shared" si="1"/>
        <v>9</v>
      </c>
      <c r="B21" s="79" t="s">
        <v>43</v>
      </c>
      <c r="C21" s="82"/>
      <c r="D21" s="87">
        <v>0</v>
      </c>
      <c r="E21" s="87">
        <f>'Rev Req Summary'!C23</f>
        <v>3810955</v>
      </c>
      <c r="F21" s="87">
        <f t="shared" si="2"/>
        <v>3810955</v>
      </c>
      <c r="G21" s="87">
        <f>E21</f>
        <v>3810955</v>
      </c>
      <c r="H21" s="87">
        <f>+G21-E21</f>
        <v>0</v>
      </c>
      <c r="J21" s="78">
        <v>9</v>
      </c>
      <c r="K21" s="79" t="s">
        <v>43</v>
      </c>
      <c r="L21" s="82"/>
      <c r="M21" s="87">
        <v>0</v>
      </c>
      <c r="N21" s="87">
        <v>3810955</v>
      </c>
      <c r="O21" s="87">
        <v>3810955</v>
      </c>
      <c r="P21" s="87">
        <v>3810955</v>
      </c>
      <c r="Q21" s="87">
        <v>0</v>
      </c>
      <c r="R21" s="27"/>
      <c r="S21" s="27"/>
      <c r="T21" s="27"/>
      <c r="U21" s="27"/>
    </row>
    <row r="22" spans="1:21" ht="14.4" x14ac:dyDescent="0.3">
      <c r="A22" s="78">
        <f t="shared" si="1"/>
        <v>10</v>
      </c>
      <c r="B22" s="88" t="s">
        <v>104</v>
      </c>
      <c r="D22" s="89">
        <f>SUM(D13:D21)</f>
        <v>0</v>
      </c>
      <c r="E22" s="89">
        <f>SUM(E13:E21)</f>
        <v>41300096.629803978</v>
      </c>
      <c r="F22" s="89">
        <f t="shared" ref="F22:H22" si="3">SUM(F13:F21)</f>
        <v>41300096.629803978</v>
      </c>
      <c r="G22" s="89">
        <f t="shared" si="3"/>
        <v>23505701.149803977</v>
      </c>
      <c r="H22" s="89">
        <f t="shared" si="3"/>
        <v>-17794395.48</v>
      </c>
      <c r="J22" s="78">
        <v>10</v>
      </c>
      <c r="K22" s="88" t="s">
        <v>104</v>
      </c>
      <c r="M22" s="89">
        <v>0</v>
      </c>
      <c r="N22" s="89">
        <v>41300096.629803978</v>
      </c>
      <c r="O22" s="89">
        <v>41300096.629803978</v>
      </c>
      <c r="P22" s="89">
        <v>23505702.149803977</v>
      </c>
      <c r="Q22" s="89">
        <v>-17794394.48</v>
      </c>
      <c r="R22" s="27"/>
      <c r="S22" s="27"/>
      <c r="T22" s="27"/>
      <c r="U22" s="27"/>
    </row>
    <row r="23" spans="1:21" ht="14.4" x14ac:dyDescent="0.3">
      <c r="A23" s="78">
        <f t="shared" si="1"/>
        <v>11</v>
      </c>
      <c r="B23" s="70" t="s">
        <v>28</v>
      </c>
      <c r="C23" s="90"/>
      <c r="D23" s="91"/>
      <c r="E23" s="91"/>
      <c r="F23" s="91"/>
      <c r="G23" s="91"/>
      <c r="H23" s="91"/>
      <c r="J23" s="78">
        <v>11</v>
      </c>
      <c r="K23" s="70" t="s">
        <v>28</v>
      </c>
      <c r="L23" s="90"/>
      <c r="M23" s="91"/>
      <c r="N23" s="91"/>
      <c r="O23" s="91"/>
      <c r="P23" s="91"/>
      <c r="Q23" s="91"/>
      <c r="R23" s="27"/>
      <c r="S23" s="27"/>
      <c r="T23" s="27"/>
      <c r="U23" s="27"/>
    </row>
    <row r="24" spans="1:21" ht="14.4" x14ac:dyDescent="0.3">
      <c r="A24" s="78">
        <f t="shared" si="1"/>
        <v>12</v>
      </c>
      <c r="B24" s="92" t="s">
        <v>29</v>
      </c>
      <c r="C24" s="82"/>
      <c r="D24" s="81">
        <v>0</v>
      </c>
      <c r="E24" s="93">
        <f>'456 Decoup Rev 12ME 12-2018'!D26</f>
        <v>-10964420.23</v>
      </c>
      <c r="F24" s="81">
        <f t="shared" ref="F24:F28" si="4">E24-D24</f>
        <v>-10964420.23</v>
      </c>
      <c r="G24" s="81">
        <f>+F24</f>
        <v>-10964420.23</v>
      </c>
      <c r="H24" s="81">
        <f t="shared" ref="H24:H29" si="5">+G24-E24</f>
        <v>0</v>
      </c>
      <c r="J24" s="78">
        <v>12</v>
      </c>
      <c r="K24" s="92" t="s">
        <v>29</v>
      </c>
      <c r="L24" s="82"/>
      <c r="M24" s="81">
        <v>0</v>
      </c>
      <c r="N24" s="93">
        <v>-10964420.23</v>
      </c>
      <c r="O24" s="81">
        <v>-10964420.23</v>
      </c>
      <c r="P24" s="81">
        <v>-10964420.23</v>
      </c>
      <c r="Q24" s="81">
        <v>0</v>
      </c>
      <c r="R24" s="27"/>
      <c r="S24" s="27"/>
      <c r="T24" s="27"/>
      <c r="U24" s="27"/>
    </row>
    <row r="25" spans="1:21" ht="14.4" x14ac:dyDescent="0.3">
      <c r="A25" s="78">
        <f t="shared" si="1"/>
        <v>13</v>
      </c>
      <c r="B25" s="79" t="s">
        <v>59</v>
      </c>
      <c r="C25" s="94"/>
      <c r="D25" s="81">
        <v>0</v>
      </c>
      <c r="F25" s="81">
        <f t="shared" si="4"/>
        <v>0</v>
      </c>
      <c r="G25" s="81">
        <f>'456 Decoup Rev 12ME 12-2018'!C26</f>
        <v>-18227053.410000004</v>
      </c>
      <c r="H25" s="81">
        <f t="shared" si="5"/>
        <v>-18227053.410000004</v>
      </c>
      <c r="J25" s="78">
        <v>13</v>
      </c>
      <c r="K25" s="79" t="s">
        <v>59</v>
      </c>
      <c r="L25" s="94"/>
      <c r="M25" s="81">
        <v>0</v>
      </c>
      <c r="O25" s="81">
        <v>0</v>
      </c>
      <c r="P25" s="81">
        <v>-18227053.410000004</v>
      </c>
      <c r="Q25" s="81">
        <v>-18227053.410000004</v>
      </c>
      <c r="R25" s="27"/>
      <c r="S25" s="27"/>
      <c r="T25" s="27"/>
      <c r="U25" s="27"/>
    </row>
    <row r="26" spans="1:21" ht="14.4" x14ac:dyDescent="0.3">
      <c r="A26" s="78">
        <f t="shared" si="1"/>
        <v>14</v>
      </c>
      <c r="B26" s="92" t="s">
        <v>96</v>
      </c>
      <c r="D26" s="81">
        <v>0</v>
      </c>
      <c r="E26" s="22">
        <f>'FIT Over Coll 12ME 12-2018'!B8</f>
        <v>24054569</v>
      </c>
      <c r="F26" s="81">
        <f t="shared" si="4"/>
        <v>24054569</v>
      </c>
      <c r="G26" s="81">
        <f>E26</f>
        <v>24054569</v>
      </c>
      <c r="H26" s="81">
        <f t="shared" si="5"/>
        <v>0</v>
      </c>
      <c r="J26" s="78">
        <v>14</v>
      </c>
      <c r="K26" s="92" t="s">
        <v>96</v>
      </c>
      <c r="M26" s="81">
        <v>0</v>
      </c>
      <c r="N26" s="22">
        <v>24054569</v>
      </c>
      <c r="O26" s="81">
        <v>24054569</v>
      </c>
      <c r="P26" s="81">
        <v>24054569</v>
      </c>
      <c r="Q26" s="81">
        <v>0</v>
      </c>
      <c r="R26" s="27"/>
      <c r="S26" s="27"/>
      <c r="T26" s="27"/>
      <c r="U26" s="27"/>
    </row>
    <row r="27" spans="1:21" ht="14.4" x14ac:dyDescent="0.3">
      <c r="A27" s="78">
        <f t="shared" si="1"/>
        <v>15</v>
      </c>
      <c r="B27" s="92" t="s">
        <v>109</v>
      </c>
      <c r="D27" s="81">
        <v>0</v>
      </c>
      <c r="E27" s="23">
        <f>'Transp Oth Op'!B16</f>
        <v>-10345744.779999999</v>
      </c>
      <c r="F27" s="81">
        <f t="shared" si="4"/>
        <v>-10345744.779999999</v>
      </c>
      <c r="G27" s="81">
        <f>E27</f>
        <v>-10345744.779999999</v>
      </c>
      <c r="H27" s="81">
        <f>+G27-E27</f>
        <v>0</v>
      </c>
      <c r="J27" s="78">
        <v>15</v>
      </c>
      <c r="K27" s="92" t="s">
        <v>109</v>
      </c>
      <c r="M27" s="81">
        <v>0</v>
      </c>
      <c r="N27" s="23">
        <v>-10345744.779999999</v>
      </c>
      <c r="O27" s="81">
        <v>-10345744.779999999</v>
      </c>
      <c r="P27" s="81">
        <v>-10345744.779999999</v>
      </c>
      <c r="Q27" s="81">
        <v>0</v>
      </c>
      <c r="R27" s="27"/>
      <c r="S27" s="27"/>
      <c r="T27" s="27"/>
      <c r="U27" s="27"/>
    </row>
    <row r="28" spans="1:21" ht="14.4" x14ac:dyDescent="0.3">
      <c r="A28" s="78">
        <f t="shared" si="1"/>
        <v>16</v>
      </c>
      <c r="B28" s="79" t="s">
        <v>99</v>
      </c>
      <c r="D28" s="89">
        <v>0</v>
      </c>
      <c r="F28" s="81">
        <f t="shared" si="4"/>
        <v>0</v>
      </c>
      <c r="G28" s="81">
        <f>'ZO12 45600154 GAAP 12ME 12-2018'!B8</f>
        <v>835357.9</v>
      </c>
      <c r="H28" s="81">
        <f t="shared" si="5"/>
        <v>835357.9</v>
      </c>
      <c r="J28" s="78">
        <v>16</v>
      </c>
      <c r="K28" s="79" t="s">
        <v>99</v>
      </c>
      <c r="M28" s="89">
        <v>0</v>
      </c>
      <c r="O28" s="81">
        <v>0</v>
      </c>
      <c r="P28" s="81">
        <v>835357.9</v>
      </c>
      <c r="Q28" s="81">
        <v>835357.9</v>
      </c>
      <c r="R28" s="27"/>
      <c r="S28" s="27"/>
      <c r="T28" s="27"/>
      <c r="U28" s="27"/>
    </row>
    <row r="29" spans="1:21" ht="14.4" x14ac:dyDescent="0.3">
      <c r="A29" s="78"/>
      <c r="B29" s="79"/>
      <c r="D29" s="89"/>
      <c r="F29" s="81"/>
      <c r="G29" s="81">
        <f>SUM('Powerex for Microsoft'!J15:J20)</f>
        <v>1010226.96</v>
      </c>
      <c r="H29" s="81">
        <f t="shared" si="5"/>
        <v>1010226.96</v>
      </c>
      <c r="J29" s="78"/>
      <c r="K29" s="79"/>
      <c r="M29" s="89"/>
      <c r="O29" s="81"/>
      <c r="P29" s="81">
        <v>1010226.96</v>
      </c>
      <c r="Q29" s="81">
        <v>1010226.96</v>
      </c>
      <c r="R29" s="27"/>
      <c r="S29" s="27"/>
      <c r="T29" s="27"/>
      <c r="U29" s="27"/>
    </row>
    <row r="30" spans="1:21" ht="14.4" x14ac:dyDescent="0.3">
      <c r="A30" s="78">
        <f>A28+1</f>
        <v>17</v>
      </c>
      <c r="B30" s="88" t="s">
        <v>105</v>
      </c>
      <c r="D30" s="95">
        <f>SUM(D24:D29)</f>
        <v>0</v>
      </c>
      <c r="E30" s="95">
        <f>SUM(E24:E29)</f>
        <v>2744403.99</v>
      </c>
      <c r="F30" s="95">
        <f>SUM(F24:F29)</f>
        <v>2744403.99</v>
      </c>
      <c r="G30" s="95">
        <f>SUM(G24:G29)</f>
        <v>-13637064.560000002</v>
      </c>
      <c r="H30" s="95">
        <f>SUM(H24:H29)</f>
        <v>-16381468.550000004</v>
      </c>
      <c r="J30" s="78">
        <v>17</v>
      </c>
      <c r="K30" s="88" t="s">
        <v>105</v>
      </c>
      <c r="M30" s="95">
        <v>0</v>
      </c>
      <c r="N30" s="95">
        <v>2744403.99</v>
      </c>
      <c r="O30" s="95">
        <v>2744403.99</v>
      </c>
      <c r="P30" s="95">
        <v>-13637064.560000002</v>
      </c>
      <c r="Q30" s="95">
        <v>-16381468.550000004</v>
      </c>
      <c r="R30" s="27"/>
      <c r="S30" s="27"/>
      <c r="T30" s="27"/>
      <c r="U30" s="27"/>
    </row>
    <row r="31" spans="1:21" ht="14.4" x14ac:dyDescent="0.3">
      <c r="A31" s="78">
        <f t="shared" si="1"/>
        <v>18</v>
      </c>
      <c r="B31" s="96" t="s">
        <v>164</v>
      </c>
      <c r="D31" s="23">
        <f>D22+D30</f>
        <v>0</v>
      </c>
      <c r="E31" s="23">
        <f>E22+E30</f>
        <v>44044500.61980398</v>
      </c>
      <c r="F31" s="23">
        <f>F22+F30</f>
        <v>44044500.61980398</v>
      </c>
      <c r="G31" s="23">
        <f>G22+G30</f>
        <v>9868636.5898039751</v>
      </c>
      <c r="H31" s="23">
        <f>H22+H30</f>
        <v>-34175864.030000001</v>
      </c>
      <c r="J31" s="78">
        <v>18</v>
      </c>
      <c r="K31" s="96" t="s">
        <v>164</v>
      </c>
      <c r="M31" s="23">
        <v>0</v>
      </c>
      <c r="N31" s="23">
        <v>44044500.61980398</v>
      </c>
      <c r="O31" s="23">
        <v>44044500.61980398</v>
      </c>
      <c r="P31" s="23">
        <v>9868637.5898039751</v>
      </c>
      <c r="Q31" s="23">
        <v>-34175863.030000001</v>
      </c>
      <c r="R31" s="27"/>
      <c r="S31" s="27"/>
      <c r="T31" s="27"/>
      <c r="U31" s="27"/>
    </row>
    <row r="32" spans="1:21" ht="14.4" x14ac:dyDescent="0.3">
      <c r="A32" s="78">
        <f t="shared" si="1"/>
        <v>19</v>
      </c>
      <c r="B32" s="96"/>
      <c r="D32" s="23"/>
      <c r="E32" s="23"/>
      <c r="F32" s="23"/>
      <c r="G32" s="23"/>
      <c r="H32" s="23"/>
      <c r="J32" s="78">
        <v>19</v>
      </c>
      <c r="K32" s="96"/>
      <c r="M32" s="23"/>
      <c r="N32" s="23"/>
      <c r="O32" s="23"/>
      <c r="P32" s="23"/>
      <c r="Q32" s="23"/>
      <c r="R32" s="27"/>
      <c r="S32" s="27"/>
      <c r="T32" s="27"/>
      <c r="U32" s="27"/>
    </row>
    <row r="33" spans="1:21" ht="14.4" x14ac:dyDescent="0.3">
      <c r="A33" s="78">
        <f t="shared" si="1"/>
        <v>20</v>
      </c>
      <c r="B33" s="96" t="s">
        <v>150</v>
      </c>
      <c r="D33" s="23"/>
      <c r="E33" s="23">
        <v>0</v>
      </c>
      <c r="F33" s="23">
        <v>0</v>
      </c>
      <c r="G33" s="23"/>
      <c r="H33" s="81">
        <f>+G33-E33</f>
        <v>0</v>
      </c>
      <c r="J33" s="78">
        <v>20</v>
      </c>
      <c r="K33" s="96" t="s">
        <v>150</v>
      </c>
      <c r="M33" s="23"/>
      <c r="N33" s="23">
        <v>0</v>
      </c>
      <c r="O33" s="23">
        <v>0</v>
      </c>
      <c r="P33" s="23"/>
      <c r="Q33" s="81">
        <v>0</v>
      </c>
      <c r="R33" s="27"/>
      <c r="S33" s="27"/>
      <c r="T33" s="27"/>
      <c r="U33" s="27"/>
    </row>
    <row r="34" spans="1:21" ht="14.4" x14ac:dyDescent="0.3">
      <c r="A34" s="78">
        <f t="shared" si="1"/>
        <v>21</v>
      </c>
      <c r="D34" s="24"/>
      <c r="E34" s="24"/>
      <c r="F34" s="24"/>
      <c r="G34" s="24"/>
      <c r="H34" s="24"/>
      <c r="J34" s="78">
        <v>21</v>
      </c>
      <c r="M34" s="24"/>
      <c r="N34" s="24"/>
      <c r="O34" s="24"/>
      <c r="P34" s="24"/>
      <c r="Q34" s="24"/>
      <c r="R34" s="27"/>
      <c r="S34" s="27"/>
      <c r="T34" s="27"/>
      <c r="U34" s="27"/>
    </row>
    <row r="35" spans="1:21" ht="14.4" x14ac:dyDescent="0.3">
      <c r="A35" s="78">
        <f t="shared" si="1"/>
        <v>22</v>
      </c>
      <c r="B35" s="70" t="s">
        <v>106</v>
      </c>
      <c r="J35" s="78">
        <v>22</v>
      </c>
      <c r="K35" s="70" t="s">
        <v>106</v>
      </c>
      <c r="R35" s="27"/>
      <c r="S35" s="27"/>
      <c r="T35" s="27"/>
      <c r="U35" s="27"/>
    </row>
    <row r="36" spans="1:21" ht="14.4" x14ac:dyDescent="0.3">
      <c r="A36" s="78">
        <f t="shared" si="1"/>
        <v>23</v>
      </c>
      <c r="B36" s="79" t="s">
        <v>30</v>
      </c>
      <c r="D36" s="81">
        <v>0</v>
      </c>
      <c r="E36" s="81">
        <f>-'SCh 95A Amort 12ME 12-2018'!B10</f>
        <v>31779966.02</v>
      </c>
      <c r="F36" s="81">
        <f>E36-D36</f>
        <v>31779966.02</v>
      </c>
      <c r="G36" s="81">
        <f>+F36</f>
        <v>31779966.02</v>
      </c>
      <c r="H36" s="81">
        <f t="shared" ref="H36:H37" si="6">+G36-E36</f>
        <v>0</v>
      </c>
      <c r="J36" s="78">
        <v>23</v>
      </c>
      <c r="K36" s="79" t="s">
        <v>30</v>
      </c>
      <c r="M36" s="81">
        <v>0</v>
      </c>
      <c r="N36" s="81">
        <v>31779966.02</v>
      </c>
      <c r="O36" s="81">
        <v>31779966.02</v>
      </c>
      <c r="P36" s="81">
        <v>31779966.02</v>
      </c>
      <c r="Q36" s="81">
        <v>0</v>
      </c>
      <c r="R36" s="27"/>
      <c r="S36" s="27"/>
      <c r="T36" s="27"/>
      <c r="U36" s="27"/>
    </row>
    <row r="37" spans="1:21" ht="14.4" x14ac:dyDescent="0.3">
      <c r="A37" s="78">
        <f t="shared" si="1"/>
        <v>24</v>
      </c>
      <c r="B37" s="79" t="s">
        <v>107</v>
      </c>
      <c r="D37" s="87">
        <v>0</v>
      </c>
      <c r="E37" s="87">
        <f>-PTC!B9</f>
        <v>-430100</v>
      </c>
      <c r="F37" s="87">
        <f>E37-D37</f>
        <v>-430100</v>
      </c>
      <c r="G37" s="87">
        <f>+F37</f>
        <v>-430100</v>
      </c>
      <c r="H37" s="87">
        <f t="shared" si="6"/>
        <v>0</v>
      </c>
      <c r="J37" s="78">
        <v>24</v>
      </c>
      <c r="K37" s="79" t="s">
        <v>107</v>
      </c>
      <c r="M37" s="87">
        <v>0</v>
      </c>
      <c r="N37" s="87">
        <v>-430100</v>
      </c>
      <c r="O37" s="87">
        <v>-430100</v>
      </c>
      <c r="P37" s="87">
        <v>-430100</v>
      </c>
      <c r="Q37" s="87">
        <v>0</v>
      </c>
      <c r="R37" s="27"/>
      <c r="S37" s="27"/>
      <c r="T37" s="27"/>
      <c r="U37" s="27"/>
    </row>
    <row r="38" spans="1:21" ht="14.4" x14ac:dyDescent="0.3">
      <c r="A38" s="78">
        <f t="shared" si="1"/>
        <v>25</v>
      </c>
      <c r="B38" s="96" t="s">
        <v>31</v>
      </c>
      <c r="D38" s="89">
        <f>SUM(D36:D37)</f>
        <v>0</v>
      </c>
      <c r="E38" s="89">
        <f>SUM(E36:E37)</f>
        <v>31349866.02</v>
      </c>
      <c r="F38" s="89">
        <f>SUM(F36:F37)</f>
        <v>31349866.02</v>
      </c>
      <c r="G38" s="89">
        <f t="shared" ref="G38:H38" si="7">SUM(G36:G37)</f>
        <v>31349866.02</v>
      </c>
      <c r="H38" s="89">
        <f t="shared" si="7"/>
        <v>0</v>
      </c>
      <c r="J38" s="78">
        <v>25</v>
      </c>
      <c r="K38" s="96" t="s">
        <v>31</v>
      </c>
      <c r="M38" s="89">
        <v>0</v>
      </c>
      <c r="N38" s="89">
        <v>31349866.02</v>
      </c>
      <c r="O38" s="89">
        <v>31349866.02</v>
      </c>
      <c r="P38" s="89">
        <v>31349866.02</v>
      </c>
      <c r="Q38" s="89">
        <v>0</v>
      </c>
      <c r="R38" s="27"/>
      <c r="S38" s="27"/>
      <c r="T38" s="27"/>
      <c r="U38" s="27"/>
    </row>
    <row r="39" spans="1:21" ht="14.4" x14ac:dyDescent="0.3">
      <c r="A39" s="78">
        <f t="shared" si="1"/>
        <v>26</v>
      </c>
      <c r="D39" s="91"/>
      <c r="E39" s="91"/>
      <c r="F39" s="91"/>
      <c r="G39" s="91"/>
      <c r="H39" s="91"/>
      <c r="J39" s="78">
        <v>26</v>
      </c>
      <c r="M39" s="91"/>
      <c r="N39" s="91"/>
      <c r="O39" s="91"/>
      <c r="P39" s="91"/>
      <c r="Q39" s="91"/>
      <c r="R39" s="27"/>
      <c r="S39" s="27"/>
      <c r="T39" s="27"/>
      <c r="U39" s="27"/>
    </row>
    <row r="40" spans="1:21" ht="14.4" x14ac:dyDescent="0.3">
      <c r="A40" s="78">
        <f t="shared" si="1"/>
        <v>27</v>
      </c>
      <c r="B40" s="96" t="s">
        <v>32</v>
      </c>
      <c r="C40" s="25">
        <v>8.4790000000000004E-3</v>
      </c>
      <c r="D40" s="81">
        <f t="shared" ref="D40:G42" si="8">+D$31*$C40</f>
        <v>0</v>
      </c>
      <c r="E40" s="97">
        <f>+E$31*$C40</f>
        <v>373453.32075531798</v>
      </c>
      <c r="F40" s="97">
        <f>+F$31*$C40</f>
        <v>373453.32075531798</v>
      </c>
      <c r="G40" s="97">
        <f t="shared" si="8"/>
        <v>83676.169644947906</v>
      </c>
      <c r="H40" s="97">
        <f t="shared" ref="H40:H42" si="9">+G40-E40</f>
        <v>-289777.15111037006</v>
      </c>
      <c r="J40" s="78">
        <v>27</v>
      </c>
      <c r="K40" s="96" t="s">
        <v>32</v>
      </c>
      <c r="L40" s="25">
        <v>8.4790000000000004E-3</v>
      </c>
      <c r="M40" s="81">
        <v>0</v>
      </c>
      <c r="N40" s="97">
        <v>373453.32075531798</v>
      </c>
      <c r="O40" s="97">
        <v>373453.32075531798</v>
      </c>
      <c r="P40" s="97">
        <v>83676.178123947902</v>
      </c>
      <c r="Q40" s="97">
        <v>-289777.14263137011</v>
      </c>
      <c r="R40" s="27"/>
      <c r="S40" s="27"/>
      <c r="T40" s="27"/>
      <c r="U40" s="27"/>
    </row>
    <row r="41" spans="1:21" ht="14.4" x14ac:dyDescent="0.3">
      <c r="A41" s="78">
        <f t="shared" si="1"/>
        <v>28</v>
      </c>
      <c r="B41" s="96" t="s">
        <v>33</v>
      </c>
      <c r="C41" s="25">
        <v>2E-3</v>
      </c>
      <c r="D41" s="81">
        <f t="shared" si="8"/>
        <v>0</v>
      </c>
      <c r="E41" s="97">
        <f>+E$31*$C41</f>
        <v>88089.001239607955</v>
      </c>
      <c r="F41" s="97">
        <f t="shared" si="8"/>
        <v>88089.001239607955</v>
      </c>
      <c r="G41" s="97">
        <f t="shared" si="8"/>
        <v>19737.27317960795</v>
      </c>
      <c r="H41" s="97">
        <f t="shared" si="9"/>
        <v>-68351.728060000009</v>
      </c>
      <c r="J41" s="78">
        <v>28</v>
      </c>
      <c r="K41" s="96" t="s">
        <v>33</v>
      </c>
      <c r="L41" s="25">
        <v>2E-3</v>
      </c>
      <c r="M41" s="81">
        <v>0</v>
      </c>
      <c r="N41" s="97">
        <v>88089.001239607955</v>
      </c>
      <c r="O41" s="97">
        <v>88089.001239607955</v>
      </c>
      <c r="P41" s="97">
        <v>19737.27517960795</v>
      </c>
      <c r="Q41" s="97">
        <v>-68351.726060000001</v>
      </c>
      <c r="R41" s="27"/>
      <c r="S41" s="27"/>
      <c r="T41" s="27"/>
      <c r="U41" s="27"/>
    </row>
    <row r="42" spans="1:21" ht="14.4" x14ac:dyDescent="0.3">
      <c r="A42" s="78">
        <f t="shared" si="1"/>
        <v>29</v>
      </c>
      <c r="B42" s="98" t="s">
        <v>103</v>
      </c>
      <c r="C42" s="25">
        <v>3.8406000000000003E-2</v>
      </c>
      <c r="D42" s="81">
        <f t="shared" si="8"/>
        <v>0</v>
      </c>
      <c r="E42" s="99">
        <f>(+E$31+E33)*$C42</f>
        <v>1691573.0908041918</v>
      </c>
      <c r="F42" s="97">
        <f>(+F$31+F33)*$C42</f>
        <v>1691573.0908041918</v>
      </c>
      <c r="G42" s="97">
        <f>(+G$31+G33)*$C42</f>
        <v>379014.85686801147</v>
      </c>
      <c r="H42" s="97">
        <f t="shared" si="9"/>
        <v>-1312558.2339361804</v>
      </c>
      <c r="J42" s="78">
        <v>29</v>
      </c>
      <c r="K42" s="98" t="s">
        <v>103</v>
      </c>
      <c r="L42" s="25">
        <v>3.8406000000000003E-2</v>
      </c>
      <c r="M42" s="81">
        <v>0</v>
      </c>
      <c r="N42" s="99">
        <v>1691573.0908041918</v>
      </c>
      <c r="O42" s="97">
        <v>1691573.0908041918</v>
      </c>
      <c r="P42" s="97">
        <v>379014.89527401148</v>
      </c>
      <c r="Q42" s="97">
        <v>-1312558.1955301804</v>
      </c>
      <c r="R42" s="27"/>
      <c r="S42" s="27"/>
      <c r="T42" s="27"/>
      <c r="U42" s="27"/>
    </row>
    <row r="43" spans="1:21" ht="14.4" x14ac:dyDescent="0.3">
      <c r="A43" s="78">
        <f t="shared" si="1"/>
        <v>30</v>
      </c>
      <c r="B43" s="96" t="s">
        <v>34</v>
      </c>
      <c r="D43" s="23">
        <f>SUM(D40:D42)</f>
        <v>0</v>
      </c>
      <c r="E43" s="100">
        <f>SUM(E40:E42)</f>
        <v>2153115.4127991176</v>
      </c>
      <c r="F43" s="100">
        <f t="shared" ref="F43:H43" si="10">SUM(F40:F42)</f>
        <v>2153115.4127991176</v>
      </c>
      <c r="G43" s="100">
        <f t="shared" si="10"/>
        <v>482428.29969256732</v>
      </c>
      <c r="H43" s="100">
        <f t="shared" si="10"/>
        <v>-1670687.1131065504</v>
      </c>
      <c r="J43" s="78">
        <v>30</v>
      </c>
      <c r="K43" s="96" t="s">
        <v>34</v>
      </c>
      <c r="M43" s="23">
        <v>0</v>
      </c>
      <c r="N43" s="100">
        <v>2153115.4127991176</v>
      </c>
      <c r="O43" s="100">
        <v>2153115.4127991176</v>
      </c>
      <c r="P43" s="100">
        <v>482428.34857756732</v>
      </c>
      <c r="Q43" s="100">
        <v>-1670687.0642215505</v>
      </c>
      <c r="R43" s="27"/>
      <c r="S43" s="27"/>
      <c r="T43" s="27"/>
      <c r="U43" s="27"/>
    </row>
    <row r="44" spans="1:21" ht="14.4" x14ac:dyDescent="0.3">
      <c r="A44" s="78">
        <f t="shared" si="1"/>
        <v>31</v>
      </c>
      <c r="D44" s="97"/>
      <c r="E44" s="97"/>
      <c r="F44" s="97"/>
      <c r="G44" s="97"/>
      <c r="H44" s="97"/>
      <c r="J44" s="78">
        <v>31</v>
      </c>
      <c r="M44" s="97"/>
      <c r="N44" s="97"/>
      <c r="O44" s="97"/>
      <c r="P44" s="97"/>
      <c r="Q44" s="97"/>
      <c r="R44" s="27"/>
      <c r="S44" s="27"/>
      <c r="T44" s="27"/>
      <c r="U44" s="27"/>
    </row>
    <row r="45" spans="1:21" ht="14.4" x14ac:dyDescent="0.3">
      <c r="A45" s="78">
        <f t="shared" si="1"/>
        <v>32</v>
      </c>
      <c r="B45" s="96" t="s">
        <v>35</v>
      </c>
      <c r="D45" s="93">
        <f>+D31-D38-D43</f>
        <v>0</v>
      </c>
      <c r="E45" s="93">
        <f>+E31+E33-E38-E43</f>
        <v>10541519.187004862</v>
      </c>
      <c r="F45" s="93">
        <f>+F31+F33-F38-F43</f>
        <v>10541519.187004862</v>
      </c>
      <c r="G45" s="93">
        <f>+G31+G33-G38-G43</f>
        <v>-21963657.729888592</v>
      </c>
      <c r="H45" s="93">
        <f>+H31+H33-H38-H43</f>
        <v>-32505176.916893452</v>
      </c>
      <c r="J45" s="78">
        <v>32</v>
      </c>
      <c r="K45" s="96" t="s">
        <v>35</v>
      </c>
      <c r="M45" s="93">
        <v>0</v>
      </c>
      <c r="N45" s="93">
        <v>10541519.187004862</v>
      </c>
      <c r="O45" s="93">
        <v>10541519.187004862</v>
      </c>
      <c r="P45" s="93">
        <v>-21963656.778773591</v>
      </c>
      <c r="Q45" s="93">
        <v>-32505175.965778451</v>
      </c>
      <c r="R45" s="27"/>
      <c r="S45" s="27"/>
      <c r="T45" s="27"/>
      <c r="U45" s="27"/>
    </row>
    <row r="46" spans="1:21" ht="14.4" x14ac:dyDescent="0.3">
      <c r="A46" s="78">
        <f t="shared" si="1"/>
        <v>33</v>
      </c>
      <c r="B46" s="83"/>
      <c r="D46" s="83"/>
      <c r="E46" s="83"/>
      <c r="F46" s="83"/>
      <c r="G46" s="83"/>
      <c r="H46" s="83"/>
      <c r="J46" s="78">
        <v>33</v>
      </c>
      <c r="K46" s="83"/>
      <c r="M46" s="83"/>
      <c r="N46" s="83"/>
      <c r="O46" s="83"/>
      <c r="P46" s="83"/>
      <c r="Q46" s="83"/>
      <c r="R46" s="27"/>
      <c r="S46" s="27"/>
      <c r="T46" s="27"/>
      <c r="U46" s="27"/>
    </row>
    <row r="47" spans="1:21" ht="14.4" x14ac:dyDescent="0.3">
      <c r="A47" s="78">
        <f t="shared" si="1"/>
        <v>34</v>
      </c>
      <c r="B47" s="83" t="s">
        <v>36</v>
      </c>
      <c r="C47" s="90">
        <v>0.21</v>
      </c>
      <c r="D47" s="101">
        <f>+$C$47*D45</f>
        <v>0</v>
      </c>
      <c r="E47" s="101">
        <f>+$C$47*E45</f>
        <v>2213719.029271021</v>
      </c>
      <c r="F47" s="102">
        <f>+$C$47*F45</f>
        <v>2213719.029271021</v>
      </c>
      <c r="G47" s="101">
        <f>+$C$47*G45</f>
        <v>-4612368.1232766043</v>
      </c>
      <c r="H47" s="101">
        <f>+$C$47*H45</f>
        <v>-6826087.1525476249</v>
      </c>
      <c r="J47" s="78">
        <v>34</v>
      </c>
      <c r="K47" s="83" t="s">
        <v>36</v>
      </c>
      <c r="L47" s="90">
        <v>0.21</v>
      </c>
      <c r="M47" s="101">
        <v>0</v>
      </c>
      <c r="N47" s="101">
        <v>2213719.029271021</v>
      </c>
      <c r="O47" s="102">
        <v>2213719.029271021</v>
      </c>
      <c r="P47" s="101">
        <v>-4612367.9235424539</v>
      </c>
      <c r="Q47" s="101">
        <v>-6826086.9528134745</v>
      </c>
      <c r="R47" s="27"/>
      <c r="S47" s="27"/>
      <c r="T47" s="27"/>
      <c r="U47" s="27"/>
    </row>
    <row r="48" spans="1:21" ht="15" thickBot="1" x14ac:dyDescent="0.35">
      <c r="A48" s="78">
        <f t="shared" si="1"/>
        <v>35</v>
      </c>
      <c r="B48" s="20" t="s">
        <v>37</v>
      </c>
      <c r="D48" s="26">
        <f>D45-D47</f>
        <v>0</v>
      </c>
      <c r="E48" s="26">
        <f>E45-E47</f>
        <v>8327800.1577338409</v>
      </c>
      <c r="F48" s="26">
        <f>F45-F47</f>
        <v>8327800.1577338409</v>
      </c>
      <c r="G48" s="26">
        <f>G45-G47</f>
        <v>-17351289.606611989</v>
      </c>
      <c r="H48" s="26">
        <f>H45-H47</f>
        <v>-25679089.764345828</v>
      </c>
      <c r="J48" s="78">
        <v>35</v>
      </c>
      <c r="K48" s="20" t="s">
        <v>37</v>
      </c>
      <c r="M48" s="26">
        <v>0</v>
      </c>
      <c r="N48" s="26">
        <v>8327800.1577338409</v>
      </c>
      <c r="O48" s="26">
        <v>8327800.1577338409</v>
      </c>
      <c r="P48" s="26">
        <v>-17351288.855231136</v>
      </c>
      <c r="Q48" s="26">
        <v>-25679089.012964979</v>
      </c>
      <c r="R48" s="27"/>
      <c r="S48" s="27"/>
      <c r="T48" s="27"/>
      <c r="U48" s="27"/>
    </row>
    <row r="49" spans="1:21" ht="15" thickTop="1" x14ac:dyDescent="0.3">
      <c r="R49" s="27"/>
      <c r="S49" s="27"/>
      <c r="T49" s="27"/>
      <c r="U49" s="27"/>
    </row>
    <row r="50" spans="1:21" ht="14.4" x14ac:dyDescent="0.3">
      <c r="M50" s="23"/>
      <c r="R50" s="27"/>
      <c r="S50" s="27"/>
      <c r="T50" s="27"/>
      <c r="U50" s="27"/>
    </row>
    <row r="51" spans="1:21" ht="14.4" x14ac:dyDescent="0.3">
      <c r="K51" s="20" t="s">
        <v>168</v>
      </c>
      <c r="R51" s="27"/>
      <c r="S51" s="27"/>
      <c r="T51" s="27"/>
      <c r="U51" s="27"/>
    </row>
    <row r="52" spans="1:21" ht="14.4" x14ac:dyDescent="0.3">
      <c r="A52" s="78">
        <v>1</v>
      </c>
      <c r="B52" s="79" t="s">
        <v>24</v>
      </c>
      <c r="C52" s="80"/>
      <c r="D52" s="77">
        <v>0</v>
      </c>
      <c r="E52" s="77">
        <v>5983138.4299999997</v>
      </c>
      <c r="F52" s="77">
        <v>5983138.4299999997</v>
      </c>
      <c r="G52" s="77">
        <v>5983138.4299999997</v>
      </c>
      <c r="H52" s="77">
        <v>0</v>
      </c>
      <c r="K52" s="20" t="s">
        <v>37</v>
      </c>
      <c r="N52" s="103">
        <v>8327800.1577338409</v>
      </c>
      <c r="O52" s="103">
        <v>8327800.1577338409</v>
      </c>
      <c r="P52" s="103">
        <v>-17360173.182401538</v>
      </c>
      <c r="Q52" s="103">
        <v>-25687973.340135377</v>
      </c>
      <c r="R52" s="27"/>
      <c r="S52" s="27"/>
      <c r="T52" s="27"/>
      <c r="U52" s="27"/>
    </row>
    <row r="53" spans="1:21" ht="14.4" x14ac:dyDescent="0.3">
      <c r="A53" s="78">
        <v>2</v>
      </c>
      <c r="B53" s="79" t="s">
        <v>25</v>
      </c>
      <c r="C53" s="80"/>
      <c r="D53" s="81">
        <v>0</v>
      </c>
      <c r="E53" s="81">
        <v>41885179.539999999</v>
      </c>
      <c r="F53" s="81">
        <v>41885179.539999999</v>
      </c>
      <c r="G53" s="81">
        <v>41885179.539999999</v>
      </c>
      <c r="H53" s="81">
        <v>0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ht="14.4" x14ac:dyDescent="0.3">
      <c r="A54" s="78">
        <v>3</v>
      </c>
      <c r="B54" s="79" t="s">
        <v>26</v>
      </c>
      <c r="C54" s="80"/>
      <c r="D54" s="81">
        <v>0</v>
      </c>
      <c r="E54" s="81"/>
      <c r="F54" s="81">
        <v>0</v>
      </c>
      <c r="G54" s="81">
        <v>1895876.7300000002</v>
      </c>
      <c r="H54" s="81">
        <v>1895876.7300000002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14.4" x14ac:dyDescent="0.3">
      <c r="A55" s="78">
        <v>4</v>
      </c>
      <c r="B55" s="79" t="s">
        <v>27</v>
      </c>
      <c r="C55" s="82"/>
      <c r="D55" s="81">
        <v>0</v>
      </c>
      <c r="E55" s="81"/>
      <c r="F55" s="81">
        <v>0</v>
      </c>
      <c r="G55" s="81">
        <v>-723802.14000000013</v>
      </c>
      <c r="H55" s="81">
        <v>-723802.14000000013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14.4" x14ac:dyDescent="0.3">
      <c r="A56" s="78">
        <v>5</v>
      </c>
      <c r="B56" s="79" t="s">
        <v>166</v>
      </c>
      <c r="C56" s="80"/>
      <c r="D56" s="81"/>
      <c r="E56" s="81">
        <v>-20725035.350196019</v>
      </c>
      <c r="F56" s="81">
        <v>-20725035.350196019</v>
      </c>
      <c r="G56" s="81">
        <v>-20725035.350196019</v>
      </c>
      <c r="H56" s="81">
        <v>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ht="14.4" x14ac:dyDescent="0.3">
      <c r="A57" s="78">
        <v>6</v>
      </c>
      <c r="B57" s="79" t="s">
        <v>108</v>
      </c>
      <c r="D57" s="81">
        <v>0</v>
      </c>
      <c r="E57" s="81">
        <v>10345744.779999999</v>
      </c>
      <c r="F57" s="81">
        <v>10345744.779999999</v>
      </c>
      <c r="G57" s="81">
        <v>10345744.779999999</v>
      </c>
      <c r="H57" s="81">
        <v>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ht="14.4" x14ac:dyDescent="0.3">
      <c r="A58" s="78">
        <v>7</v>
      </c>
      <c r="B58" s="79" t="s">
        <v>122</v>
      </c>
      <c r="C58" s="83"/>
      <c r="D58" s="81">
        <v>0</v>
      </c>
      <c r="E58" s="81"/>
      <c r="F58" s="81">
        <v>0</v>
      </c>
      <c r="G58" s="81">
        <v>-18978293.07</v>
      </c>
      <c r="H58" s="81">
        <v>-18978293.07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ht="14.4" x14ac:dyDescent="0.3">
      <c r="A59" s="78">
        <v>8</v>
      </c>
      <c r="B59" s="79" t="s">
        <v>167</v>
      </c>
      <c r="C59" s="85"/>
      <c r="D59" s="81">
        <v>0</v>
      </c>
      <c r="E59" s="81">
        <v>114.23000000000138</v>
      </c>
      <c r="F59" s="81">
        <v>114.23000000000138</v>
      </c>
      <c r="G59" s="81">
        <v>114.23000000000138</v>
      </c>
      <c r="H59" s="81">
        <v>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ht="14.4" x14ac:dyDescent="0.3">
      <c r="A60" s="78">
        <v>9</v>
      </c>
      <c r="B60" s="79" t="s">
        <v>43</v>
      </c>
      <c r="C60" s="82"/>
      <c r="D60" s="87">
        <v>0</v>
      </c>
      <c r="E60" s="87">
        <v>3810955</v>
      </c>
      <c r="F60" s="87">
        <v>3810955</v>
      </c>
      <c r="G60" s="87">
        <v>3810955</v>
      </c>
      <c r="H60" s="87">
        <v>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ht="14.4" x14ac:dyDescent="0.3">
      <c r="A61" s="78">
        <v>10</v>
      </c>
      <c r="B61" s="88" t="s">
        <v>104</v>
      </c>
      <c r="D61" s="89">
        <v>0</v>
      </c>
      <c r="E61" s="89">
        <v>41300096.629803978</v>
      </c>
      <c r="F61" s="89">
        <v>41300096.629803978</v>
      </c>
      <c r="G61" s="89">
        <v>23493878.149803977</v>
      </c>
      <c r="H61" s="89">
        <v>-17806218.48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ht="14.4" x14ac:dyDescent="0.3">
      <c r="A62" s="78">
        <v>11</v>
      </c>
      <c r="B62" s="70" t="s">
        <v>28</v>
      </c>
      <c r="C62" s="90"/>
      <c r="D62" s="91"/>
      <c r="E62" s="91"/>
      <c r="F62" s="91"/>
      <c r="G62" s="91"/>
      <c r="H62" s="91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ht="14.4" x14ac:dyDescent="0.3">
      <c r="A63" s="78">
        <v>12</v>
      </c>
      <c r="B63" s="92" t="s">
        <v>29</v>
      </c>
      <c r="C63" s="82"/>
      <c r="D63" s="81">
        <v>0</v>
      </c>
      <c r="E63" s="93">
        <v>-10964420.23</v>
      </c>
      <c r="F63" s="81">
        <v>-10964420.23</v>
      </c>
      <c r="G63" s="81">
        <v>-10964420.23</v>
      </c>
      <c r="H63" s="81">
        <v>0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ht="14.4" x14ac:dyDescent="0.3">
      <c r="A64" s="78">
        <v>13</v>
      </c>
      <c r="B64" s="79" t="s">
        <v>59</v>
      </c>
      <c r="C64" s="94"/>
      <c r="D64" s="81">
        <v>0</v>
      </c>
      <c r="F64" s="81">
        <v>0</v>
      </c>
      <c r="G64" s="81">
        <v>-18227053.410000004</v>
      </c>
      <c r="H64" s="81">
        <v>-18227053.410000004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ht="14.4" x14ac:dyDescent="0.3">
      <c r="A65" s="78">
        <v>14</v>
      </c>
      <c r="B65" s="92" t="s">
        <v>96</v>
      </c>
      <c r="D65" s="81">
        <v>0</v>
      </c>
      <c r="E65" s="22">
        <v>24054569</v>
      </c>
      <c r="F65" s="81">
        <v>24054569</v>
      </c>
      <c r="G65" s="81">
        <v>24054569</v>
      </c>
      <c r="H65" s="81">
        <v>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ht="14.4" x14ac:dyDescent="0.3">
      <c r="A66" s="78">
        <v>15</v>
      </c>
      <c r="B66" s="92" t="s">
        <v>109</v>
      </c>
      <c r="D66" s="81">
        <v>0</v>
      </c>
      <c r="E66" s="23">
        <v>-10345744.779999999</v>
      </c>
      <c r="F66" s="81">
        <v>-10345744.779999999</v>
      </c>
      <c r="G66" s="81">
        <v>-10345744.779999999</v>
      </c>
      <c r="H66" s="81">
        <v>0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ht="14.4" x14ac:dyDescent="0.3">
      <c r="A67" s="78">
        <v>16</v>
      </c>
      <c r="B67" s="79" t="s">
        <v>99</v>
      </c>
      <c r="D67" s="89">
        <v>0</v>
      </c>
      <c r="F67" s="81">
        <v>0</v>
      </c>
      <c r="G67" s="81">
        <v>835357.9</v>
      </c>
      <c r="H67" s="81">
        <v>835357.9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ht="14.4" x14ac:dyDescent="0.3">
      <c r="A68" s="78"/>
      <c r="B68" s="79"/>
      <c r="D68" s="89"/>
      <c r="F68" s="81"/>
      <c r="G68" s="81">
        <v>1010226.96</v>
      </c>
      <c r="H68" s="81">
        <v>1010226.96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ht="14.4" x14ac:dyDescent="0.3">
      <c r="A69" s="78">
        <v>17</v>
      </c>
      <c r="B69" s="88" t="s">
        <v>105</v>
      </c>
      <c r="D69" s="95">
        <v>0</v>
      </c>
      <c r="E69" s="95">
        <v>2744403.99</v>
      </c>
      <c r="F69" s="95">
        <v>2744403.99</v>
      </c>
      <c r="G69" s="95">
        <v>-13637064.560000002</v>
      </c>
      <c r="H69" s="95">
        <v>-16381468.550000004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4.4" x14ac:dyDescent="0.3">
      <c r="A70" s="78">
        <v>18</v>
      </c>
      <c r="B70" s="96" t="s">
        <v>164</v>
      </c>
      <c r="D70" s="23">
        <v>0</v>
      </c>
      <c r="E70" s="23">
        <v>44044500.61980398</v>
      </c>
      <c r="F70" s="23">
        <v>44044500.61980398</v>
      </c>
      <c r="G70" s="23">
        <v>9856813.5898039751</v>
      </c>
      <c r="H70" s="23">
        <v>-34187687.030000001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4.4" x14ac:dyDescent="0.3">
      <c r="A71" s="78">
        <v>19</v>
      </c>
      <c r="B71" s="96"/>
      <c r="D71" s="23"/>
      <c r="E71" s="23"/>
      <c r="F71" s="23"/>
      <c r="G71" s="23"/>
      <c r="H71" s="23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4.4" x14ac:dyDescent="0.3">
      <c r="A72" s="78">
        <v>20</v>
      </c>
      <c r="B72" s="96" t="s">
        <v>150</v>
      </c>
      <c r="D72" s="23"/>
      <c r="E72" s="23">
        <v>0</v>
      </c>
      <c r="F72" s="23">
        <v>0</v>
      </c>
      <c r="G72" s="23"/>
      <c r="H72" s="81">
        <v>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ht="14.4" x14ac:dyDescent="0.3">
      <c r="A73" s="78">
        <v>21</v>
      </c>
      <c r="D73" s="24"/>
      <c r="E73" s="24"/>
      <c r="F73" s="24"/>
      <c r="G73" s="24"/>
      <c r="H73" s="24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ht="14.4" x14ac:dyDescent="0.3">
      <c r="A74" s="78">
        <v>22</v>
      </c>
      <c r="B74" s="70" t="s">
        <v>106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ht="14.4" x14ac:dyDescent="0.3">
      <c r="A75" s="78">
        <v>23</v>
      </c>
      <c r="B75" s="79" t="s">
        <v>30</v>
      </c>
      <c r="D75" s="81">
        <v>0</v>
      </c>
      <c r="E75" s="81">
        <v>31779966.02</v>
      </c>
      <c r="F75" s="81">
        <v>31779966.02</v>
      </c>
      <c r="G75" s="81">
        <v>31779966.02</v>
      </c>
      <c r="H75" s="81">
        <v>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ht="14.4" x14ac:dyDescent="0.3">
      <c r="A76" s="78">
        <v>24</v>
      </c>
      <c r="B76" s="79" t="s">
        <v>107</v>
      </c>
      <c r="D76" s="87">
        <v>0</v>
      </c>
      <c r="E76" s="87">
        <v>-430100</v>
      </c>
      <c r="F76" s="87">
        <v>-430100</v>
      </c>
      <c r="G76" s="87">
        <v>-430100</v>
      </c>
      <c r="H76" s="87">
        <v>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ht="14.4" x14ac:dyDescent="0.3">
      <c r="A77" s="78">
        <v>25</v>
      </c>
      <c r="B77" s="96" t="s">
        <v>31</v>
      </c>
      <c r="D77" s="89">
        <v>0</v>
      </c>
      <c r="E77" s="89">
        <v>31349866.02</v>
      </c>
      <c r="F77" s="89">
        <v>31349866.02</v>
      </c>
      <c r="G77" s="89">
        <v>31349866.02</v>
      </c>
      <c r="H77" s="89">
        <v>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ht="14.4" x14ac:dyDescent="0.3">
      <c r="A78" s="78">
        <v>26</v>
      </c>
      <c r="D78" s="91"/>
      <c r="E78" s="91"/>
      <c r="F78" s="91"/>
      <c r="G78" s="91"/>
      <c r="H78" s="91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ht="14.4" x14ac:dyDescent="0.3">
      <c r="A79" s="78">
        <v>27</v>
      </c>
      <c r="B79" s="96" t="s">
        <v>32</v>
      </c>
      <c r="C79" s="25">
        <v>8.4790000000000004E-3</v>
      </c>
      <c r="D79" s="81">
        <v>0</v>
      </c>
      <c r="E79" s="97">
        <v>373453.32075531798</v>
      </c>
      <c r="F79" s="97">
        <v>373453.32075531798</v>
      </c>
      <c r="G79" s="97">
        <v>83575.922427947909</v>
      </c>
      <c r="H79" s="97">
        <v>-289877.39832737006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ht="14.4" x14ac:dyDescent="0.3">
      <c r="A80" s="78">
        <v>28</v>
      </c>
      <c r="B80" s="96" t="s">
        <v>33</v>
      </c>
      <c r="C80" s="25">
        <v>2E-3</v>
      </c>
      <c r="D80" s="81">
        <v>0</v>
      </c>
      <c r="E80" s="97">
        <v>88089.001239607955</v>
      </c>
      <c r="F80" s="97">
        <v>88089.001239607955</v>
      </c>
      <c r="G80" s="97">
        <v>19713.627179607949</v>
      </c>
      <c r="H80" s="97">
        <v>-68375.374060000002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ht="14.4" x14ac:dyDescent="0.3">
      <c r="A81" s="78">
        <v>29</v>
      </c>
      <c r="B81" s="98" t="s">
        <v>103</v>
      </c>
      <c r="C81" s="25">
        <v>3.8406000000000003E-2</v>
      </c>
      <c r="D81" s="81">
        <v>0</v>
      </c>
      <c r="E81" s="99">
        <v>1691573.0908041918</v>
      </c>
      <c r="F81" s="97">
        <v>1691573.0908041918</v>
      </c>
      <c r="G81" s="97">
        <v>378560.7827300115</v>
      </c>
      <c r="H81" s="97">
        <v>-1313012.3080741803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ht="14.4" x14ac:dyDescent="0.3">
      <c r="A82" s="78">
        <v>30</v>
      </c>
      <c r="B82" s="96" t="s">
        <v>34</v>
      </c>
      <c r="D82" s="23">
        <v>0</v>
      </c>
      <c r="E82" s="100">
        <v>2153115.4127991176</v>
      </c>
      <c r="F82" s="100">
        <v>2153115.4127991176</v>
      </c>
      <c r="G82" s="100">
        <v>481850.33233756735</v>
      </c>
      <c r="H82" s="100">
        <v>-1671265.0804615503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ht="14.4" x14ac:dyDescent="0.3">
      <c r="A83" s="78">
        <v>31</v>
      </c>
      <c r="D83" s="97"/>
      <c r="E83" s="97"/>
      <c r="F83" s="97"/>
      <c r="G83" s="97"/>
      <c r="H83" s="9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ht="14.4" x14ac:dyDescent="0.3">
      <c r="A84" s="78">
        <v>32</v>
      </c>
      <c r="B84" s="96" t="s">
        <v>35</v>
      </c>
      <c r="D84" s="93">
        <v>0</v>
      </c>
      <c r="E84" s="93">
        <v>10541519.187004862</v>
      </c>
      <c r="F84" s="93">
        <v>10541519.187004862</v>
      </c>
      <c r="G84" s="93">
        <v>-21974902.76253359</v>
      </c>
      <c r="H84" s="93">
        <v>-32516421.949538451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ht="14.4" x14ac:dyDescent="0.3">
      <c r="A85" s="78">
        <v>33</v>
      </c>
      <c r="B85" s="83"/>
      <c r="D85" s="83"/>
      <c r="E85" s="83"/>
      <c r="F85" s="83"/>
      <c r="G85" s="83"/>
      <c r="H85" s="83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ht="14.4" x14ac:dyDescent="0.3">
      <c r="A86" s="78">
        <v>34</v>
      </c>
      <c r="B86" s="83" t="s">
        <v>36</v>
      </c>
      <c r="C86" s="90">
        <v>0.21</v>
      </c>
      <c r="D86" s="101">
        <v>0</v>
      </c>
      <c r="E86" s="101">
        <v>2213719.029271021</v>
      </c>
      <c r="F86" s="102">
        <v>2213719.029271021</v>
      </c>
      <c r="G86" s="101">
        <v>-4614729.5801320542</v>
      </c>
      <c r="H86" s="101">
        <v>-6828448.6094030747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ht="15" thickBot="1" x14ac:dyDescent="0.35">
      <c r="A87" s="78">
        <v>35</v>
      </c>
      <c r="B87" s="20" t="s">
        <v>37</v>
      </c>
      <c r="D87" s="26">
        <v>0</v>
      </c>
      <c r="E87" s="26">
        <v>8327800.1577338409</v>
      </c>
      <c r="F87" s="26">
        <v>8327800.1577338409</v>
      </c>
      <c r="G87" s="26">
        <v>-17360173.182401538</v>
      </c>
      <c r="H87" s="26">
        <v>-25687973.340135377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ht="15" thickTop="1" x14ac:dyDescent="0.3"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ht="14.4" x14ac:dyDescent="0.3">
      <c r="A89" s="78">
        <v>1</v>
      </c>
      <c r="B89" s="79" t="s">
        <v>24</v>
      </c>
      <c r="C89" s="80"/>
      <c r="D89" s="77">
        <v>0</v>
      </c>
      <c r="E89" s="77">
        <f t="shared" ref="E89:H108" si="11">+E13-E52</f>
        <v>0</v>
      </c>
      <c r="F89" s="77">
        <f t="shared" si="11"/>
        <v>0</v>
      </c>
      <c r="G89" s="77">
        <f t="shared" si="11"/>
        <v>0</v>
      </c>
      <c r="H89" s="77">
        <f t="shared" si="11"/>
        <v>0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ht="14.4" x14ac:dyDescent="0.3">
      <c r="A90" s="78">
        <v>2</v>
      </c>
      <c r="B90" s="79" t="s">
        <v>25</v>
      </c>
      <c r="C90" s="80"/>
      <c r="D90" s="81">
        <v>0</v>
      </c>
      <c r="E90" s="81">
        <f t="shared" si="11"/>
        <v>0</v>
      </c>
      <c r="F90" s="81">
        <f t="shared" si="11"/>
        <v>0</v>
      </c>
      <c r="G90" s="81">
        <f t="shared" si="11"/>
        <v>0</v>
      </c>
      <c r="H90" s="81">
        <f t="shared" si="11"/>
        <v>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ht="14.4" x14ac:dyDescent="0.3">
      <c r="A91" s="78">
        <v>3</v>
      </c>
      <c r="B91" s="79" t="s">
        <v>26</v>
      </c>
      <c r="C91" s="80"/>
      <c r="D91" s="81">
        <v>0</v>
      </c>
      <c r="E91" s="81">
        <f t="shared" si="11"/>
        <v>0</v>
      </c>
      <c r="F91" s="81">
        <f t="shared" si="11"/>
        <v>0</v>
      </c>
      <c r="G91" s="81">
        <f t="shared" si="11"/>
        <v>0</v>
      </c>
      <c r="H91" s="81">
        <f t="shared" si="11"/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ht="14.4" x14ac:dyDescent="0.3">
      <c r="A92" s="78">
        <v>4</v>
      </c>
      <c r="B92" s="79" t="s">
        <v>27</v>
      </c>
      <c r="C92" s="82"/>
      <c r="D92" s="81">
        <v>0</v>
      </c>
      <c r="E92" s="81">
        <f t="shared" si="11"/>
        <v>0</v>
      </c>
      <c r="F92" s="81">
        <f t="shared" si="11"/>
        <v>0</v>
      </c>
      <c r="G92" s="81">
        <f t="shared" si="11"/>
        <v>0</v>
      </c>
      <c r="H92" s="81">
        <f t="shared" si="11"/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ht="14.4" x14ac:dyDescent="0.3">
      <c r="A93" s="78">
        <v>5</v>
      </c>
      <c r="B93" s="79" t="s">
        <v>166</v>
      </c>
      <c r="C93" s="80"/>
      <c r="D93" s="81"/>
      <c r="E93" s="81">
        <f t="shared" si="11"/>
        <v>0</v>
      </c>
      <c r="F93" s="81">
        <f t="shared" si="11"/>
        <v>0</v>
      </c>
      <c r="G93" s="81">
        <f t="shared" si="11"/>
        <v>0</v>
      </c>
      <c r="H93" s="81">
        <f t="shared" si="11"/>
        <v>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ht="14.4" x14ac:dyDescent="0.3">
      <c r="A94" s="78">
        <v>6</v>
      </c>
      <c r="B94" s="79" t="s">
        <v>108</v>
      </c>
      <c r="D94" s="81">
        <v>0</v>
      </c>
      <c r="E94" s="81">
        <f t="shared" si="11"/>
        <v>0</v>
      </c>
      <c r="F94" s="81">
        <f t="shared" si="11"/>
        <v>0</v>
      </c>
      <c r="G94" s="81">
        <f t="shared" si="11"/>
        <v>0</v>
      </c>
      <c r="H94" s="81">
        <f t="shared" si="11"/>
        <v>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ht="14.4" x14ac:dyDescent="0.3">
      <c r="A95" s="78">
        <v>7</v>
      </c>
      <c r="B95" s="79" t="s">
        <v>122</v>
      </c>
      <c r="C95" s="83"/>
      <c r="D95" s="81">
        <v>0</v>
      </c>
      <c r="E95" s="81">
        <f t="shared" si="11"/>
        <v>0</v>
      </c>
      <c r="F95" s="81">
        <f t="shared" si="11"/>
        <v>0</v>
      </c>
      <c r="G95" s="81">
        <f t="shared" si="11"/>
        <v>11823</v>
      </c>
      <c r="H95" s="81">
        <f t="shared" si="11"/>
        <v>11823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ht="14.4" x14ac:dyDescent="0.3">
      <c r="A96" s="78">
        <v>8</v>
      </c>
      <c r="B96" s="79" t="s">
        <v>167</v>
      </c>
      <c r="C96" s="85"/>
      <c r="D96" s="81">
        <v>0</v>
      </c>
      <c r="E96" s="81">
        <f t="shared" si="11"/>
        <v>0</v>
      </c>
      <c r="F96" s="81">
        <f t="shared" si="11"/>
        <v>0</v>
      </c>
      <c r="G96" s="81">
        <f t="shared" si="11"/>
        <v>0</v>
      </c>
      <c r="H96" s="81">
        <f t="shared" si="11"/>
        <v>0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ht="14.4" x14ac:dyDescent="0.3">
      <c r="A97" s="78">
        <v>9</v>
      </c>
      <c r="B97" s="79" t="s">
        <v>43</v>
      </c>
      <c r="C97" s="82"/>
      <c r="D97" s="87">
        <v>0</v>
      </c>
      <c r="E97" s="87">
        <f t="shared" si="11"/>
        <v>0</v>
      </c>
      <c r="F97" s="87">
        <f t="shared" si="11"/>
        <v>0</v>
      </c>
      <c r="G97" s="87">
        <f t="shared" si="11"/>
        <v>0</v>
      </c>
      <c r="H97" s="87">
        <f t="shared" si="11"/>
        <v>0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ht="14.4" x14ac:dyDescent="0.3">
      <c r="A98" s="78">
        <v>10</v>
      </c>
      <c r="B98" s="88" t="s">
        <v>104</v>
      </c>
      <c r="D98" s="89">
        <v>0</v>
      </c>
      <c r="E98" s="89">
        <f t="shared" si="11"/>
        <v>0</v>
      </c>
      <c r="F98" s="89">
        <f t="shared" si="11"/>
        <v>0</v>
      </c>
      <c r="G98" s="89">
        <f t="shared" si="11"/>
        <v>11823</v>
      </c>
      <c r="H98" s="89">
        <f t="shared" si="11"/>
        <v>11823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1:21" ht="14.4" x14ac:dyDescent="0.3">
      <c r="A99" s="78">
        <v>11</v>
      </c>
      <c r="B99" s="70" t="s">
        <v>28</v>
      </c>
      <c r="C99" s="90"/>
      <c r="D99" s="91"/>
      <c r="E99" s="91">
        <f t="shared" si="11"/>
        <v>0</v>
      </c>
      <c r="F99" s="91">
        <f t="shared" si="11"/>
        <v>0</v>
      </c>
      <c r="G99" s="91">
        <f t="shared" si="11"/>
        <v>0</v>
      </c>
      <c r="H99" s="91">
        <f t="shared" si="11"/>
        <v>0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ht="14.4" x14ac:dyDescent="0.3">
      <c r="A100" s="78">
        <v>12</v>
      </c>
      <c r="B100" s="92" t="s">
        <v>29</v>
      </c>
      <c r="C100" s="82"/>
      <c r="D100" s="81">
        <v>0</v>
      </c>
      <c r="E100" s="93">
        <f t="shared" si="11"/>
        <v>0</v>
      </c>
      <c r="F100" s="81">
        <f t="shared" si="11"/>
        <v>0</v>
      </c>
      <c r="G100" s="81">
        <f t="shared" si="11"/>
        <v>0</v>
      </c>
      <c r="H100" s="81">
        <f t="shared" si="11"/>
        <v>0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ht="14.4" x14ac:dyDescent="0.3">
      <c r="A101" s="78">
        <v>13</v>
      </c>
      <c r="B101" s="79" t="s">
        <v>59</v>
      </c>
      <c r="C101" s="94"/>
      <c r="D101" s="81">
        <v>0</v>
      </c>
      <c r="E101" s="20">
        <f t="shared" si="11"/>
        <v>0</v>
      </c>
      <c r="F101" s="81">
        <f t="shared" si="11"/>
        <v>0</v>
      </c>
      <c r="G101" s="81">
        <f t="shared" si="11"/>
        <v>0</v>
      </c>
      <c r="H101" s="81">
        <f t="shared" si="11"/>
        <v>0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ht="14.4" x14ac:dyDescent="0.3">
      <c r="A102" s="78">
        <v>14</v>
      </c>
      <c r="B102" s="92" t="s">
        <v>96</v>
      </c>
      <c r="D102" s="81">
        <v>0</v>
      </c>
      <c r="E102" s="22">
        <f t="shared" si="11"/>
        <v>0</v>
      </c>
      <c r="F102" s="81">
        <f t="shared" si="11"/>
        <v>0</v>
      </c>
      <c r="G102" s="81">
        <f t="shared" si="11"/>
        <v>0</v>
      </c>
      <c r="H102" s="81">
        <f t="shared" si="11"/>
        <v>0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ht="14.4" x14ac:dyDescent="0.3">
      <c r="A103" s="78">
        <v>15</v>
      </c>
      <c r="B103" s="92" t="s">
        <v>109</v>
      </c>
      <c r="D103" s="81">
        <v>0</v>
      </c>
      <c r="E103" s="23">
        <f t="shared" si="11"/>
        <v>0</v>
      </c>
      <c r="F103" s="81">
        <f t="shared" si="11"/>
        <v>0</v>
      </c>
      <c r="G103" s="81">
        <f t="shared" si="11"/>
        <v>0</v>
      </c>
      <c r="H103" s="81">
        <f t="shared" si="11"/>
        <v>0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1:21" ht="14.4" x14ac:dyDescent="0.3">
      <c r="A104" s="78">
        <v>16</v>
      </c>
      <c r="B104" s="79" t="s">
        <v>99</v>
      </c>
      <c r="D104" s="89">
        <v>0</v>
      </c>
      <c r="E104" s="20">
        <f t="shared" si="11"/>
        <v>0</v>
      </c>
      <c r="F104" s="81">
        <f t="shared" si="11"/>
        <v>0</v>
      </c>
      <c r="G104" s="81">
        <f t="shared" si="11"/>
        <v>0</v>
      </c>
      <c r="H104" s="81">
        <f t="shared" si="11"/>
        <v>0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 ht="14.4" x14ac:dyDescent="0.3">
      <c r="A105" s="78"/>
      <c r="B105" s="79"/>
      <c r="D105" s="89"/>
      <c r="E105" s="20">
        <f t="shared" si="11"/>
        <v>0</v>
      </c>
      <c r="F105" s="81">
        <f t="shared" si="11"/>
        <v>0</v>
      </c>
      <c r="G105" s="81">
        <f t="shared" si="11"/>
        <v>0</v>
      </c>
      <c r="H105" s="81">
        <f t="shared" si="11"/>
        <v>0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1:21" ht="14.4" x14ac:dyDescent="0.3">
      <c r="A106" s="78">
        <v>17</v>
      </c>
      <c r="B106" s="88" t="s">
        <v>105</v>
      </c>
      <c r="D106" s="95">
        <v>0</v>
      </c>
      <c r="E106" s="95">
        <f t="shared" si="11"/>
        <v>0</v>
      </c>
      <c r="F106" s="95">
        <f t="shared" si="11"/>
        <v>0</v>
      </c>
      <c r="G106" s="95">
        <f t="shared" si="11"/>
        <v>0</v>
      </c>
      <c r="H106" s="95">
        <f t="shared" si="11"/>
        <v>0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1:21" ht="14.4" x14ac:dyDescent="0.3">
      <c r="A107" s="78">
        <v>18</v>
      </c>
      <c r="B107" s="96" t="s">
        <v>164</v>
      </c>
      <c r="D107" s="23">
        <v>0</v>
      </c>
      <c r="E107" s="23">
        <f t="shared" si="11"/>
        <v>0</v>
      </c>
      <c r="F107" s="23">
        <f t="shared" si="11"/>
        <v>0</v>
      </c>
      <c r="G107" s="23">
        <f t="shared" si="11"/>
        <v>11823</v>
      </c>
      <c r="H107" s="23">
        <f t="shared" si="11"/>
        <v>11823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1:21" ht="14.4" x14ac:dyDescent="0.3">
      <c r="A108" s="78">
        <v>19</v>
      </c>
      <c r="B108" s="96"/>
      <c r="D108" s="23"/>
      <c r="E108" s="23">
        <f t="shared" si="11"/>
        <v>0</v>
      </c>
      <c r="F108" s="23">
        <f t="shared" si="11"/>
        <v>0</v>
      </c>
      <c r="G108" s="23">
        <f t="shared" si="11"/>
        <v>0</v>
      </c>
      <c r="H108" s="23">
        <f t="shared" si="11"/>
        <v>0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ht="14.4" x14ac:dyDescent="0.3">
      <c r="A109" s="78">
        <v>20</v>
      </c>
      <c r="B109" s="96" t="s">
        <v>150</v>
      </c>
      <c r="D109" s="23"/>
      <c r="E109" s="23">
        <f t="shared" ref="E109:H124" si="12">+E33-E72</f>
        <v>0</v>
      </c>
      <c r="F109" s="23">
        <f t="shared" si="12"/>
        <v>0</v>
      </c>
      <c r="G109" s="23">
        <f t="shared" si="12"/>
        <v>0</v>
      </c>
      <c r="H109" s="81">
        <f t="shared" si="12"/>
        <v>0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1:21" ht="14.4" x14ac:dyDescent="0.3">
      <c r="A110" s="78">
        <v>21</v>
      </c>
      <c r="D110" s="24"/>
      <c r="E110" s="24">
        <f t="shared" si="12"/>
        <v>0</v>
      </c>
      <c r="F110" s="24">
        <f t="shared" si="12"/>
        <v>0</v>
      </c>
      <c r="G110" s="24">
        <f t="shared" si="12"/>
        <v>0</v>
      </c>
      <c r="H110" s="24">
        <f t="shared" si="12"/>
        <v>0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 ht="14.4" x14ac:dyDescent="0.3">
      <c r="A111" s="78">
        <v>22</v>
      </c>
      <c r="B111" s="70" t="s">
        <v>106</v>
      </c>
      <c r="E111" s="20">
        <f t="shared" si="12"/>
        <v>0</v>
      </c>
      <c r="F111" s="20">
        <f t="shared" si="12"/>
        <v>0</v>
      </c>
      <c r="G111" s="20">
        <f t="shared" si="12"/>
        <v>0</v>
      </c>
      <c r="H111" s="20">
        <f t="shared" si="12"/>
        <v>0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ht="14.4" x14ac:dyDescent="0.3">
      <c r="A112" s="78">
        <v>23</v>
      </c>
      <c r="B112" s="79" t="s">
        <v>30</v>
      </c>
      <c r="D112" s="81">
        <v>0</v>
      </c>
      <c r="E112" s="81">
        <f t="shared" si="12"/>
        <v>0</v>
      </c>
      <c r="F112" s="81">
        <f t="shared" si="12"/>
        <v>0</v>
      </c>
      <c r="G112" s="81">
        <f t="shared" si="12"/>
        <v>0</v>
      </c>
      <c r="H112" s="81">
        <f t="shared" si="12"/>
        <v>0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21" ht="14.4" x14ac:dyDescent="0.3">
      <c r="A113" s="78">
        <v>24</v>
      </c>
      <c r="B113" s="79" t="s">
        <v>107</v>
      </c>
      <c r="D113" s="87">
        <v>0</v>
      </c>
      <c r="E113" s="87">
        <f t="shared" si="12"/>
        <v>0</v>
      </c>
      <c r="F113" s="87">
        <f t="shared" si="12"/>
        <v>0</v>
      </c>
      <c r="G113" s="87">
        <f t="shared" si="12"/>
        <v>0</v>
      </c>
      <c r="H113" s="87">
        <f t="shared" si="12"/>
        <v>0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1:21" ht="14.4" x14ac:dyDescent="0.3">
      <c r="A114" s="78">
        <v>25</v>
      </c>
      <c r="B114" s="96" t="s">
        <v>31</v>
      </c>
      <c r="D114" s="89">
        <v>0</v>
      </c>
      <c r="E114" s="89">
        <f t="shared" si="12"/>
        <v>0</v>
      </c>
      <c r="F114" s="89">
        <f t="shared" si="12"/>
        <v>0</v>
      </c>
      <c r="G114" s="89">
        <f t="shared" si="12"/>
        <v>0</v>
      </c>
      <c r="H114" s="89">
        <f t="shared" si="12"/>
        <v>0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 ht="14.4" x14ac:dyDescent="0.3">
      <c r="A115" s="78">
        <v>26</v>
      </c>
      <c r="D115" s="91"/>
      <c r="E115" s="91">
        <f t="shared" si="12"/>
        <v>0</v>
      </c>
      <c r="F115" s="91">
        <f t="shared" si="12"/>
        <v>0</v>
      </c>
      <c r="G115" s="91">
        <f t="shared" si="12"/>
        <v>0</v>
      </c>
      <c r="H115" s="91">
        <f t="shared" si="12"/>
        <v>0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1:21" ht="14.4" x14ac:dyDescent="0.3">
      <c r="A116" s="78">
        <v>27</v>
      </c>
      <c r="B116" s="96" t="s">
        <v>32</v>
      </c>
      <c r="C116" s="25">
        <f t="shared" ref="C116:C124" si="13">+C40-C79</f>
        <v>0</v>
      </c>
      <c r="D116" s="81">
        <v>0</v>
      </c>
      <c r="E116" s="97">
        <f t="shared" si="12"/>
        <v>0</v>
      </c>
      <c r="F116" s="97">
        <f t="shared" si="12"/>
        <v>0</v>
      </c>
      <c r="G116" s="97">
        <f t="shared" si="12"/>
        <v>100.24721699999645</v>
      </c>
      <c r="H116" s="97">
        <f t="shared" si="12"/>
        <v>100.24721699999645</v>
      </c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1:21" ht="14.4" x14ac:dyDescent="0.3">
      <c r="A117" s="78">
        <v>28</v>
      </c>
      <c r="B117" s="96" t="s">
        <v>33</v>
      </c>
      <c r="C117" s="25">
        <f t="shared" si="13"/>
        <v>0</v>
      </c>
      <c r="D117" s="81">
        <v>0</v>
      </c>
      <c r="E117" s="97">
        <f t="shared" si="12"/>
        <v>0</v>
      </c>
      <c r="F117" s="97">
        <f t="shared" si="12"/>
        <v>0</v>
      </c>
      <c r="G117" s="97">
        <f t="shared" si="12"/>
        <v>23.64600000000064</v>
      </c>
      <c r="H117" s="97">
        <f t="shared" si="12"/>
        <v>23.645999999993364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1:21" ht="14.4" x14ac:dyDescent="0.3">
      <c r="A118" s="78">
        <v>29</v>
      </c>
      <c r="B118" s="98" t="s">
        <v>103</v>
      </c>
      <c r="C118" s="25">
        <f t="shared" si="13"/>
        <v>0</v>
      </c>
      <c r="D118" s="81">
        <v>0</v>
      </c>
      <c r="E118" s="99">
        <f t="shared" si="12"/>
        <v>0</v>
      </c>
      <c r="F118" s="97">
        <f t="shared" si="12"/>
        <v>0</v>
      </c>
      <c r="G118" s="97">
        <f t="shared" si="12"/>
        <v>454.07413799996721</v>
      </c>
      <c r="H118" s="97">
        <f t="shared" si="12"/>
        <v>454.074137999909</v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21" ht="14.4" x14ac:dyDescent="0.3">
      <c r="A119" s="78">
        <v>30</v>
      </c>
      <c r="B119" s="96" t="s">
        <v>34</v>
      </c>
      <c r="C119" s="20">
        <f t="shared" si="13"/>
        <v>0</v>
      </c>
      <c r="D119" s="23">
        <v>0</v>
      </c>
      <c r="E119" s="100">
        <f t="shared" si="12"/>
        <v>0</v>
      </c>
      <c r="F119" s="100">
        <f t="shared" si="12"/>
        <v>0</v>
      </c>
      <c r="G119" s="100">
        <f t="shared" si="12"/>
        <v>577.96735499997158</v>
      </c>
      <c r="H119" s="100">
        <f t="shared" si="12"/>
        <v>577.96735499985516</v>
      </c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1:21" ht="14.4" x14ac:dyDescent="0.3">
      <c r="A120" s="78">
        <v>31</v>
      </c>
      <c r="C120" s="20">
        <f t="shared" si="13"/>
        <v>0</v>
      </c>
      <c r="D120" s="97"/>
      <c r="E120" s="97">
        <f t="shared" si="12"/>
        <v>0</v>
      </c>
      <c r="F120" s="97">
        <f t="shared" si="12"/>
        <v>0</v>
      </c>
      <c r="G120" s="97">
        <f t="shared" si="12"/>
        <v>0</v>
      </c>
      <c r="H120" s="97">
        <f t="shared" si="12"/>
        <v>0</v>
      </c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1:21" ht="14.4" x14ac:dyDescent="0.3">
      <c r="A121" s="78">
        <v>32</v>
      </c>
      <c r="B121" s="96" t="s">
        <v>35</v>
      </c>
      <c r="C121" s="20">
        <f t="shared" si="13"/>
        <v>0</v>
      </c>
      <c r="D121" s="93">
        <v>0</v>
      </c>
      <c r="E121" s="93">
        <f t="shared" si="12"/>
        <v>0</v>
      </c>
      <c r="F121" s="93">
        <f t="shared" si="12"/>
        <v>0</v>
      </c>
      <c r="G121" s="93">
        <f t="shared" si="12"/>
        <v>11245.032644998282</v>
      </c>
      <c r="H121" s="93">
        <f t="shared" si="12"/>
        <v>11245.032644998282</v>
      </c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:21" ht="14.4" x14ac:dyDescent="0.3">
      <c r="A122" s="78">
        <v>33</v>
      </c>
      <c r="B122" s="83"/>
      <c r="C122" s="20">
        <f t="shared" si="13"/>
        <v>0</v>
      </c>
      <c r="D122" s="83"/>
      <c r="E122" s="83">
        <f t="shared" si="12"/>
        <v>0</v>
      </c>
      <c r="F122" s="83">
        <f t="shared" si="12"/>
        <v>0</v>
      </c>
      <c r="G122" s="83">
        <f t="shared" si="12"/>
        <v>0</v>
      </c>
      <c r="H122" s="83">
        <f t="shared" si="12"/>
        <v>0</v>
      </c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:21" ht="14.4" x14ac:dyDescent="0.3">
      <c r="A123" s="78">
        <v>34</v>
      </c>
      <c r="B123" s="83" t="s">
        <v>36</v>
      </c>
      <c r="C123" s="90">
        <f t="shared" si="13"/>
        <v>0</v>
      </c>
      <c r="D123" s="101">
        <v>0</v>
      </c>
      <c r="E123" s="101">
        <f t="shared" si="12"/>
        <v>0</v>
      </c>
      <c r="F123" s="102">
        <f t="shared" si="12"/>
        <v>0</v>
      </c>
      <c r="G123" s="101">
        <f t="shared" si="12"/>
        <v>2361.4568554498255</v>
      </c>
      <c r="H123" s="101">
        <f t="shared" si="12"/>
        <v>2361.4568554498255</v>
      </c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1:21" ht="15" thickBot="1" x14ac:dyDescent="0.35">
      <c r="A124" s="78">
        <v>35</v>
      </c>
      <c r="B124" s="20" t="s">
        <v>37</v>
      </c>
      <c r="C124" s="20">
        <f t="shared" si="13"/>
        <v>0</v>
      </c>
      <c r="D124" s="26">
        <v>0</v>
      </c>
      <c r="E124" s="26">
        <f t="shared" si="12"/>
        <v>0</v>
      </c>
      <c r="F124" s="26">
        <f t="shared" si="12"/>
        <v>0</v>
      </c>
      <c r="G124" s="26">
        <f t="shared" si="12"/>
        <v>8883.5757895484567</v>
      </c>
      <c r="H124" s="26">
        <f t="shared" si="12"/>
        <v>8883.5757895484567</v>
      </c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1:21" ht="15" thickTop="1" x14ac:dyDescent="0.3">
      <c r="C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1:21" ht="14.4" x14ac:dyDescent="0.3">
      <c r="C126" s="27"/>
    </row>
    <row r="127" spans="1:21" ht="14.4" x14ac:dyDescent="0.3">
      <c r="C127" s="27"/>
    </row>
    <row r="128" spans="1:21" ht="14.4" x14ac:dyDescent="0.3">
      <c r="C128" s="27"/>
    </row>
    <row r="129" spans="3:3" ht="14.4" x14ac:dyDescent="0.3">
      <c r="C129" s="27"/>
    </row>
    <row r="130" spans="3:3" ht="14.4" x14ac:dyDescent="0.3">
      <c r="C130" s="27"/>
    </row>
    <row r="131" spans="3:3" ht="14.4" x14ac:dyDescent="0.3">
      <c r="C131" s="27"/>
    </row>
    <row r="132" spans="3:3" ht="14.4" x14ac:dyDescent="0.3">
      <c r="C132" s="27"/>
    </row>
    <row r="133" spans="3:3" ht="14.4" x14ac:dyDescent="0.3">
      <c r="C133" s="27"/>
    </row>
    <row r="134" spans="3:3" ht="14.4" x14ac:dyDescent="0.3">
      <c r="C134" s="27"/>
    </row>
    <row r="135" spans="3:3" ht="14.4" x14ac:dyDescent="0.3">
      <c r="C135" s="27"/>
    </row>
    <row r="136" spans="3:3" ht="14.4" x14ac:dyDescent="0.3">
      <c r="C136" s="27"/>
    </row>
    <row r="137" spans="3:3" ht="14.4" x14ac:dyDescent="0.3">
      <c r="C137" s="27"/>
    </row>
    <row r="138" spans="3:3" ht="14.4" x14ac:dyDescent="0.3">
      <c r="C138" s="27"/>
    </row>
    <row r="139" spans="3:3" ht="14.4" x14ac:dyDescent="0.3">
      <c r="C139" s="27"/>
    </row>
    <row r="140" spans="3:3" ht="14.4" x14ac:dyDescent="0.3">
      <c r="C140" s="27"/>
    </row>
    <row r="141" spans="3:3" ht="14.4" x14ac:dyDescent="0.3">
      <c r="C141" s="27"/>
    </row>
    <row r="142" spans="3:3" ht="14.4" x14ac:dyDescent="0.3">
      <c r="C142" s="27"/>
    </row>
    <row r="143" spans="3:3" ht="14.4" x14ac:dyDescent="0.3">
      <c r="C143" s="27"/>
    </row>
    <row r="144" spans="3:3" ht="14.4" x14ac:dyDescent="0.3">
      <c r="C144" s="27"/>
    </row>
    <row r="145" spans="3:3" ht="14.4" x14ac:dyDescent="0.3">
      <c r="C145" s="27"/>
    </row>
    <row r="146" spans="3:3" ht="14.4" x14ac:dyDescent="0.3">
      <c r="C146" s="27"/>
    </row>
    <row r="147" spans="3:3" ht="14.4" x14ac:dyDescent="0.3">
      <c r="C147" s="27"/>
    </row>
    <row r="148" spans="3:3" ht="14.4" x14ac:dyDescent="0.3">
      <c r="C148" s="27"/>
    </row>
    <row r="149" spans="3:3" ht="14.4" x14ac:dyDescent="0.3">
      <c r="C149" s="27"/>
    </row>
    <row r="150" spans="3:3" ht="14.4" x14ac:dyDescent="0.3">
      <c r="C150" s="27"/>
    </row>
    <row r="151" spans="3:3" ht="14.4" x14ac:dyDescent="0.3">
      <c r="C151" s="27"/>
    </row>
    <row r="152" spans="3:3" ht="14.4" x14ac:dyDescent="0.3">
      <c r="C152" s="27"/>
    </row>
    <row r="153" spans="3:3" ht="14.4" x14ac:dyDescent="0.3">
      <c r="C153" s="27"/>
    </row>
    <row r="154" spans="3:3" ht="14.4" x14ac:dyDescent="0.3">
      <c r="C154" s="27"/>
    </row>
    <row r="155" spans="3:3" ht="14.4" x14ac:dyDescent="0.3">
      <c r="C155" s="27"/>
    </row>
    <row r="156" spans="3:3" ht="14.4" x14ac:dyDescent="0.3">
      <c r="C156" s="27"/>
    </row>
    <row r="157" spans="3:3" ht="14.4" x14ac:dyDescent="0.3">
      <c r="C157" s="27"/>
    </row>
    <row r="158" spans="3:3" ht="14.4" x14ac:dyDescent="0.3">
      <c r="C158" s="27"/>
    </row>
    <row r="159" spans="3:3" ht="14.4" x14ac:dyDescent="0.3">
      <c r="C159" s="27"/>
    </row>
    <row r="160" spans="3:3" ht="14.4" x14ac:dyDescent="0.3">
      <c r="C160" s="27"/>
    </row>
    <row r="161" spans="3:3" ht="14.4" x14ac:dyDescent="0.3">
      <c r="C161" s="27"/>
    </row>
    <row r="162" spans="3:3" ht="14.4" x14ac:dyDescent="0.3">
      <c r="C162" s="27"/>
    </row>
    <row r="163" spans="3:3" ht="14.4" x14ac:dyDescent="0.3">
      <c r="C163" s="27"/>
    </row>
    <row r="164" spans="3:3" ht="14.4" x14ac:dyDescent="0.3">
      <c r="C164" s="27"/>
    </row>
    <row r="165" spans="3:3" ht="14.4" x14ac:dyDescent="0.3">
      <c r="C165" s="27"/>
    </row>
    <row r="166" spans="3:3" ht="14.4" x14ac:dyDescent="0.3">
      <c r="C166" s="27"/>
    </row>
    <row r="167" spans="3:3" ht="14.4" x14ac:dyDescent="0.3">
      <c r="C167" s="27"/>
    </row>
    <row r="168" spans="3:3" ht="14.4" x14ac:dyDescent="0.3">
      <c r="C168" s="27"/>
    </row>
    <row r="169" spans="3:3" ht="14.4" x14ac:dyDescent="0.3">
      <c r="C169" s="27"/>
    </row>
    <row r="170" spans="3:3" ht="14.4" x14ac:dyDescent="0.3">
      <c r="C170" s="27"/>
    </row>
  </sheetData>
  <pageMargins left="0.7" right="0.7" top="0.75" bottom="0.75" header="0.3" footer="0.3"/>
  <pageSetup scale="72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G33"/>
  <sheetViews>
    <sheetView zoomScaleNormal="100" workbookViewId="0">
      <selection sqref="A1:XFD1048576"/>
    </sheetView>
  </sheetViews>
  <sheetFormatPr defaultColWidth="9.109375" defaultRowHeight="14.4" x14ac:dyDescent="0.3"/>
  <cols>
    <col min="1" max="1" width="67.88671875" style="27" bestFit="1" customWidth="1"/>
    <col min="2" max="2" width="16" style="27" bestFit="1" customWidth="1"/>
    <col min="3" max="3" width="10.6640625" style="27" bestFit="1" customWidth="1"/>
    <col min="4" max="6" width="9.109375" style="27"/>
    <col min="7" max="7" width="14.33203125" style="27" bestFit="1" customWidth="1"/>
    <col min="8" max="16384" width="9.109375" style="27"/>
  </cols>
  <sheetData>
    <row r="2" spans="1:4" x14ac:dyDescent="0.3">
      <c r="A2" s="27" t="s">
        <v>133</v>
      </c>
      <c r="B2" s="29">
        <f>'Rev Req Summary'!C32</f>
        <v>-16403352.699999999</v>
      </c>
      <c r="C2" s="27" t="s">
        <v>134</v>
      </c>
      <c r="D2" s="27" t="s">
        <v>138</v>
      </c>
    </row>
    <row r="3" spans="1:4" x14ac:dyDescent="0.3">
      <c r="A3" s="27" t="s">
        <v>136</v>
      </c>
      <c r="B3" s="28">
        <f>B32</f>
        <v>-16403352.696571918</v>
      </c>
      <c r="C3" s="27" t="s">
        <v>134</v>
      </c>
      <c r="D3" s="27" t="s">
        <v>138</v>
      </c>
    </row>
    <row r="4" spans="1:4" x14ac:dyDescent="0.3">
      <c r="B4" s="30"/>
    </row>
    <row r="5" spans="1:4" ht="15" thickBot="1" x14ac:dyDescent="0.35">
      <c r="A5" s="27" t="s">
        <v>137</v>
      </c>
      <c r="B5" s="31">
        <f>B2-B3</f>
        <v>-3.4280810505151749E-3</v>
      </c>
      <c r="C5" s="27" t="s">
        <v>134</v>
      </c>
      <c r="D5" s="27" t="s">
        <v>139</v>
      </c>
    </row>
    <row r="6" spans="1:4" ht="15" thickTop="1" x14ac:dyDescent="0.3"/>
    <row r="9" spans="1:4" x14ac:dyDescent="0.3">
      <c r="A9" s="27" t="s">
        <v>92</v>
      </c>
    </row>
    <row r="13" spans="1:4" x14ac:dyDescent="0.3">
      <c r="A13" s="27" t="s">
        <v>38</v>
      </c>
      <c r="B13" s="32" t="s">
        <v>82</v>
      </c>
    </row>
    <row r="14" spans="1:4" x14ac:dyDescent="0.3">
      <c r="A14" s="27" t="s">
        <v>53</v>
      </c>
      <c r="B14" s="29">
        <v>-448990.33</v>
      </c>
    </row>
    <row r="15" spans="1:4" x14ac:dyDescent="0.3">
      <c r="A15" s="27" t="s">
        <v>54</v>
      </c>
      <c r="B15" s="28">
        <v>-199722.53</v>
      </c>
    </row>
    <row r="16" spans="1:4" x14ac:dyDescent="0.3">
      <c r="A16" s="27" t="s">
        <v>56</v>
      </c>
      <c r="B16" s="28">
        <v>2866548.56</v>
      </c>
    </row>
    <row r="17" spans="1:3" x14ac:dyDescent="0.3">
      <c r="A17" s="27" t="s">
        <v>57</v>
      </c>
      <c r="B17" s="28">
        <v>5112092.95</v>
      </c>
    </row>
    <row r="18" spans="1:3" x14ac:dyDescent="0.3">
      <c r="A18" s="27" t="s">
        <v>123</v>
      </c>
      <c r="B18" s="28">
        <v>3385889.2</v>
      </c>
    </row>
    <row r="19" spans="1:3" x14ac:dyDescent="0.3">
      <c r="A19" s="27" t="s">
        <v>124</v>
      </c>
      <c r="B19" s="28">
        <v>4115788.19</v>
      </c>
    </row>
    <row r="20" spans="1:3" x14ac:dyDescent="0.3">
      <c r="A20" s="27" t="s">
        <v>125</v>
      </c>
      <c r="B20" s="28">
        <v>706816.16</v>
      </c>
    </row>
    <row r="21" spans="1:3" x14ac:dyDescent="0.3">
      <c r="A21" s="27" t="s">
        <v>126</v>
      </c>
      <c r="B21" s="28">
        <v>-746789.89</v>
      </c>
    </row>
    <row r="22" spans="1:3" x14ac:dyDescent="0.3">
      <c r="A22" s="27" t="s">
        <v>127</v>
      </c>
      <c r="B22" s="28">
        <v>-103174.15</v>
      </c>
    </row>
    <row r="23" spans="1:3" x14ac:dyDescent="0.3">
      <c r="A23" s="27" t="s">
        <v>128</v>
      </c>
      <c r="B23" s="28">
        <v>69563.789999999994</v>
      </c>
    </row>
    <row r="24" spans="1:3" x14ac:dyDescent="0.3">
      <c r="A24" s="27" t="s">
        <v>129</v>
      </c>
      <c r="B24" s="28">
        <v>104883.57</v>
      </c>
    </row>
    <row r="25" spans="1:3" x14ac:dyDescent="0.3">
      <c r="A25" s="27" t="s">
        <v>130</v>
      </c>
      <c r="B25" s="28">
        <v>-46310.12</v>
      </c>
    </row>
    <row r="26" spans="1:3" x14ac:dyDescent="0.3">
      <c r="A26" s="27" t="s">
        <v>131</v>
      </c>
      <c r="B26" s="28">
        <v>780538.25</v>
      </c>
    </row>
    <row r="27" spans="1:3" x14ac:dyDescent="0.3">
      <c r="A27" s="27" t="s">
        <v>132</v>
      </c>
      <c r="B27" s="28">
        <v>4341.1499999999996</v>
      </c>
    </row>
    <row r="28" spans="1:3" x14ac:dyDescent="0.3">
      <c r="A28" s="27" t="s">
        <v>3</v>
      </c>
      <c r="B28" s="29">
        <v>15601474.800000001</v>
      </c>
    </row>
    <row r="30" spans="1:3" x14ac:dyDescent="0.3">
      <c r="B30" s="33">
        <v>0.95111500000000004</v>
      </c>
    </row>
    <row r="32" spans="1:3" x14ac:dyDescent="0.3">
      <c r="A32" s="27" t="s">
        <v>135</v>
      </c>
      <c r="B32" s="29">
        <f>B28/-B30</f>
        <v>-16403352.696571918</v>
      </c>
      <c r="C32" s="27" t="s">
        <v>134</v>
      </c>
    </row>
    <row r="33" spans="7:7" x14ac:dyDescent="0.3">
      <c r="G33" s="28"/>
    </row>
  </sheetData>
  <pageMargins left="0.7" right="0.7" top="0.75" bottom="0.75" header="0.3" footer="0.3"/>
  <pageSetup scale="87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41"/>
  <sheetViews>
    <sheetView zoomScaleNormal="100" workbookViewId="0">
      <selection sqref="A1:XFD1048576"/>
    </sheetView>
  </sheetViews>
  <sheetFormatPr defaultColWidth="13.33203125" defaultRowHeight="14.4" x14ac:dyDescent="0.3"/>
  <cols>
    <col min="1" max="1" width="4.33203125" style="42" bestFit="1" customWidth="1"/>
    <col min="2" max="2" width="38.6640625" style="42" bestFit="1" customWidth="1"/>
    <col min="3" max="3" width="15.33203125" style="42" bestFit="1" customWidth="1"/>
    <col min="4" max="4" width="16" style="42" customWidth="1"/>
    <col min="5" max="5" width="10.33203125" style="42" bestFit="1" customWidth="1"/>
    <col min="6" max="7" width="13.33203125" style="42"/>
    <col min="8" max="17" width="13.33203125" style="27"/>
    <col min="18" max="16384" width="13.33203125" style="42"/>
  </cols>
  <sheetData>
    <row r="1" spans="1:6" x14ac:dyDescent="0.3">
      <c r="A1" s="104" t="s">
        <v>8</v>
      </c>
      <c r="B1" s="104"/>
      <c r="C1" s="104"/>
      <c r="D1" s="104"/>
      <c r="E1" s="104"/>
      <c r="F1" s="104"/>
    </row>
    <row r="2" spans="1:6" x14ac:dyDescent="0.3">
      <c r="A2" s="104" t="s">
        <v>9</v>
      </c>
      <c r="B2" s="104"/>
      <c r="C2" s="104"/>
      <c r="D2" s="104"/>
      <c r="E2" s="104"/>
      <c r="F2" s="104"/>
    </row>
    <row r="3" spans="1:6" x14ac:dyDescent="0.3">
      <c r="A3" s="104" t="s">
        <v>10</v>
      </c>
      <c r="B3" s="104"/>
      <c r="C3" s="104"/>
      <c r="D3" s="104"/>
      <c r="E3" s="104"/>
      <c r="F3" s="104"/>
    </row>
    <row r="4" spans="1:6" x14ac:dyDescent="0.3">
      <c r="A4" s="105" t="s">
        <v>81</v>
      </c>
      <c r="B4" s="104"/>
      <c r="C4" s="104"/>
      <c r="D4" s="104"/>
      <c r="E4" s="104"/>
      <c r="F4" s="104"/>
    </row>
    <row r="6" spans="1:6" ht="28.8" x14ac:dyDescent="0.3">
      <c r="A6" s="43" t="s">
        <v>1</v>
      </c>
      <c r="B6" s="43" t="s">
        <v>4</v>
      </c>
      <c r="C6" s="44" t="s">
        <v>3</v>
      </c>
      <c r="D6" s="44" t="s">
        <v>11</v>
      </c>
      <c r="E6" s="44" t="s">
        <v>0</v>
      </c>
      <c r="F6" s="45" t="s">
        <v>80</v>
      </c>
    </row>
    <row r="7" spans="1:6" x14ac:dyDescent="0.3">
      <c r="A7" s="46"/>
      <c r="B7" s="47" t="s">
        <v>15</v>
      </c>
      <c r="C7" s="48" t="s">
        <v>16</v>
      </c>
      <c r="D7" s="48" t="s">
        <v>17</v>
      </c>
      <c r="E7" s="48" t="s">
        <v>18</v>
      </c>
      <c r="F7" s="48" t="s">
        <v>19</v>
      </c>
    </row>
    <row r="8" spans="1:6" x14ac:dyDescent="0.3">
      <c r="A8" s="49">
        <v>1</v>
      </c>
      <c r="B8" s="42" t="s">
        <v>7</v>
      </c>
      <c r="C8" s="50">
        <f>SUM(D8:F8)</f>
        <v>2175919943.1900001</v>
      </c>
      <c r="D8" s="50">
        <v>2161701872.5900002</v>
      </c>
      <c r="E8" s="50">
        <v>340431.52</v>
      </c>
      <c r="F8" s="50">
        <v>13877639.080000002</v>
      </c>
    </row>
    <row r="9" spans="1:6" x14ac:dyDescent="0.3">
      <c r="A9" s="49">
        <f t="shared" ref="A9:A39" si="0">+A8+1</f>
        <v>2</v>
      </c>
    </row>
    <row r="10" spans="1:6" x14ac:dyDescent="0.3">
      <c r="A10" s="49">
        <f t="shared" si="0"/>
        <v>3</v>
      </c>
      <c r="B10" s="51" t="s">
        <v>79</v>
      </c>
    </row>
    <row r="11" spans="1:6" x14ac:dyDescent="0.3">
      <c r="A11" s="49">
        <f t="shared" si="0"/>
        <v>4</v>
      </c>
      <c r="B11" s="52" t="s">
        <v>78</v>
      </c>
      <c r="C11" s="50">
        <f t="shared" ref="C11:C23" si="1">SUM(D11:F11)</f>
        <v>-85355943.760000005</v>
      </c>
      <c r="D11" s="50">
        <v>-84369644.5</v>
      </c>
      <c r="E11" s="50">
        <v>-16204.59</v>
      </c>
      <c r="F11" s="50">
        <v>-970094.67</v>
      </c>
    </row>
    <row r="12" spans="1:6" x14ac:dyDescent="0.3">
      <c r="A12" s="49">
        <f t="shared" si="0"/>
        <v>5</v>
      </c>
      <c r="B12" s="52" t="s">
        <v>76</v>
      </c>
      <c r="C12" s="50">
        <f t="shared" si="1"/>
        <v>41885179.539999999</v>
      </c>
      <c r="D12" s="50">
        <v>41885179.539999999</v>
      </c>
      <c r="E12" s="50">
        <v>0</v>
      </c>
      <c r="F12" s="50">
        <v>0</v>
      </c>
    </row>
    <row r="13" spans="1:6" x14ac:dyDescent="0.3">
      <c r="A13" s="49">
        <f t="shared" si="0"/>
        <v>6</v>
      </c>
      <c r="B13" s="52" t="s">
        <v>75</v>
      </c>
      <c r="C13" s="50">
        <f t="shared" si="1"/>
        <v>-101866388.83999999</v>
      </c>
      <c r="D13" s="50">
        <v>-99714917.999999985</v>
      </c>
      <c r="E13" s="50">
        <v>0</v>
      </c>
      <c r="F13" s="50">
        <v>-2151470.8400000008</v>
      </c>
    </row>
    <row r="14" spans="1:6" x14ac:dyDescent="0.3">
      <c r="A14" s="49">
        <f t="shared" si="0"/>
        <v>7</v>
      </c>
      <c r="B14" s="52" t="s">
        <v>74</v>
      </c>
      <c r="C14" s="50">
        <f t="shared" si="1"/>
        <v>-17990501.369999997</v>
      </c>
      <c r="D14" s="50">
        <v>-17419735.609999996</v>
      </c>
      <c r="E14" s="50">
        <v>0</v>
      </c>
      <c r="F14" s="50">
        <v>-570765.76</v>
      </c>
    </row>
    <row r="15" spans="1:6" x14ac:dyDescent="0.3">
      <c r="A15" s="49">
        <f t="shared" si="0"/>
        <v>8</v>
      </c>
      <c r="B15" s="52" t="s">
        <v>73</v>
      </c>
      <c r="C15" s="50">
        <f t="shared" si="1"/>
        <v>5983138.4299999997</v>
      </c>
      <c r="D15" s="50">
        <v>5925862.4100000001</v>
      </c>
      <c r="E15" s="50">
        <v>0</v>
      </c>
      <c r="F15" s="50">
        <v>57276.020000000019</v>
      </c>
    </row>
    <row r="16" spans="1:6" x14ac:dyDescent="0.3">
      <c r="A16" s="49">
        <f t="shared" si="0"/>
        <v>9</v>
      </c>
      <c r="B16" s="52" t="s">
        <v>72</v>
      </c>
      <c r="C16" s="50">
        <f t="shared" si="1"/>
        <v>1234.0100000000002</v>
      </c>
      <c r="D16" s="50">
        <v>1234.0100000000002</v>
      </c>
      <c r="E16" s="50">
        <v>0</v>
      </c>
      <c r="F16" s="50">
        <v>0</v>
      </c>
    </row>
    <row r="17" spans="1:6" x14ac:dyDescent="0.3">
      <c r="A17" s="49">
        <f t="shared" si="0"/>
        <v>10</v>
      </c>
      <c r="B17" s="52" t="s">
        <v>71</v>
      </c>
      <c r="C17" s="50">
        <f t="shared" si="1"/>
        <v>-4470609.87</v>
      </c>
      <c r="D17" s="50">
        <v>-4470609.87</v>
      </c>
      <c r="E17" s="50">
        <v>0</v>
      </c>
      <c r="F17" s="50">
        <v>0</v>
      </c>
    </row>
    <row r="18" spans="1:6" x14ac:dyDescent="0.3">
      <c r="A18" s="49">
        <f t="shared" si="0"/>
        <v>11</v>
      </c>
      <c r="B18" s="52" t="s">
        <v>70</v>
      </c>
      <c r="C18" s="50">
        <f t="shared" si="1"/>
        <v>657452.02999999991</v>
      </c>
      <c r="D18" s="50">
        <v>657452.02999999991</v>
      </c>
      <c r="E18" s="50">
        <v>0</v>
      </c>
      <c r="F18" s="50">
        <v>0</v>
      </c>
    </row>
    <row r="19" spans="1:6" x14ac:dyDescent="0.3">
      <c r="A19" s="49">
        <f t="shared" si="0"/>
        <v>12</v>
      </c>
      <c r="B19" s="52" t="s">
        <v>68</v>
      </c>
      <c r="C19" s="50">
        <f t="shared" si="1"/>
        <v>-723802.14000000013</v>
      </c>
      <c r="D19" s="50">
        <v>-723802.14000000013</v>
      </c>
      <c r="E19" s="50">
        <v>0</v>
      </c>
      <c r="F19" s="50">
        <v>0</v>
      </c>
    </row>
    <row r="20" spans="1:6" x14ac:dyDescent="0.3">
      <c r="A20" s="49">
        <f t="shared" si="0"/>
        <v>13</v>
      </c>
      <c r="B20" s="52" t="s">
        <v>67</v>
      </c>
      <c r="C20" s="50">
        <f t="shared" si="1"/>
        <v>81156080.86999999</v>
      </c>
      <c r="D20" s="50">
        <v>81156080.86999999</v>
      </c>
      <c r="E20" s="50">
        <v>0</v>
      </c>
      <c r="F20" s="50">
        <v>0</v>
      </c>
    </row>
    <row r="21" spans="1:6" x14ac:dyDescent="0.3">
      <c r="A21" s="49">
        <f t="shared" si="0"/>
        <v>14</v>
      </c>
      <c r="B21" s="52" t="s">
        <v>5</v>
      </c>
      <c r="C21" s="50">
        <f t="shared" si="1"/>
        <v>17957507</v>
      </c>
      <c r="D21" s="50">
        <v>17953521</v>
      </c>
      <c r="E21" s="50">
        <v>3986</v>
      </c>
      <c r="F21" s="50">
        <v>0</v>
      </c>
    </row>
    <row r="22" spans="1:6" x14ac:dyDescent="0.3">
      <c r="A22" s="49">
        <f t="shared" si="0"/>
        <v>15</v>
      </c>
      <c r="B22" s="52" t="s">
        <v>165</v>
      </c>
      <c r="C22" s="50">
        <f t="shared" si="1"/>
        <v>-20724921.120196018</v>
      </c>
      <c r="D22" s="50">
        <v>-20838968.918166019</v>
      </c>
      <c r="E22" s="50">
        <v>114.23000000000138</v>
      </c>
      <c r="F22" s="50">
        <v>113933.56797</v>
      </c>
    </row>
    <row r="23" spans="1:6" ht="13.95" customHeight="1" x14ac:dyDescent="0.3">
      <c r="A23" s="49">
        <f t="shared" si="0"/>
        <v>16</v>
      </c>
      <c r="B23" s="52" t="s">
        <v>66</v>
      </c>
      <c r="C23" s="50">
        <f t="shared" si="1"/>
        <v>3810955</v>
      </c>
      <c r="D23" s="50">
        <v>3810955</v>
      </c>
      <c r="E23" s="50">
        <v>0</v>
      </c>
      <c r="F23" s="50">
        <v>0</v>
      </c>
    </row>
    <row r="24" spans="1:6" x14ac:dyDescent="0.3">
      <c r="A24" s="49">
        <f t="shared" si="0"/>
        <v>17</v>
      </c>
      <c r="B24" s="51" t="s">
        <v>65</v>
      </c>
      <c r="C24" s="50">
        <f>SUM(C11:C23)</f>
        <v>-79680620.220196024</v>
      </c>
      <c r="D24" s="50">
        <f>SUM(D11:D23)</f>
        <v>-76147394.178166002</v>
      </c>
      <c r="E24" s="50">
        <f>SUM(E11:E23)</f>
        <v>-12104.359999999999</v>
      </c>
      <c r="F24" s="50">
        <f>SUM(F11:F23)</f>
        <v>-3521121.6820300003</v>
      </c>
    </row>
    <row r="25" spans="1:6" x14ac:dyDescent="0.3">
      <c r="A25" s="49">
        <f t="shared" si="0"/>
        <v>18</v>
      </c>
      <c r="B25" s="53"/>
      <c r="C25" s="50"/>
      <c r="D25" s="50"/>
      <c r="E25" s="50"/>
      <c r="F25" s="50"/>
    </row>
    <row r="26" spans="1:6" x14ac:dyDescent="0.3">
      <c r="A26" s="49">
        <f t="shared" si="0"/>
        <v>19</v>
      </c>
      <c r="B26" s="51" t="s">
        <v>64</v>
      </c>
      <c r="C26" s="50">
        <f>+C8+C24</f>
        <v>2096239322.969804</v>
      </c>
      <c r="D26" s="50">
        <f>+D8+D24</f>
        <v>2085554478.4118342</v>
      </c>
      <c r="E26" s="50">
        <f>+E8+E24</f>
        <v>328327.16000000003</v>
      </c>
      <c r="F26" s="50">
        <f>+F8+F24</f>
        <v>10356517.397970002</v>
      </c>
    </row>
    <row r="27" spans="1:6" x14ac:dyDescent="0.3">
      <c r="A27" s="49">
        <f t="shared" si="0"/>
        <v>20</v>
      </c>
      <c r="B27" s="53"/>
      <c r="C27" s="50"/>
      <c r="D27" s="50"/>
      <c r="E27" s="50"/>
      <c r="F27" s="50"/>
    </row>
    <row r="28" spans="1:6" x14ac:dyDescent="0.3">
      <c r="A28" s="49">
        <f t="shared" si="0"/>
        <v>21</v>
      </c>
      <c r="B28" s="51" t="s">
        <v>63</v>
      </c>
      <c r="C28" s="50"/>
      <c r="D28" s="50"/>
      <c r="E28" s="50"/>
      <c r="F28" s="50"/>
    </row>
    <row r="29" spans="1:6" x14ac:dyDescent="0.3">
      <c r="A29" s="49">
        <f t="shared" si="0"/>
        <v>22</v>
      </c>
      <c r="B29" s="52" t="s">
        <v>6</v>
      </c>
      <c r="C29" s="50">
        <f>SUM(D29:F29)</f>
        <v>-18966470.07</v>
      </c>
      <c r="D29" s="50">
        <v>-24460023.07</v>
      </c>
      <c r="E29" s="50">
        <v>0</v>
      </c>
      <c r="F29" s="50">
        <v>5493553</v>
      </c>
    </row>
    <row r="30" spans="1:6" x14ac:dyDescent="0.3">
      <c r="A30" s="49">
        <f t="shared" si="0"/>
        <v>23</v>
      </c>
      <c r="B30" s="52" t="s">
        <v>77</v>
      </c>
      <c r="C30" s="50">
        <f>SUM(D30:F30)</f>
        <v>1895876.7300000002</v>
      </c>
      <c r="D30" s="50">
        <v>1895876.7300000002</v>
      </c>
      <c r="E30" s="50">
        <v>0</v>
      </c>
      <c r="F30" s="50">
        <v>0</v>
      </c>
    </row>
    <row r="31" spans="1:6" x14ac:dyDescent="0.3">
      <c r="A31" s="49">
        <f t="shared" si="0"/>
        <v>24</v>
      </c>
      <c r="B31" s="52" t="s">
        <v>69</v>
      </c>
      <c r="C31" s="50">
        <f>SUM(D31:F31)</f>
        <v>-62179770.95000001</v>
      </c>
      <c r="D31" s="50">
        <v>-61937606.332030013</v>
      </c>
      <c r="E31" s="50">
        <v>0</v>
      </c>
      <c r="F31" s="50">
        <v>-242164.61797000002</v>
      </c>
    </row>
    <row r="32" spans="1:6" x14ac:dyDescent="0.3">
      <c r="A32" s="49">
        <f t="shared" si="0"/>
        <v>25</v>
      </c>
      <c r="B32" s="52" t="s">
        <v>60</v>
      </c>
      <c r="C32" s="50">
        <f>SUM(D32:F32)</f>
        <v>-16403352.699999999</v>
      </c>
      <c r="D32" s="50">
        <v>-16403352.699999999</v>
      </c>
      <c r="E32" s="50">
        <v>0</v>
      </c>
      <c r="F32" s="50">
        <v>0</v>
      </c>
    </row>
    <row r="33" spans="1:6" x14ac:dyDescent="0.3">
      <c r="A33" s="49">
        <f t="shared" si="0"/>
        <v>26</v>
      </c>
      <c r="B33" s="51" t="s">
        <v>62</v>
      </c>
      <c r="C33" s="50">
        <f>SUM(C29:C32)</f>
        <v>-95653716.99000001</v>
      </c>
      <c r="D33" s="50">
        <v>-100905105.37203002</v>
      </c>
      <c r="E33" s="50">
        <v>0</v>
      </c>
      <c r="F33" s="50">
        <v>5251388.38203</v>
      </c>
    </row>
    <row r="34" spans="1:6" x14ac:dyDescent="0.3">
      <c r="A34" s="49">
        <f t="shared" si="0"/>
        <v>27</v>
      </c>
      <c r="B34" s="51"/>
      <c r="C34" s="50"/>
      <c r="D34" s="50"/>
      <c r="E34" s="50"/>
      <c r="F34" s="50"/>
    </row>
    <row r="35" spans="1:6" x14ac:dyDescent="0.3">
      <c r="A35" s="49">
        <f t="shared" si="0"/>
        <v>28</v>
      </c>
      <c r="B35" s="51"/>
      <c r="C35" s="50"/>
      <c r="D35" s="50"/>
      <c r="E35" s="50"/>
      <c r="F35" s="50"/>
    </row>
    <row r="36" spans="1:6" x14ac:dyDescent="0.3">
      <c r="A36" s="49">
        <f t="shared" si="0"/>
        <v>29</v>
      </c>
      <c r="B36" s="42" t="s">
        <v>12</v>
      </c>
      <c r="C36" s="50">
        <f>SUM(C26,C33)</f>
        <v>2000585605.979804</v>
      </c>
      <c r="D36" s="50">
        <f>SUM(D26,D33)</f>
        <v>1984649373.0398042</v>
      </c>
      <c r="E36" s="50">
        <f>SUM(E26,E33)</f>
        <v>328327.16000000003</v>
      </c>
      <c r="F36" s="50">
        <f>SUM(F26,F33)</f>
        <v>15607905.780000001</v>
      </c>
    </row>
    <row r="37" spans="1:6" x14ac:dyDescent="0.3">
      <c r="A37" s="49">
        <f t="shared" si="0"/>
        <v>30</v>
      </c>
      <c r="B37" s="54"/>
    </row>
    <row r="38" spans="1:6" x14ac:dyDescent="0.3">
      <c r="A38" s="49">
        <f t="shared" si="0"/>
        <v>31</v>
      </c>
      <c r="B38" s="53" t="s">
        <v>14</v>
      </c>
      <c r="C38" s="50">
        <v>2000585606.391351</v>
      </c>
      <c r="D38" s="50">
        <v>1984649373.391351</v>
      </c>
      <c r="E38" s="50">
        <v>328327</v>
      </c>
      <c r="F38" s="50">
        <v>15607906</v>
      </c>
    </row>
    <row r="39" spans="1:6" x14ac:dyDescent="0.3">
      <c r="A39" s="49">
        <f t="shared" si="0"/>
        <v>32</v>
      </c>
      <c r="B39" s="42" t="s">
        <v>2</v>
      </c>
      <c r="C39" s="50">
        <f>+C36-C38</f>
        <v>-0.41154694557189941</v>
      </c>
      <c r="D39" s="50">
        <f>+D38-D36</f>
        <v>0.3515467643737793</v>
      </c>
      <c r="E39" s="50">
        <f>+E38-E36</f>
        <v>-0.16000000003259629</v>
      </c>
      <c r="F39" s="50">
        <f>+F36-F38</f>
        <v>-0.2199999988079071</v>
      </c>
    </row>
    <row r="40" spans="1:6" x14ac:dyDescent="0.3">
      <c r="C40" s="55"/>
    </row>
    <row r="41" spans="1:6" x14ac:dyDescent="0.3">
      <c r="C41" s="5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92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5"/>
  <sheetViews>
    <sheetView zoomScaleNormal="100" workbookViewId="0">
      <selection sqref="A1:XFD1048576"/>
    </sheetView>
  </sheetViews>
  <sheetFormatPr defaultColWidth="9.109375" defaultRowHeight="14.4" x14ac:dyDescent="0.3"/>
  <cols>
    <col min="1" max="4" width="9.109375" style="27"/>
    <col min="5" max="5" width="48.44140625" style="27" bestFit="1" customWidth="1"/>
    <col min="6" max="6" width="9.5546875" style="27" bestFit="1" customWidth="1"/>
    <col min="7" max="7" width="9.109375" style="27"/>
    <col min="8" max="8" width="11" style="27" bestFit="1" customWidth="1"/>
    <col min="9" max="9" width="9.109375" style="27"/>
    <col min="10" max="10" width="11" style="27" bestFit="1" customWidth="1"/>
    <col min="11" max="16384" width="9.109375" style="27"/>
  </cols>
  <sheetData>
    <row r="1" spans="1:10" ht="18" x14ac:dyDescent="0.35">
      <c r="A1" s="7" t="s">
        <v>163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3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x14ac:dyDescent="0.3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3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3">
      <c r="A8" s="8"/>
      <c r="B8" s="8"/>
      <c r="C8" s="8"/>
      <c r="D8" s="8"/>
      <c r="E8" s="8"/>
      <c r="F8" s="8"/>
      <c r="G8" s="8"/>
      <c r="H8" s="8">
        <v>9</v>
      </c>
      <c r="I8" s="8"/>
      <c r="J8" s="8">
        <v>12</v>
      </c>
    </row>
    <row r="9" spans="1:10" x14ac:dyDescent="0.3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x14ac:dyDescent="0.3">
      <c r="A10" s="8"/>
      <c r="B10" s="8"/>
      <c r="C10" s="8"/>
      <c r="D10" s="8"/>
      <c r="E10" s="8"/>
      <c r="F10" s="9"/>
      <c r="G10" s="8"/>
      <c r="H10" s="8"/>
      <c r="I10" s="8"/>
      <c r="J10" s="8"/>
    </row>
    <row r="11" spans="1:10" x14ac:dyDescent="0.3">
      <c r="A11" s="8"/>
      <c r="B11" s="8"/>
      <c r="C11" s="10" t="s">
        <v>162</v>
      </c>
      <c r="D11" s="8"/>
      <c r="E11" s="11" t="s">
        <v>4</v>
      </c>
      <c r="F11" s="10" t="s">
        <v>161</v>
      </c>
      <c r="G11" s="12"/>
      <c r="H11" s="13" t="s">
        <v>160</v>
      </c>
      <c r="I11" s="13"/>
      <c r="J11" s="13" t="s">
        <v>159</v>
      </c>
    </row>
    <row r="12" spans="1:10" x14ac:dyDescent="0.3">
      <c r="A12" s="8"/>
      <c r="B12" s="8"/>
      <c r="C12" s="8"/>
      <c r="D12" s="8"/>
      <c r="E12" s="8"/>
      <c r="F12" s="14"/>
      <c r="G12" s="12"/>
      <c r="H12" s="13">
        <v>2019</v>
      </c>
      <c r="I12" s="13"/>
      <c r="J12" s="13">
        <v>2020</v>
      </c>
    </row>
    <row r="13" spans="1:10" x14ac:dyDescent="0.3">
      <c r="A13" s="8"/>
      <c r="B13" s="8"/>
      <c r="C13" s="8"/>
      <c r="D13" s="8"/>
      <c r="E13" s="8"/>
      <c r="F13" s="9"/>
      <c r="G13" s="8"/>
      <c r="H13" s="15"/>
      <c r="I13" s="15"/>
      <c r="J13" s="15"/>
    </row>
    <row r="14" spans="1:10" x14ac:dyDescent="0.3">
      <c r="A14" s="8"/>
      <c r="B14" s="8"/>
      <c r="C14" s="8">
        <v>45610005</v>
      </c>
      <c r="D14" s="8"/>
      <c r="E14" s="8" t="s">
        <v>158</v>
      </c>
      <c r="F14" s="16">
        <v>183408.13</v>
      </c>
      <c r="G14" s="16"/>
      <c r="H14" s="16">
        <f t="shared" ref="H14:H20" si="0">F14*$H$8</f>
        <v>1650673.17</v>
      </c>
      <c r="I14" s="16"/>
      <c r="J14" s="16">
        <f t="shared" ref="J14:J20" si="1">F14*$J$8</f>
        <v>2200897.56</v>
      </c>
    </row>
    <row r="15" spans="1:10" x14ac:dyDescent="0.3">
      <c r="A15" s="8"/>
      <c r="B15" s="8"/>
      <c r="C15" s="8">
        <v>45610050</v>
      </c>
      <c r="D15" s="8"/>
      <c r="E15" s="8" t="s">
        <v>157</v>
      </c>
      <c r="F15" s="16">
        <v>4771.8</v>
      </c>
      <c r="G15" s="16"/>
      <c r="H15" s="16">
        <f t="shared" si="0"/>
        <v>42946.200000000004</v>
      </c>
      <c r="I15" s="16"/>
      <c r="J15" s="16">
        <f t="shared" si="1"/>
        <v>57261.600000000006</v>
      </c>
    </row>
    <row r="16" spans="1:10" x14ac:dyDescent="0.3">
      <c r="A16" s="8"/>
      <c r="B16" s="8"/>
      <c r="C16" s="8">
        <v>45610052</v>
      </c>
      <c r="D16" s="8"/>
      <c r="E16" s="8" t="s">
        <v>156</v>
      </c>
      <c r="F16" s="16">
        <v>552.41999999999996</v>
      </c>
      <c r="G16" s="16"/>
      <c r="H16" s="16">
        <f t="shared" si="0"/>
        <v>4971.78</v>
      </c>
      <c r="I16" s="16"/>
      <c r="J16" s="16">
        <f t="shared" si="1"/>
        <v>6629.0399999999991</v>
      </c>
    </row>
    <row r="17" spans="1:10" x14ac:dyDescent="0.3">
      <c r="A17" s="8"/>
      <c r="B17" s="8"/>
      <c r="C17" s="8">
        <v>45610054</v>
      </c>
      <c r="D17" s="8"/>
      <c r="E17" s="8" t="s">
        <v>155</v>
      </c>
      <c r="F17" s="16">
        <v>11180.4</v>
      </c>
      <c r="G17" s="16"/>
      <c r="H17" s="16">
        <f t="shared" si="0"/>
        <v>100623.59999999999</v>
      </c>
      <c r="I17" s="16"/>
      <c r="J17" s="16">
        <f t="shared" si="1"/>
        <v>134164.79999999999</v>
      </c>
    </row>
    <row r="18" spans="1:10" x14ac:dyDescent="0.3">
      <c r="A18" s="8"/>
      <c r="B18" s="8"/>
      <c r="C18" s="8">
        <v>45610056</v>
      </c>
      <c r="D18" s="8"/>
      <c r="E18" s="8" t="s">
        <v>154</v>
      </c>
      <c r="F18" s="17">
        <v>12210</v>
      </c>
      <c r="G18" s="17"/>
      <c r="H18" s="17">
        <f t="shared" si="0"/>
        <v>109890</v>
      </c>
      <c r="I18" s="17"/>
      <c r="J18" s="17">
        <f t="shared" si="1"/>
        <v>146520</v>
      </c>
    </row>
    <row r="19" spans="1:10" x14ac:dyDescent="0.3">
      <c r="A19" s="8"/>
      <c r="B19" s="8"/>
      <c r="C19" s="8">
        <v>45610058</v>
      </c>
      <c r="D19" s="8"/>
      <c r="E19" s="8" t="s">
        <v>153</v>
      </c>
      <c r="F19" s="17">
        <v>11880</v>
      </c>
      <c r="G19" s="17"/>
      <c r="H19" s="17">
        <f t="shared" si="0"/>
        <v>106920</v>
      </c>
      <c r="I19" s="17"/>
      <c r="J19" s="17">
        <f t="shared" si="1"/>
        <v>142560</v>
      </c>
    </row>
    <row r="20" spans="1:10" x14ac:dyDescent="0.3">
      <c r="A20" s="8"/>
      <c r="B20" s="8"/>
      <c r="C20" s="8">
        <v>45610090</v>
      </c>
      <c r="D20" s="8"/>
      <c r="E20" s="8" t="s">
        <v>152</v>
      </c>
      <c r="F20" s="18">
        <v>43590.96</v>
      </c>
      <c r="G20" s="16"/>
      <c r="H20" s="18">
        <f t="shared" si="0"/>
        <v>392318.64</v>
      </c>
      <c r="I20" s="16"/>
      <c r="J20" s="18">
        <f t="shared" si="1"/>
        <v>523091.52</v>
      </c>
    </row>
    <row r="21" spans="1:10" x14ac:dyDescent="0.3">
      <c r="A21" s="8"/>
      <c r="B21" s="8"/>
      <c r="C21" s="8"/>
      <c r="D21" s="8"/>
      <c r="E21" s="19" t="s">
        <v>151</v>
      </c>
      <c r="F21" s="16">
        <f>SUM(F14:F20)</f>
        <v>267593.71000000002</v>
      </c>
      <c r="G21" s="16"/>
      <c r="H21" s="16">
        <f>SUM(H14:H20)</f>
        <v>2408343.39</v>
      </c>
      <c r="I21" s="16"/>
      <c r="J21" s="16">
        <f>SUM(J14:J20)</f>
        <v>3211124.52</v>
      </c>
    </row>
    <row r="22" spans="1:10" x14ac:dyDescent="0.3">
      <c r="A22" s="8"/>
      <c r="B22" s="8"/>
      <c r="C22" s="8"/>
      <c r="D22" s="8"/>
      <c r="E22" s="8"/>
      <c r="F22" s="9"/>
      <c r="G22" s="8"/>
      <c r="H22" s="8"/>
      <c r="I22" s="8"/>
      <c r="J22" s="8"/>
    </row>
    <row r="23" spans="1:10" x14ac:dyDescent="0.3">
      <c r="A23" s="8"/>
      <c r="B23" s="8"/>
      <c r="C23" s="8"/>
      <c r="D23" s="8"/>
      <c r="E23" s="8"/>
      <c r="F23" s="9"/>
      <c r="G23" s="8"/>
      <c r="H23" s="8"/>
      <c r="I23" s="8"/>
      <c r="J23" s="8"/>
    </row>
    <row r="24" spans="1:10" x14ac:dyDescent="0.3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3">
      <c r="A25" s="8"/>
      <c r="B25" s="8"/>
      <c r="C25" s="8"/>
      <c r="D25" s="8"/>
      <c r="E25" s="8"/>
      <c r="F25" s="9"/>
      <c r="G25" s="8"/>
      <c r="H25" s="8"/>
      <c r="I25" s="8"/>
      <c r="J25" s="8"/>
    </row>
  </sheetData>
  <pageMargins left="0.7" right="0.7" top="0.75" bottom="0.75" header="0.3" footer="0.3"/>
  <pageSetup scale="91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0"/>
  <sheetViews>
    <sheetView workbookViewId="0">
      <selection sqref="A1:XFD1048576"/>
    </sheetView>
  </sheetViews>
  <sheetFormatPr defaultColWidth="8.88671875" defaultRowHeight="14.4" x14ac:dyDescent="0.3"/>
  <cols>
    <col min="1" max="1" width="47" style="27" customWidth="1"/>
    <col min="2" max="2" width="17.33203125" style="27" customWidth="1"/>
    <col min="3" max="16384" width="8.88671875" style="27"/>
  </cols>
  <sheetData>
    <row r="1" spans="1:2" x14ac:dyDescent="0.3">
      <c r="A1" s="27" t="s">
        <v>95</v>
      </c>
    </row>
    <row r="5" spans="1:2" x14ac:dyDescent="0.3">
      <c r="A5" s="1" t="s">
        <v>38</v>
      </c>
      <c r="B5" s="2" t="s">
        <v>82</v>
      </c>
    </row>
    <row r="6" spans="1:2" x14ac:dyDescent="0.3">
      <c r="A6" s="27" t="s">
        <v>39</v>
      </c>
      <c r="B6" s="28">
        <v>-2838186.99</v>
      </c>
    </row>
    <row r="7" spans="1:2" x14ac:dyDescent="0.3">
      <c r="A7" s="27" t="s">
        <v>40</v>
      </c>
      <c r="B7" s="28">
        <v>-20310087.109999999</v>
      </c>
    </row>
    <row r="8" spans="1:2" x14ac:dyDescent="0.3">
      <c r="A8" s="27" t="s">
        <v>41</v>
      </c>
      <c r="B8" s="28">
        <v>-428934.57</v>
      </c>
    </row>
    <row r="9" spans="1:2" x14ac:dyDescent="0.3">
      <c r="A9" s="27" t="s">
        <v>42</v>
      </c>
      <c r="B9" s="28">
        <v>-8202757.3499999996</v>
      </c>
    </row>
    <row r="10" spans="1:2" x14ac:dyDescent="0.3">
      <c r="A10" s="1" t="s">
        <v>3</v>
      </c>
      <c r="B10" s="3">
        <v>-31779966.02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4"/>
  <sheetViews>
    <sheetView zoomScaleNormal="100" workbookViewId="0">
      <selection sqref="A1:XFD1048576"/>
    </sheetView>
  </sheetViews>
  <sheetFormatPr defaultColWidth="8.88671875" defaultRowHeight="14.4" x14ac:dyDescent="0.3"/>
  <cols>
    <col min="1" max="1" width="49" style="27" customWidth="1"/>
    <col min="2" max="2" width="18" style="27" customWidth="1"/>
    <col min="3" max="3" width="16.109375" style="27" customWidth="1"/>
    <col min="4" max="4" width="15.6640625" style="27" customWidth="1"/>
    <col min="5" max="6" width="8.88671875" style="27"/>
    <col min="7" max="7" width="14.33203125" style="27" bestFit="1" customWidth="1"/>
    <col min="8" max="16384" width="8.88671875" style="27"/>
  </cols>
  <sheetData>
    <row r="1" spans="1:4" x14ac:dyDescent="0.3">
      <c r="A1" s="27" t="s">
        <v>92</v>
      </c>
    </row>
    <row r="5" spans="1:4" x14ac:dyDescent="0.3">
      <c r="A5" s="1" t="s">
        <v>38</v>
      </c>
      <c r="B5" s="1" t="s">
        <v>93</v>
      </c>
      <c r="C5" s="2" t="s">
        <v>13</v>
      </c>
      <c r="D5" s="2" t="s">
        <v>94</v>
      </c>
    </row>
    <row r="6" spans="1:4" x14ac:dyDescent="0.3">
      <c r="A6" s="27" t="s">
        <v>47</v>
      </c>
      <c r="B6" s="28">
        <v>-7972606.4299999997</v>
      </c>
      <c r="C6" s="28">
        <f>B6</f>
        <v>-7972606.4299999997</v>
      </c>
      <c r="D6" s="28"/>
    </row>
    <row r="7" spans="1:4" x14ac:dyDescent="0.3">
      <c r="A7" s="27" t="s">
        <v>46</v>
      </c>
      <c r="B7" s="28">
        <v>-453538.18</v>
      </c>
      <c r="C7" s="28"/>
      <c r="D7" s="28">
        <f>B7</f>
        <v>-453538.18</v>
      </c>
    </row>
    <row r="8" spans="1:4" x14ac:dyDescent="0.3">
      <c r="A8" s="27" t="s">
        <v>48</v>
      </c>
      <c r="B8" s="28">
        <v>0</v>
      </c>
      <c r="C8" s="28">
        <f t="shared" ref="C8:C10" si="0">B8</f>
        <v>0</v>
      </c>
      <c r="D8" s="28"/>
    </row>
    <row r="9" spans="1:4" x14ac:dyDescent="0.3">
      <c r="A9" s="27" t="s">
        <v>49</v>
      </c>
      <c r="B9" s="28">
        <v>-1498426.63</v>
      </c>
      <c r="C9" s="28">
        <f t="shared" si="0"/>
        <v>-1498426.63</v>
      </c>
      <c r="D9" s="28"/>
    </row>
    <row r="10" spans="1:4" x14ac:dyDescent="0.3">
      <c r="A10" s="27" t="s">
        <v>50</v>
      </c>
      <c r="B10" s="28">
        <v>-516633.13</v>
      </c>
      <c r="C10" s="28">
        <f t="shared" si="0"/>
        <v>-516633.13</v>
      </c>
      <c r="D10" s="28"/>
    </row>
    <row r="11" spans="1:4" x14ac:dyDescent="0.3">
      <c r="A11" s="27" t="s">
        <v>45</v>
      </c>
      <c r="B11" s="28">
        <v>-38487.33</v>
      </c>
      <c r="C11" s="28"/>
      <c r="D11" s="28">
        <f>B11</f>
        <v>-38487.33</v>
      </c>
    </row>
    <row r="12" spans="1:4" x14ac:dyDescent="0.3">
      <c r="A12" s="27" t="s">
        <v>51</v>
      </c>
      <c r="B12" s="28">
        <v>0</v>
      </c>
      <c r="C12" s="28">
        <f>B12</f>
        <v>0</v>
      </c>
      <c r="D12" s="28"/>
    </row>
    <row r="13" spans="1:4" x14ac:dyDescent="0.3">
      <c r="A13" s="27" t="s">
        <v>52</v>
      </c>
      <c r="B13" s="28">
        <v>-4524081.3899999997</v>
      </c>
      <c r="C13" s="28"/>
      <c r="D13" s="28">
        <f>B13</f>
        <v>-4524081.3899999997</v>
      </c>
    </row>
    <row r="14" spans="1:4" x14ac:dyDescent="0.3">
      <c r="A14" s="27" t="s">
        <v>55</v>
      </c>
      <c r="B14" s="28">
        <v>-588011.56000000006</v>
      </c>
      <c r="C14" s="28"/>
      <c r="D14" s="28">
        <f t="shared" ref="D14:D15" si="1">B14</f>
        <v>-588011.56000000006</v>
      </c>
    </row>
    <row r="15" spans="1:4" x14ac:dyDescent="0.3">
      <c r="A15" s="27" t="s">
        <v>44</v>
      </c>
      <c r="B15" s="28">
        <v>-331008.08</v>
      </c>
      <c r="C15" s="28"/>
      <c r="D15" s="28">
        <f t="shared" si="1"/>
        <v>-331008.08</v>
      </c>
    </row>
    <row r="16" spans="1:4" x14ac:dyDescent="0.3">
      <c r="A16" s="27" t="s">
        <v>58</v>
      </c>
      <c r="B16" s="41">
        <v>-5029293.6900000004</v>
      </c>
      <c r="C16" s="28"/>
      <c r="D16" s="28">
        <f>B16</f>
        <v>-5029293.6900000004</v>
      </c>
    </row>
    <row r="17" spans="1:4" x14ac:dyDescent="0.3">
      <c r="A17" s="27" t="s">
        <v>83</v>
      </c>
      <c r="B17" s="41">
        <v>-5245012.28</v>
      </c>
      <c r="C17" s="28">
        <f t="shared" ref="C17:C25" si="2">B17</f>
        <v>-5245012.28</v>
      </c>
      <c r="D17" s="41"/>
    </row>
    <row r="18" spans="1:4" x14ac:dyDescent="0.3">
      <c r="A18" s="27" t="s">
        <v>84</v>
      </c>
      <c r="B18" s="41">
        <v>-1472859</v>
      </c>
      <c r="C18" s="28">
        <f t="shared" si="2"/>
        <v>-1472859</v>
      </c>
      <c r="D18" s="41"/>
    </row>
    <row r="19" spans="1:4" x14ac:dyDescent="0.3">
      <c r="A19" s="27" t="s">
        <v>85</v>
      </c>
      <c r="B19" s="41">
        <v>-1866510.07</v>
      </c>
      <c r="C19" s="28">
        <f t="shared" si="2"/>
        <v>-1866510.07</v>
      </c>
      <c r="D19" s="41"/>
    </row>
    <row r="20" spans="1:4" x14ac:dyDescent="0.3">
      <c r="A20" s="27" t="s">
        <v>86</v>
      </c>
      <c r="B20" s="41">
        <v>1431275.08</v>
      </c>
      <c r="C20" s="28">
        <f t="shared" si="2"/>
        <v>1431275.08</v>
      </c>
      <c r="D20" s="41"/>
    </row>
    <row r="21" spans="1:4" x14ac:dyDescent="0.3">
      <c r="A21" s="27" t="s">
        <v>87</v>
      </c>
      <c r="B21" s="41">
        <v>-2468307.36</v>
      </c>
      <c r="C21" s="28">
        <f t="shared" si="2"/>
        <v>-2468307.36</v>
      </c>
      <c r="D21" s="41"/>
    </row>
    <row r="22" spans="1:4" x14ac:dyDescent="0.3">
      <c r="A22" s="27" t="s">
        <v>88</v>
      </c>
      <c r="B22" s="41">
        <v>3615896.98</v>
      </c>
      <c r="C22" s="28">
        <f t="shared" si="2"/>
        <v>3615896.98</v>
      </c>
      <c r="D22" s="41"/>
    </row>
    <row r="23" spans="1:4" x14ac:dyDescent="0.3">
      <c r="A23" s="27" t="s">
        <v>89</v>
      </c>
      <c r="B23" s="41">
        <v>-2784489.89</v>
      </c>
      <c r="C23" s="28">
        <f t="shared" si="2"/>
        <v>-2784489.89</v>
      </c>
      <c r="D23" s="41"/>
    </row>
    <row r="24" spans="1:4" x14ac:dyDescent="0.3">
      <c r="A24" s="27" t="s">
        <v>90</v>
      </c>
      <c r="B24" s="41">
        <v>230971.08</v>
      </c>
      <c r="C24" s="28">
        <f t="shared" si="2"/>
        <v>230971.08</v>
      </c>
      <c r="D24" s="41"/>
    </row>
    <row r="25" spans="1:4" x14ac:dyDescent="0.3">
      <c r="A25" s="27" t="s">
        <v>91</v>
      </c>
      <c r="B25" s="41">
        <v>319648.24</v>
      </c>
      <c r="C25" s="28">
        <f t="shared" si="2"/>
        <v>319648.24</v>
      </c>
      <c r="D25" s="41"/>
    </row>
    <row r="26" spans="1:4" ht="15" thickBot="1" x14ac:dyDescent="0.35">
      <c r="A26" s="1" t="s">
        <v>3</v>
      </c>
      <c r="B26" s="4">
        <f>SUM(B6:B25)</f>
        <v>-29191473.640000008</v>
      </c>
      <c r="C26" s="4">
        <f>SUM(C6:C25)</f>
        <v>-18227053.410000004</v>
      </c>
      <c r="D26" s="4">
        <f>SUM(D6:D25)</f>
        <v>-10964420.23</v>
      </c>
    </row>
    <row r="27" spans="1:4" ht="15" thickTop="1" x14ac:dyDescent="0.3"/>
    <row r="29" spans="1:4" x14ac:dyDescent="0.3">
      <c r="A29" s="1"/>
      <c r="B29" s="2"/>
    </row>
    <row r="30" spans="1:4" x14ac:dyDescent="0.3">
      <c r="A30" s="1"/>
      <c r="B30" s="2"/>
      <c r="C30" s="5"/>
    </row>
    <row r="31" spans="1:4" x14ac:dyDescent="0.3">
      <c r="A31" s="1"/>
      <c r="B31" s="2"/>
      <c r="C31" s="5"/>
    </row>
    <row r="32" spans="1:4" x14ac:dyDescent="0.3">
      <c r="A32" s="1"/>
      <c r="B32" s="2"/>
      <c r="C32" s="5"/>
    </row>
    <row r="33" spans="1:7" x14ac:dyDescent="0.3">
      <c r="A33" s="1"/>
      <c r="B33" s="2"/>
      <c r="C33" s="5"/>
    </row>
    <row r="34" spans="1:7" x14ac:dyDescent="0.3">
      <c r="A34" s="1"/>
      <c r="B34" s="2"/>
      <c r="C34" s="5"/>
    </row>
    <row r="35" spans="1:7" x14ac:dyDescent="0.3">
      <c r="A35" s="1"/>
      <c r="B35" s="2"/>
    </row>
    <row r="36" spans="1:7" x14ac:dyDescent="0.3">
      <c r="A36" s="1"/>
      <c r="B36" s="2"/>
    </row>
    <row r="37" spans="1:7" x14ac:dyDescent="0.3">
      <c r="A37" s="1"/>
      <c r="B37" s="2"/>
    </row>
    <row r="38" spans="1:7" x14ac:dyDescent="0.3">
      <c r="A38" s="1"/>
      <c r="B38" s="2"/>
    </row>
    <row r="39" spans="1:7" x14ac:dyDescent="0.3">
      <c r="A39" s="1"/>
      <c r="B39" s="2"/>
    </row>
    <row r="40" spans="1:7" x14ac:dyDescent="0.3">
      <c r="B40" s="5"/>
    </row>
    <row r="41" spans="1:7" x14ac:dyDescent="0.3">
      <c r="B41" s="5"/>
    </row>
    <row r="42" spans="1:7" x14ac:dyDescent="0.3">
      <c r="B42" s="5"/>
    </row>
    <row r="43" spans="1:7" x14ac:dyDescent="0.3">
      <c r="B43" s="5"/>
    </row>
    <row r="44" spans="1:7" x14ac:dyDescent="0.3">
      <c r="A44" s="1"/>
      <c r="B44" s="6"/>
      <c r="G44" s="28"/>
    </row>
  </sheetData>
  <pageMargins left="0.7" right="0.7" top="0.75" bottom="0.75" header="0.3" footer="0.3"/>
  <pageSetup scale="91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8"/>
  <sheetViews>
    <sheetView workbookViewId="0">
      <selection sqref="A1:XFD1048576"/>
    </sheetView>
  </sheetViews>
  <sheetFormatPr defaultColWidth="8.88671875" defaultRowHeight="14.4" x14ac:dyDescent="0.3"/>
  <cols>
    <col min="1" max="1" width="45.109375" style="27" customWidth="1"/>
    <col min="2" max="2" width="17.33203125" style="27" customWidth="1"/>
    <col min="3" max="16384" width="8.88671875" style="27"/>
  </cols>
  <sheetData>
    <row r="1" spans="1:2" x14ac:dyDescent="0.3">
      <c r="A1" s="27" t="s">
        <v>95</v>
      </c>
    </row>
    <row r="6" spans="1:2" x14ac:dyDescent="0.3">
      <c r="A6" s="1" t="s">
        <v>38</v>
      </c>
      <c r="B6" s="1" t="s">
        <v>82</v>
      </c>
    </row>
    <row r="7" spans="1:2" x14ac:dyDescent="0.3">
      <c r="A7" s="27" t="s">
        <v>97</v>
      </c>
      <c r="B7" s="28">
        <v>24054569</v>
      </c>
    </row>
    <row r="8" spans="1:2" x14ac:dyDescent="0.3">
      <c r="A8" s="1" t="s">
        <v>3</v>
      </c>
      <c r="B8" s="3">
        <v>24054569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8"/>
  <sheetViews>
    <sheetView workbookViewId="0">
      <selection sqref="A1:XFD1048576"/>
    </sheetView>
  </sheetViews>
  <sheetFormatPr defaultColWidth="8.88671875" defaultRowHeight="14.4" x14ac:dyDescent="0.3"/>
  <cols>
    <col min="1" max="1" width="46.6640625" style="27" customWidth="1"/>
    <col min="2" max="2" width="11.44140625" style="27" bestFit="1" customWidth="1"/>
    <col min="3" max="16384" width="8.88671875" style="27"/>
  </cols>
  <sheetData>
    <row r="1" spans="1:2" x14ac:dyDescent="0.3">
      <c r="A1" s="27" t="s">
        <v>92</v>
      </c>
    </row>
    <row r="6" spans="1:2" x14ac:dyDescent="0.3">
      <c r="A6" s="1" t="s">
        <v>38</v>
      </c>
      <c r="B6" s="1" t="s">
        <v>82</v>
      </c>
    </row>
    <row r="7" spans="1:2" x14ac:dyDescent="0.3">
      <c r="A7" s="27" t="s">
        <v>98</v>
      </c>
      <c r="B7" s="28">
        <v>835357.9</v>
      </c>
    </row>
    <row r="8" spans="1:2" x14ac:dyDescent="0.3">
      <c r="A8" s="1" t="s">
        <v>3</v>
      </c>
      <c r="B8" s="3">
        <v>835357.9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6"/>
  <sheetViews>
    <sheetView workbookViewId="0">
      <selection sqref="A1:XFD1048576"/>
    </sheetView>
  </sheetViews>
  <sheetFormatPr defaultColWidth="8.88671875" defaultRowHeight="14.4" x14ac:dyDescent="0.3"/>
  <cols>
    <col min="1" max="1" width="65.88671875" style="27" customWidth="1"/>
    <col min="2" max="2" width="16.6640625" style="27" customWidth="1"/>
    <col min="3" max="16384" width="8.88671875" style="27"/>
  </cols>
  <sheetData>
    <row r="1" spans="1:2" x14ac:dyDescent="0.3">
      <c r="A1" s="36" t="s">
        <v>92</v>
      </c>
      <c r="B1" s="36"/>
    </row>
    <row r="2" spans="1:2" x14ac:dyDescent="0.3">
      <c r="A2" s="36"/>
      <c r="B2" s="36"/>
    </row>
    <row r="3" spans="1:2" x14ac:dyDescent="0.3">
      <c r="A3" s="36"/>
      <c r="B3" s="36"/>
    </row>
    <row r="4" spans="1:2" x14ac:dyDescent="0.3">
      <c r="A4" s="36"/>
      <c r="B4" s="36"/>
    </row>
    <row r="5" spans="1:2" x14ac:dyDescent="0.3">
      <c r="A5" s="37" t="s">
        <v>38</v>
      </c>
      <c r="B5" s="38" t="s">
        <v>82</v>
      </c>
    </row>
    <row r="6" spans="1:2" x14ac:dyDescent="0.3">
      <c r="A6" s="36" t="s">
        <v>102</v>
      </c>
      <c r="B6" s="28">
        <v>83975685</v>
      </c>
    </row>
    <row r="7" spans="1:2" x14ac:dyDescent="0.3">
      <c r="A7" s="36" t="s">
        <v>101</v>
      </c>
      <c r="B7" s="28">
        <v>0</v>
      </c>
    </row>
    <row r="8" spans="1:2" x14ac:dyDescent="0.3">
      <c r="A8" s="36" t="s">
        <v>100</v>
      </c>
      <c r="B8" s="28">
        <v>-83545585</v>
      </c>
    </row>
    <row r="9" spans="1:2" ht="15" thickBot="1" x14ac:dyDescent="0.35">
      <c r="A9" s="37" t="s">
        <v>3</v>
      </c>
      <c r="B9" s="39">
        <v>430100</v>
      </c>
    </row>
    <row r="10" spans="1:2" ht="15" thickTop="1" x14ac:dyDescent="0.3"/>
    <row r="14" spans="1:2" x14ac:dyDescent="0.3">
      <c r="A14" s="40"/>
    </row>
    <row r="15" spans="1:2" x14ac:dyDescent="0.3">
      <c r="A15" s="40"/>
    </row>
    <row r="16" spans="1:2" x14ac:dyDescent="0.3">
      <c r="A16" s="40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5:B17"/>
  <sheetViews>
    <sheetView workbookViewId="0">
      <selection sqref="A1:XFD1048576"/>
    </sheetView>
  </sheetViews>
  <sheetFormatPr defaultColWidth="9.109375" defaultRowHeight="14.4" x14ac:dyDescent="0.3"/>
  <cols>
    <col min="1" max="1" width="50" style="27" bestFit="1" customWidth="1"/>
    <col min="2" max="2" width="16" style="27" bestFit="1" customWidth="1"/>
    <col min="3" max="16384" width="9.109375" style="27"/>
  </cols>
  <sheetData>
    <row r="5" spans="1:2" x14ac:dyDescent="0.3">
      <c r="A5" s="34" t="s">
        <v>120</v>
      </c>
      <c r="B5" s="34" t="s">
        <v>119</v>
      </c>
    </row>
    <row r="7" spans="1:2" x14ac:dyDescent="0.3">
      <c r="A7" s="27" t="s">
        <v>110</v>
      </c>
      <c r="B7" s="29">
        <v>-6348401.5300000003</v>
      </c>
    </row>
    <row r="8" spans="1:2" x14ac:dyDescent="0.3">
      <c r="A8" s="27" t="s">
        <v>111</v>
      </c>
      <c r="B8" s="28">
        <v>-185476.28</v>
      </c>
    </row>
    <row r="9" spans="1:2" x14ac:dyDescent="0.3">
      <c r="A9" s="27" t="s">
        <v>112</v>
      </c>
      <c r="B9" s="28">
        <v>-18306.55</v>
      </c>
    </row>
    <row r="10" spans="1:2" x14ac:dyDescent="0.3">
      <c r="A10" s="27" t="s">
        <v>113</v>
      </c>
      <c r="B10" s="28">
        <v>-370358.85</v>
      </c>
    </row>
    <row r="11" spans="1:2" x14ac:dyDescent="0.3">
      <c r="A11" s="27" t="s">
        <v>114</v>
      </c>
      <c r="B11" s="28">
        <v>-403779.59</v>
      </c>
    </row>
    <row r="12" spans="1:2" x14ac:dyDescent="0.3">
      <c r="A12" s="27" t="s">
        <v>115</v>
      </c>
      <c r="B12" s="28">
        <v>-392866.68</v>
      </c>
    </row>
    <row r="13" spans="1:2" x14ac:dyDescent="0.3">
      <c r="A13" s="27" t="s">
        <v>116</v>
      </c>
      <c r="B13" s="28">
        <v>-6100.56</v>
      </c>
    </row>
    <row r="14" spans="1:2" x14ac:dyDescent="0.3">
      <c r="A14" s="27" t="s">
        <v>117</v>
      </c>
      <c r="B14" s="28">
        <v>-768242.4</v>
      </c>
    </row>
    <row r="15" spans="1:2" x14ac:dyDescent="0.3">
      <c r="A15" s="27" t="s">
        <v>118</v>
      </c>
      <c r="B15" s="28">
        <v>-1852212.34</v>
      </c>
    </row>
    <row r="16" spans="1:2" ht="15" thickBot="1" x14ac:dyDescent="0.35">
      <c r="A16" s="1" t="s">
        <v>121</v>
      </c>
      <c r="B16" s="35">
        <f>SUM(B7:B15)</f>
        <v>-10345744.779999999</v>
      </c>
    </row>
    <row r="17" ht="15" thickTop="1" x14ac:dyDescent="0.3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B31D061-248A-43E0-B4E4-E52B85626D56}"/>
</file>

<file path=customXml/itemProps2.xml><?xml version="1.0" encoding="utf-8"?>
<ds:datastoreItem xmlns:ds="http://schemas.openxmlformats.org/officeDocument/2006/customXml" ds:itemID="{851BA7A9-E8ED-498E-ADBB-06DF6C258432}"/>
</file>

<file path=customXml/itemProps3.xml><?xml version="1.0" encoding="utf-8"?>
<ds:datastoreItem xmlns:ds="http://schemas.openxmlformats.org/officeDocument/2006/customXml" ds:itemID="{0A037134-09DD-41B3-8268-70C22DAB9BA1}"/>
</file>

<file path=customXml/itemProps4.xml><?xml version="1.0" encoding="utf-8"?>
<ds:datastoreItem xmlns:ds="http://schemas.openxmlformats.org/officeDocument/2006/customXml" ds:itemID="{DFBA1E22-4D9C-413E-9473-42567F98AA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Lead Electric</vt:lpstr>
      <vt:lpstr>Rev Req Summary</vt:lpstr>
      <vt:lpstr>Powerex for Microsoft</vt:lpstr>
      <vt:lpstr>SCh 95A Amort 12ME 12-2018</vt:lpstr>
      <vt:lpstr>456 Decoup Rev 12ME 12-2018</vt:lpstr>
      <vt:lpstr>FIT Over Coll 12ME 12-2018</vt:lpstr>
      <vt:lpstr>ZO12 45600154 GAAP 12ME 12-2018</vt:lpstr>
      <vt:lpstr>PTC</vt:lpstr>
      <vt:lpstr>Transp Oth Op</vt:lpstr>
      <vt:lpstr>Sch 142 break out</vt:lpstr>
      <vt:lpstr>'456 Decoup Rev 12ME 12-2018'!Print_Area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Peterson, Pete</cp:lastModifiedBy>
  <cp:lastPrinted>2019-05-31T17:05:06Z</cp:lastPrinted>
  <dcterms:created xsi:type="dcterms:W3CDTF">2015-10-13T17:55:11Z</dcterms:created>
  <dcterms:modified xsi:type="dcterms:W3CDTF">2020-02-28T19:42:26Z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