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.parvinen\OneDrive - MDU Resources 1\Documents\"/>
    </mc:Choice>
  </mc:AlternateContent>
  <xr:revisionPtr revIDLastSave="0" documentId="13_ncr:1_{12A6B06A-882D-43EA-AFBF-42A7D703812A}" xr6:coauthVersionLast="47" xr6:coauthVersionMax="47" xr10:uidLastSave="{00000000-0000-0000-0000-000000000000}"/>
  <bookViews>
    <workbookView xWindow="32445" yWindow="2130" windowWidth="21600" windowHeight="11325" tabRatio="913" activeTab="3" xr2:uid="{00000000-000D-0000-FFFF-FFFF00000000}"/>
  </bookViews>
  <sheets>
    <sheet name="TAX Interest Rates" sheetId="132" r:id="rId1"/>
    <sheet name="Therm Sales Master" sheetId="289" r:id="rId2"/>
    <sheet name="AMORTIZATIONS" sheetId="26" r:id="rId3"/>
    <sheet name="2540.20481" sheetId="288" r:id="rId4"/>
    <sheet name="Protected EDIT Base" sheetId="285" r:id="rId5"/>
    <sheet name="2540.20482" sheetId="290" r:id="rId6"/>
    <sheet name="Protected EDIT Gross up" sheetId="291" r:id="rId7"/>
  </sheets>
  <definedNames>
    <definedName name="_Regression_Int" localSheetId="0" hidden="1">1</definedName>
    <definedName name="_xlnm.Print_Area" localSheetId="3">'2540.20481'!$A$1:$P$54</definedName>
    <definedName name="_xlnm.Print_Area" localSheetId="5">'2540.20482'!$A$1:$P$54</definedName>
    <definedName name="_xlnm.Print_Area" localSheetId="4">'Protected EDIT Base'!$A$1:$S$164</definedName>
    <definedName name="_xlnm.Print_Area" localSheetId="6">'Protected EDIT Gross up'!$A$1:$S$170</definedName>
    <definedName name="_xlnm.Print_Area" localSheetId="0">'TAX Interest Rates'!$A$1:$D$69</definedName>
    <definedName name="_xlnm.Print_Area" localSheetId="1">'Therm Sales Master'!$A$1:$T$171</definedName>
    <definedName name="TAXINT18">'TAX Interest Rates'!$A$10:$C$21</definedName>
    <definedName name="TAXINT19">'TAX Interest Rates'!$A$22:$C$33</definedName>
    <definedName name="TAXINT20">'TAX Interest Rates'!$A$34:$C$45</definedName>
    <definedName name="TAXINT21">'TAX Interest Rates'!$A$46:$C$57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4" i="288" l="1"/>
  <c r="P42" i="288"/>
  <c r="P30" i="288"/>
  <c r="P18" i="288"/>
  <c r="P54" i="290"/>
  <c r="P42" i="290"/>
  <c r="P30" i="290"/>
  <c r="P18" i="290"/>
  <c r="AJ196" i="285" l="1"/>
  <c r="AJ195" i="285"/>
  <c r="AJ194" i="285"/>
  <c r="AJ193" i="285"/>
  <c r="AJ192" i="285"/>
  <c r="AJ191" i="285"/>
  <c r="AJ190" i="285"/>
  <c r="AL196" i="285"/>
  <c r="AL188" i="285"/>
  <c r="AL184" i="285"/>
  <c r="AL180" i="285"/>
  <c r="AL176" i="285"/>
  <c r="AL192" i="285" l="1"/>
  <c r="AL182" i="285"/>
  <c r="AL174" i="285"/>
  <c r="AL178" i="285"/>
  <c r="AL181" i="285"/>
  <c r="AL186" i="285"/>
  <c r="AL173" i="285"/>
  <c r="AL177" i="285"/>
  <c r="AL185" i="285"/>
  <c r="AL189" i="285"/>
  <c r="AL175" i="285"/>
  <c r="AL179" i="285"/>
  <c r="AL183" i="285"/>
  <c r="AL187" i="285"/>
  <c r="AL193" i="285"/>
  <c r="AL191" i="285"/>
  <c r="AL195" i="285"/>
  <c r="AL194" i="285"/>
  <c r="AL190" i="285"/>
  <c r="AM189" i="285" l="1"/>
  <c r="AM196" i="285"/>
  <c r="Q107" i="289"/>
  <c r="L107" i="289"/>
  <c r="Q51" i="289"/>
  <c r="L51" i="289"/>
  <c r="H51" i="289"/>
  <c r="R165" i="289" l="1"/>
  <c r="Q165" i="289"/>
  <c r="P165" i="289"/>
  <c r="O165" i="289"/>
  <c r="N165" i="289"/>
  <c r="M165" i="289"/>
  <c r="L165" i="289"/>
  <c r="K165" i="289"/>
  <c r="J165" i="289"/>
  <c r="I165" i="289"/>
  <c r="H165" i="289"/>
  <c r="G165" i="289"/>
  <c r="F165" i="289"/>
  <c r="E165" i="289"/>
  <c r="D165" i="289"/>
  <c r="C165" i="289"/>
  <c r="B165" i="289"/>
  <c r="Q106" i="289"/>
  <c r="L106" i="289"/>
  <c r="Q49" i="289"/>
  <c r="L49" i="289"/>
  <c r="H49" i="289"/>
  <c r="R49" i="289"/>
  <c r="A170" i="291" l="1"/>
  <c r="A169" i="291"/>
  <c r="A168" i="291"/>
  <c r="A167" i="291"/>
  <c r="A166" i="291"/>
  <c r="A165" i="291"/>
  <c r="A164" i="291"/>
  <c r="A163" i="291"/>
  <c r="A162" i="291"/>
  <c r="A161" i="291"/>
  <c r="A160" i="291"/>
  <c r="A159" i="291"/>
  <c r="A158" i="291"/>
  <c r="P57" i="291"/>
  <c r="P169" i="291" s="1"/>
  <c r="H57" i="291"/>
  <c r="H169" i="291" s="1"/>
  <c r="N55" i="291"/>
  <c r="N167" i="291" s="1"/>
  <c r="F55" i="291"/>
  <c r="F167" i="291" s="1"/>
  <c r="L53" i="291"/>
  <c r="L165" i="291" s="1"/>
  <c r="Z165" i="291" s="1"/>
  <c r="D53" i="291"/>
  <c r="D165" i="291" s="1"/>
  <c r="B51" i="291"/>
  <c r="B49" i="291"/>
  <c r="B161" i="291" s="1"/>
  <c r="T161" i="291" s="1"/>
  <c r="P171" i="285"/>
  <c r="O171" i="285"/>
  <c r="N171" i="285"/>
  <c r="M171" i="285"/>
  <c r="AA171" i="285" s="1"/>
  <c r="L171" i="285"/>
  <c r="Z171" i="285" s="1"/>
  <c r="K171" i="285"/>
  <c r="X171" i="285" s="1"/>
  <c r="J171" i="285"/>
  <c r="I171" i="285"/>
  <c r="W171" i="285" s="1"/>
  <c r="H171" i="285"/>
  <c r="G171" i="285"/>
  <c r="F171" i="285"/>
  <c r="E171" i="285"/>
  <c r="R171" i="285" s="1"/>
  <c r="D171" i="285"/>
  <c r="C171" i="285"/>
  <c r="B171" i="285"/>
  <c r="T171" i="285" s="1"/>
  <c r="B58" i="132"/>
  <c r="B59" i="132" s="1"/>
  <c r="B60" i="132" s="1"/>
  <c r="B61" i="132" s="1"/>
  <c r="B62" i="132" s="1"/>
  <c r="B63" i="132" s="1"/>
  <c r="B64" i="132" s="1"/>
  <c r="B65" i="132" s="1"/>
  <c r="B66" i="132" s="1"/>
  <c r="B67" i="132" s="1"/>
  <c r="B68" i="132" s="1"/>
  <c r="B69" i="132" s="1"/>
  <c r="A161" i="285"/>
  <c r="A162" i="285"/>
  <c r="A163" i="285"/>
  <c r="A164" i="285"/>
  <c r="A165" i="285"/>
  <c r="A166" i="285"/>
  <c r="A167" i="285"/>
  <c r="A168" i="285"/>
  <c r="A169" i="285"/>
  <c r="A170" i="285"/>
  <c r="A171" i="285"/>
  <c r="A160" i="285"/>
  <c r="A159" i="285"/>
  <c r="A158" i="285"/>
  <c r="C58" i="285"/>
  <c r="C170" i="285" s="1"/>
  <c r="B57" i="285"/>
  <c r="B169" i="285" s="1"/>
  <c r="T169" i="285" s="1"/>
  <c r="P55" i="285"/>
  <c r="P167" i="285" s="1"/>
  <c r="B53" i="285"/>
  <c r="B165" i="285" s="1"/>
  <c r="T165" i="285" s="1"/>
  <c r="L52" i="285"/>
  <c r="L164" i="285" s="1"/>
  <c r="Z164" i="285" s="1"/>
  <c r="K52" i="285"/>
  <c r="K164" i="285" s="1"/>
  <c r="X164" i="285" s="1"/>
  <c r="H52" i="285"/>
  <c r="H164" i="285" s="1"/>
  <c r="G52" i="285"/>
  <c r="G164" i="285" s="1"/>
  <c r="D52" i="285"/>
  <c r="D164" i="285" s="1"/>
  <c r="C52" i="285"/>
  <c r="C164" i="285" s="1"/>
  <c r="B51" i="285"/>
  <c r="B163" i="285" s="1"/>
  <c r="T163" i="285" s="1"/>
  <c r="M50" i="285"/>
  <c r="M162" i="285" s="1"/>
  <c r="I50" i="285"/>
  <c r="I162" i="285" s="1"/>
  <c r="E50" i="285"/>
  <c r="E162" i="285" s="1"/>
  <c r="E49" i="285"/>
  <c r="E161" i="285" s="1"/>
  <c r="D49" i="285"/>
  <c r="D161" i="285" s="1"/>
  <c r="G48" i="285"/>
  <c r="G160" i="285" s="1"/>
  <c r="M47" i="285"/>
  <c r="M159" i="285" s="1"/>
  <c r="G47" i="285"/>
  <c r="G159" i="285" s="1"/>
  <c r="C46" i="285"/>
  <c r="C158" i="285" s="1"/>
  <c r="Q177" i="289"/>
  <c r="P177" i="289"/>
  <c r="O177" i="289"/>
  <c r="N177" i="289"/>
  <c r="M177" i="289"/>
  <c r="L177" i="289"/>
  <c r="K177" i="289"/>
  <c r="J177" i="289"/>
  <c r="I177" i="289"/>
  <c r="I58" i="291" s="1"/>
  <c r="I170" i="291" s="1"/>
  <c r="H177" i="289"/>
  <c r="G177" i="289"/>
  <c r="F177" i="289"/>
  <c r="E177" i="289"/>
  <c r="D177" i="289"/>
  <c r="C177" i="289"/>
  <c r="Q176" i="289"/>
  <c r="P176" i="289"/>
  <c r="O176" i="289"/>
  <c r="N176" i="289"/>
  <c r="M176" i="289"/>
  <c r="L176" i="289"/>
  <c r="K176" i="289"/>
  <c r="J176" i="289"/>
  <c r="I176" i="289"/>
  <c r="H176" i="289"/>
  <c r="G176" i="289"/>
  <c r="F176" i="289"/>
  <c r="E176" i="289"/>
  <c r="D176" i="289"/>
  <c r="C176" i="289"/>
  <c r="Q175" i="289"/>
  <c r="P175" i="289"/>
  <c r="O175" i="289"/>
  <c r="N175" i="289"/>
  <c r="M175" i="289"/>
  <c r="L175" i="289"/>
  <c r="K175" i="289"/>
  <c r="J175" i="289"/>
  <c r="I175" i="289"/>
  <c r="H175" i="289"/>
  <c r="G175" i="289"/>
  <c r="G56" i="291" s="1"/>
  <c r="G168" i="291" s="1"/>
  <c r="F175" i="289"/>
  <c r="E175" i="289"/>
  <c r="D175" i="289"/>
  <c r="C175" i="289"/>
  <c r="Q174" i="289"/>
  <c r="P174" i="289"/>
  <c r="O174" i="289"/>
  <c r="N174" i="289"/>
  <c r="M174" i="289"/>
  <c r="L174" i="289"/>
  <c r="K174" i="289"/>
  <c r="J174" i="289"/>
  <c r="I174" i="289"/>
  <c r="H174" i="289"/>
  <c r="G174" i="289"/>
  <c r="F174" i="289"/>
  <c r="E174" i="289"/>
  <c r="D174" i="289"/>
  <c r="C174" i="289"/>
  <c r="Q173" i="289"/>
  <c r="P173" i="289"/>
  <c r="O173" i="289"/>
  <c r="N173" i="289"/>
  <c r="M173" i="289"/>
  <c r="L173" i="289"/>
  <c r="K173" i="289"/>
  <c r="J173" i="289"/>
  <c r="I173" i="289"/>
  <c r="H173" i="289"/>
  <c r="G173" i="289"/>
  <c r="F173" i="289"/>
  <c r="E173" i="289"/>
  <c r="D173" i="289"/>
  <c r="C173" i="289"/>
  <c r="C54" i="285" s="1"/>
  <c r="C166" i="285" s="1"/>
  <c r="Q172" i="289"/>
  <c r="P172" i="289"/>
  <c r="O172" i="289"/>
  <c r="N172" i="289"/>
  <c r="M172" i="289"/>
  <c r="L172" i="289"/>
  <c r="K172" i="289"/>
  <c r="J172" i="289"/>
  <c r="I172" i="289"/>
  <c r="H172" i="289"/>
  <c r="G172" i="289"/>
  <c r="F172" i="289"/>
  <c r="E172" i="289"/>
  <c r="D172" i="289"/>
  <c r="C172" i="289"/>
  <c r="R171" i="289"/>
  <c r="Q171" i="289"/>
  <c r="P171" i="289"/>
  <c r="O171" i="289"/>
  <c r="N171" i="289"/>
  <c r="M171" i="289"/>
  <c r="M52" i="285" s="1"/>
  <c r="M164" i="285" s="1"/>
  <c r="L171" i="289"/>
  <c r="K171" i="289"/>
  <c r="J171" i="289"/>
  <c r="I171" i="289"/>
  <c r="I52" i="285" s="1"/>
  <c r="I164" i="285" s="1"/>
  <c r="H171" i="289"/>
  <c r="G171" i="289"/>
  <c r="F171" i="289"/>
  <c r="E171" i="289"/>
  <c r="E52" i="285" s="1"/>
  <c r="E164" i="285" s="1"/>
  <c r="D171" i="289"/>
  <c r="C171" i="289"/>
  <c r="Q170" i="289"/>
  <c r="P170" i="289"/>
  <c r="O170" i="289"/>
  <c r="O51" i="285" s="1"/>
  <c r="O163" i="285" s="1"/>
  <c r="N170" i="289"/>
  <c r="M170" i="289"/>
  <c r="L170" i="289"/>
  <c r="K170" i="289"/>
  <c r="J170" i="289"/>
  <c r="J51" i="291" s="1"/>
  <c r="J163" i="291" s="1"/>
  <c r="I170" i="289"/>
  <c r="H170" i="289"/>
  <c r="G170" i="289"/>
  <c r="G51" i="285" s="1"/>
  <c r="G163" i="285" s="1"/>
  <c r="F170" i="289"/>
  <c r="F51" i="285" s="1"/>
  <c r="F163" i="285" s="1"/>
  <c r="E170" i="289"/>
  <c r="D170" i="289"/>
  <c r="C170" i="289"/>
  <c r="Q169" i="289"/>
  <c r="P169" i="289"/>
  <c r="O169" i="289"/>
  <c r="N169" i="289"/>
  <c r="N50" i="285" s="1"/>
  <c r="N162" i="285" s="1"/>
  <c r="M169" i="289"/>
  <c r="L169" i="289"/>
  <c r="K169" i="289"/>
  <c r="J169" i="289"/>
  <c r="J50" i="285" s="1"/>
  <c r="J162" i="285" s="1"/>
  <c r="I169" i="289"/>
  <c r="H169" i="289"/>
  <c r="G169" i="289"/>
  <c r="F169" i="289"/>
  <c r="E169" i="289"/>
  <c r="D169" i="289"/>
  <c r="C169" i="289"/>
  <c r="C50" i="285" s="1"/>
  <c r="C162" i="285" s="1"/>
  <c r="Q168" i="289"/>
  <c r="P168" i="289"/>
  <c r="O168" i="289"/>
  <c r="N168" i="289"/>
  <c r="N49" i="285" s="1"/>
  <c r="N161" i="285" s="1"/>
  <c r="M168" i="289"/>
  <c r="M49" i="285" s="1"/>
  <c r="M161" i="285" s="1"/>
  <c r="L168" i="289"/>
  <c r="L49" i="285" s="1"/>
  <c r="L161" i="285" s="1"/>
  <c r="Z161" i="285" s="1"/>
  <c r="K168" i="289"/>
  <c r="J168" i="289"/>
  <c r="I168" i="289"/>
  <c r="I49" i="285" s="1"/>
  <c r="I161" i="285" s="1"/>
  <c r="H168" i="289"/>
  <c r="H49" i="291" s="1"/>
  <c r="H161" i="291" s="1"/>
  <c r="G168" i="289"/>
  <c r="F168" i="289"/>
  <c r="F49" i="285" s="1"/>
  <c r="F161" i="285" s="1"/>
  <c r="E168" i="289"/>
  <c r="D168" i="289"/>
  <c r="C168" i="289"/>
  <c r="Q167" i="289"/>
  <c r="P167" i="289"/>
  <c r="P48" i="285" s="1"/>
  <c r="P160" i="285" s="1"/>
  <c r="O167" i="289"/>
  <c r="O48" i="285" s="1"/>
  <c r="O160" i="285" s="1"/>
  <c r="N167" i="289"/>
  <c r="M167" i="289"/>
  <c r="M48" i="285" s="1"/>
  <c r="M160" i="285" s="1"/>
  <c r="L167" i="289"/>
  <c r="L48" i="285" s="1"/>
  <c r="L160" i="285" s="1"/>
  <c r="Z160" i="285" s="1"/>
  <c r="K167" i="289"/>
  <c r="K48" i="285" s="1"/>
  <c r="K160" i="285" s="1"/>
  <c r="X160" i="285" s="1"/>
  <c r="J167" i="289"/>
  <c r="I167" i="289"/>
  <c r="I48" i="291" s="1"/>
  <c r="I160" i="291" s="1"/>
  <c r="H167" i="289"/>
  <c r="H48" i="285" s="1"/>
  <c r="H160" i="285" s="1"/>
  <c r="G167" i="289"/>
  <c r="F167" i="289"/>
  <c r="E167" i="289"/>
  <c r="E48" i="285" s="1"/>
  <c r="E160" i="285" s="1"/>
  <c r="D167" i="289"/>
  <c r="D48" i="285" s="1"/>
  <c r="D160" i="285" s="1"/>
  <c r="C167" i="289"/>
  <c r="C48" i="285" s="1"/>
  <c r="C160" i="285" s="1"/>
  <c r="B177" i="289"/>
  <c r="B176" i="289"/>
  <c r="B175" i="289"/>
  <c r="B174" i="289"/>
  <c r="B173" i="289"/>
  <c r="B172" i="289"/>
  <c r="B171" i="289"/>
  <c r="B170" i="289"/>
  <c r="B169" i="289"/>
  <c r="B168" i="289"/>
  <c r="B49" i="285" s="1"/>
  <c r="B161" i="285" s="1"/>
  <c r="T161" i="285" s="1"/>
  <c r="B167" i="289"/>
  <c r="Q166" i="289"/>
  <c r="P166" i="289"/>
  <c r="O166" i="289"/>
  <c r="N166" i="289"/>
  <c r="N47" i="285" s="1"/>
  <c r="N159" i="285" s="1"/>
  <c r="M166" i="289"/>
  <c r="L166" i="289"/>
  <c r="K166" i="289"/>
  <c r="J166" i="289"/>
  <c r="J47" i="291" s="1"/>
  <c r="J159" i="291" s="1"/>
  <c r="I166" i="289"/>
  <c r="H166" i="289"/>
  <c r="G166" i="289"/>
  <c r="F166" i="289"/>
  <c r="E166" i="289"/>
  <c r="D166" i="289"/>
  <c r="D47" i="285" s="1"/>
  <c r="D159" i="285" s="1"/>
  <c r="C166" i="289"/>
  <c r="B166" i="289"/>
  <c r="B153" i="289"/>
  <c r="B46" i="285"/>
  <c r="B158" i="285" s="1"/>
  <c r="T158" i="285" s="1"/>
  <c r="M46" i="285"/>
  <c r="M158" i="285" s="1"/>
  <c r="E46" i="285"/>
  <c r="E158" i="285" s="1"/>
  <c r="Q90" i="289"/>
  <c r="R90" i="289" s="1"/>
  <c r="Q91" i="289"/>
  <c r="R91" i="289"/>
  <c r="Q92" i="289"/>
  <c r="R92" i="289"/>
  <c r="L93" i="289"/>
  <c r="Q93" i="289"/>
  <c r="L94" i="289"/>
  <c r="R94" i="289" s="1"/>
  <c r="Q94" i="289"/>
  <c r="L95" i="289"/>
  <c r="Q95" i="289"/>
  <c r="R117" i="289"/>
  <c r="R116" i="289"/>
  <c r="R115" i="289"/>
  <c r="R114" i="289"/>
  <c r="R113" i="289"/>
  <c r="R112" i="289"/>
  <c r="R111" i="289"/>
  <c r="R110" i="289"/>
  <c r="R109" i="289"/>
  <c r="R170" i="289" s="1"/>
  <c r="R108" i="289"/>
  <c r="R107" i="289"/>
  <c r="R168" i="289" s="1"/>
  <c r="R106" i="289"/>
  <c r="R61" i="289"/>
  <c r="R60" i="289"/>
  <c r="R59" i="289"/>
  <c r="R58" i="289"/>
  <c r="R57" i="289"/>
  <c r="R173" i="289" s="1"/>
  <c r="R56" i="289"/>
  <c r="R55" i="289"/>
  <c r="R54" i="289"/>
  <c r="R53" i="289"/>
  <c r="R169" i="289" s="1"/>
  <c r="R52" i="289"/>
  <c r="R51" i="289"/>
  <c r="R50" i="289"/>
  <c r="L105" i="289"/>
  <c r="Q105" i="289"/>
  <c r="Q48" i="289"/>
  <c r="L48" i="289"/>
  <c r="H48" i="289"/>
  <c r="V171" i="285" l="1"/>
  <c r="U171" i="285"/>
  <c r="P49" i="285"/>
  <c r="P161" i="285" s="1"/>
  <c r="H49" i="285"/>
  <c r="H161" i="285" s="1"/>
  <c r="R167" i="289"/>
  <c r="O47" i="285"/>
  <c r="O159" i="285" s="1"/>
  <c r="R177" i="289"/>
  <c r="B50" i="291"/>
  <c r="B162" i="291" s="1"/>
  <c r="T162" i="291" s="1"/>
  <c r="F48" i="291"/>
  <c r="F160" i="291" s="1"/>
  <c r="J49" i="291"/>
  <c r="J161" i="291" s="1"/>
  <c r="F50" i="291"/>
  <c r="F162" i="291" s="1"/>
  <c r="J52" i="291"/>
  <c r="J164" i="291" s="1"/>
  <c r="F53" i="291"/>
  <c r="F165" i="291" s="1"/>
  <c r="N53" i="291"/>
  <c r="N165" i="291" s="1"/>
  <c r="K54" i="291"/>
  <c r="K166" i="291" s="1"/>
  <c r="X166" i="291" s="1"/>
  <c r="G55" i="285"/>
  <c r="G167" i="285" s="1"/>
  <c r="G55" i="291"/>
  <c r="G167" i="291" s="1"/>
  <c r="H56" i="285"/>
  <c r="H168" i="285" s="1"/>
  <c r="H56" i="291"/>
  <c r="H168" i="291" s="1"/>
  <c r="E57" i="291"/>
  <c r="E169" i="291" s="1"/>
  <c r="E57" i="285"/>
  <c r="E169" i="285" s="1"/>
  <c r="J58" i="285"/>
  <c r="J170" i="285" s="1"/>
  <c r="J58" i="291"/>
  <c r="J170" i="291" s="1"/>
  <c r="N53" i="285"/>
  <c r="N165" i="285" s="1"/>
  <c r="I47" i="291"/>
  <c r="I159" i="291" s="1"/>
  <c r="W159" i="291" s="1"/>
  <c r="B55" i="291"/>
  <c r="B167" i="291" s="1"/>
  <c r="T167" i="291" s="1"/>
  <c r="B55" i="285"/>
  <c r="B167" i="285" s="1"/>
  <c r="T167" i="285" s="1"/>
  <c r="O48" i="291"/>
  <c r="O160" i="291" s="1"/>
  <c r="G49" i="291"/>
  <c r="G161" i="291" s="1"/>
  <c r="O49" i="291"/>
  <c r="O161" i="291" s="1"/>
  <c r="K50" i="291"/>
  <c r="K162" i="291" s="1"/>
  <c r="X162" i="291" s="1"/>
  <c r="C51" i="291"/>
  <c r="C163" i="291" s="1"/>
  <c r="K51" i="291"/>
  <c r="K163" i="291" s="1"/>
  <c r="X163" i="291" s="1"/>
  <c r="G52" i="291"/>
  <c r="G164" i="291" s="1"/>
  <c r="C53" i="291"/>
  <c r="C165" i="291" s="1"/>
  <c r="G53" i="291"/>
  <c r="G165" i="291" s="1"/>
  <c r="G53" i="285"/>
  <c r="G165" i="285" s="1"/>
  <c r="K53" i="291"/>
  <c r="K165" i="291" s="1"/>
  <c r="X165" i="291" s="1"/>
  <c r="K53" i="285"/>
  <c r="K165" i="285" s="1"/>
  <c r="X165" i="285" s="1"/>
  <c r="O53" i="291"/>
  <c r="O165" i="291" s="1"/>
  <c r="O53" i="285"/>
  <c r="O165" i="285" s="1"/>
  <c r="H54" i="291"/>
  <c r="H166" i="291" s="1"/>
  <c r="H54" i="285"/>
  <c r="H166" i="285" s="1"/>
  <c r="P54" i="291"/>
  <c r="P166" i="291" s="1"/>
  <c r="P54" i="285"/>
  <c r="P166" i="285" s="1"/>
  <c r="D55" i="291"/>
  <c r="D167" i="291" s="1"/>
  <c r="H55" i="291"/>
  <c r="H167" i="291" s="1"/>
  <c r="L55" i="291"/>
  <c r="L167" i="291" s="1"/>
  <c r="Z167" i="291" s="1"/>
  <c r="P55" i="291"/>
  <c r="P167" i="291" s="1"/>
  <c r="E56" i="291"/>
  <c r="E168" i="291" s="1"/>
  <c r="I56" i="291"/>
  <c r="I168" i="291" s="1"/>
  <c r="W168" i="291" s="1"/>
  <c r="M56" i="291"/>
  <c r="M168" i="291" s="1"/>
  <c r="F57" i="291"/>
  <c r="F169" i="291" s="1"/>
  <c r="J57" i="291"/>
  <c r="J169" i="291" s="1"/>
  <c r="N57" i="291"/>
  <c r="N169" i="291" s="1"/>
  <c r="C58" i="291"/>
  <c r="C170" i="291" s="1"/>
  <c r="G58" i="291"/>
  <c r="G170" i="291" s="1"/>
  <c r="K58" i="291"/>
  <c r="K170" i="291" s="1"/>
  <c r="X170" i="291" s="1"/>
  <c r="O58" i="291"/>
  <c r="O170" i="291" s="1"/>
  <c r="D46" i="285"/>
  <c r="D158" i="285" s="1"/>
  <c r="U158" i="285" s="1"/>
  <c r="B50" i="285"/>
  <c r="B162" i="285" s="1"/>
  <c r="T162" i="285" s="1"/>
  <c r="F50" i="285"/>
  <c r="F162" i="285" s="1"/>
  <c r="C51" i="285"/>
  <c r="C163" i="285" s="1"/>
  <c r="K51" i="285"/>
  <c r="K163" i="285" s="1"/>
  <c r="X163" i="285" s="1"/>
  <c r="C53" i="285"/>
  <c r="C165" i="285" s="1"/>
  <c r="D55" i="285"/>
  <c r="D167" i="285" s="1"/>
  <c r="E56" i="285"/>
  <c r="E168" i="285" s="1"/>
  <c r="F57" i="285"/>
  <c r="F169" i="285" s="1"/>
  <c r="G58" i="285"/>
  <c r="G170" i="285" s="1"/>
  <c r="D47" i="291"/>
  <c r="D159" i="291" s="1"/>
  <c r="P47" i="291"/>
  <c r="P159" i="291" s="1"/>
  <c r="B58" i="285"/>
  <c r="B170" i="285" s="1"/>
  <c r="T170" i="285" s="1"/>
  <c r="B58" i="291"/>
  <c r="B170" i="291" s="1"/>
  <c r="T170" i="291" s="1"/>
  <c r="N48" i="291"/>
  <c r="N160" i="291" s="1"/>
  <c r="N50" i="291"/>
  <c r="N162" i="291" s="1"/>
  <c r="F52" i="291"/>
  <c r="F164" i="291" s="1"/>
  <c r="N52" i="291"/>
  <c r="N164" i="291" s="1"/>
  <c r="J53" i="291"/>
  <c r="J165" i="291" s="1"/>
  <c r="G54" i="291"/>
  <c r="G166" i="291" s="1"/>
  <c r="C55" i="291"/>
  <c r="C167" i="291" s="1"/>
  <c r="U167" i="291" s="1"/>
  <c r="C55" i="285"/>
  <c r="C167" i="285" s="1"/>
  <c r="O55" i="285"/>
  <c r="O167" i="285" s="1"/>
  <c r="O55" i="291"/>
  <c r="O167" i="291" s="1"/>
  <c r="AA167" i="291" s="1"/>
  <c r="AB167" i="291" s="1"/>
  <c r="L56" i="291"/>
  <c r="L168" i="291" s="1"/>
  <c r="Z168" i="291" s="1"/>
  <c r="L56" i="285"/>
  <c r="L168" i="285" s="1"/>
  <c r="Z168" i="285" s="1"/>
  <c r="I57" i="285"/>
  <c r="I169" i="285" s="1"/>
  <c r="I57" i="291"/>
  <c r="I169" i="291" s="1"/>
  <c r="W169" i="291" s="1"/>
  <c r="F58" i="291"/>
  <c r="F170" i="291" s="1"/>
  <c r="F58" i="285"/>
  <c r="F170" i="285" s="1"/>
  <c r="J51" i="285"/>
  <c r="J163" i="285" s="1"/>
  <c r="O54" i="285"/>
  <c r="O166" i="285" s="1"/>
  <c r="R174" i="289"/>
  <c r="K49" i="291"/>
  <c r="K161" i="291" s="1"/>
  <c r="X161" i="291" s="1"/>
  <c r="G50" i="291"/>
  <c r="G162" i="291" s="1"/>
  <c r="O50" i="291"/>
  <c r="O162" i="291" s="1"/>
  <c r="G51" i="291"/>
  <c r="G163" i="291" s="1"/>
  <c r="O51" i="291"/>
  <c r="O163" i="291" s="1"/>
  <c r="D54" i="291"/>
  <c r="D166" i="291" s="1"/>
  <c r="D54" i="285"/>
  <c r="D166" i="285" s="1"/>
  <c r="R95" i="289"/>
  <c r="P46" i="285"/>
  <c r="P158" i="285" s="1"/>
  <c r="B48" i="291"/>
  <c r="B160" i="291" s="1"/>
  <c r="T160" i="291" s="1"/>
  <c r="B52" i="291"/>
  <c r="B164" i="291" s="1"/>
  <c r="T164" i="291" s="1"/>
  <c r="B56" i="291"/>
  <c r="B168" i="291" s="1"/>
  <c r="T168" i="291" s="1"/>
  <c r="B56" i="285"/>
  <c r="B168" i="285" s="1"/>
  <c r="T168" i="285" s="1"/>
  <c r="D48" i="291"/>
  <c r="D160" i="291" s="1"/>
  <c r="H48" i="291"/>
  <c r="H160" i="291" s="1"/>
  <c r="P48" i="291"/>
  <c r="P160" i="291" s="1"/>
  <c r="D49" i="291"/>
  <c r="D161" i="291" s="1"/>
  <c r="L49" i="291"/>
  <c r="L161" i="291" s="1"/>
  <c r="Z161" i="291" s="1"/>
  <c r="D50" i="291"/>
  <c r="D162" i="291" s="1"/>
  <c r="H50" i="291"/>
  <c r="H162" i="291" s="1"/>
  <c r="L50" i="291"/>
  <c r="L162" i="291" s="1"/>
  <c r="Z162" i="291" s="1"/>
  <c r="P50" i="291"/>
  <c r="P162" i="291" s="1"/>
  <c r="D51" i="291"/>
  <c r="D163" i="291" s="1"/>
  <c r="H51" i="291"/>
  <c r="H163" i="291" s="1"/>
  <c r="L51" i="291"/>
  <c r="L163" i="291" s="1"/>
  <c r="Z163" i="291" s="1"/>
  <c r="P51" i="291"/>
  <c r="P163" i="291" s="1"/>
  <c r="D52" i="291"/>
  <c r="D164" i="291" s="1"/>
  <c r="H52" i="291"/>
  <c r="H164" i="291" s="1"/>
  <c r="L52" i="291"/>
  <c r="L164" i="291" s="1"/>
  <c r="Z164" i="291" s="1"/>
  <c r="P52" i="291"/>
  <c r="P164" i="291" s="1"/>
  <c r="P52" i="285"/>
  <c r="P164" i="285" s="1"/>
  <c r="D53" i="285"/>
  <c r="D165" i="285" s="1"/>
  <c r="H53" i="291"/>
  <c r="H165" i="291" s="1"/>
  <c r="H53" i="285"/>
  <c r="H165" i="285" s="1"/>
  <c r="L53" i="285"/>
  <c r="L165" i="285" s="1"/>
  <c r="Z165" i="285" s="1"/>
  <c r="P53" i="291"/>
  <c r="P165" i="291" s="1"/>
  <c r="P53" i="285"/>
  <c r="P165" i="285" s="1"/>
  <c r="E54" i="285"/>
  <c r="E166" i="285" s="1"/>
  <c r="I54" i="291"/>
  <c r="I166" i="291" s="1"/>
  <c r="I54" i="285"/>
  <c r="I166" i="285" s="1"/>
  <c r="M54" i="285"/>
  <c r="M166" i="285" s="1"/>
  <c r="AA166" i="285" s="1"/>
  <c r="AB166" i="285" s="1"/>
  <c r="E55" i="291"/>
  <c r="E167" i="291" s="1"/>
  <c r="E55" i="285"/>
  <c r="E167" i="285" s="1"/>
  <c r="I55" i="291"/>
  <c r="I167" i="291" s="1"/>
  <c r="I55" i="285"/>
  <c r="I167" i="285" s="1"/>
  <c r="M55" i="291"/>
  <c r="M167" i="291" s="1"/>
  <c r="M55" i="285"/>
  <c r="M167" i="285" s="1"/>
  <c r="F56" i="291"/>
  <c r="F168" i="291" s="1"/>
  <c r="V168" i="291" s="1"/>
  <c r="F56" i="285"/>
  <c r="F168" i="285" s="1"/>
  <c r="V168" i="285" s="1"/>
  <c r="J56" i="291"/>
  <c r="J168" i="291" s="1"/>
  <c r="J56" i="285"/>
  <c r="J168" i="285" s="1"/>
  <c r="N56" i="291"/>
  <c r="N168" i="291" s="1"/>
  <c r="N56" i="285"/>
  <c r="N168" i="285" s="1"/>
  <c r="AA168" i="285" s="1"/>
  <c r="AB168" i="285" s="1"/>
  <c r="C57" i="291"/>
  <c r="C169" i="291" s="1"/>
  <c r="C57" i="285"/>
  <c r="C169" i="285" s="1"/>
  <c r="G57" i="291"/>
  <c r="G169" i="291" s="1"/>
  <c r="G57" i="285"/>
  <c r="G169" i="285" s="1"/>
  <c r="K57" i="291"/>
  <c r="K169" i="291" s="1"/>
  <c r="X169" i="291" s="1"/>
  <c r="K57" i="285"/>
  <c r="K169" i="285" s="1"/>
  <c r="X169" i="285" s="1"/>
  <c r="O57" i="291"/>
  <c r="O169" i="291" s="1"/>
  <c r="O57" i="285"/>
  <c r="O169" i="285" s="1"/>
  <c r="D58" i="291"/>
  <c r="D170" i="291" s="1"/>
  <c r="D58" i="285"/>
  <c r="D170" i="285" s="1"/>
  <c r="H58" i="291"/>
  <c r="H170" i="291" s="1"/>
  <c r="H58" i="285"/>
  <c r="H170" i="285" s="1"/>
  <c r="L58" i="291"/>
  <c r="L170" i="291" s="1"/>
  <c r="Z170" i="291" s="1"/>
  <c r="L58" i="285"/>
  <c r="L170" i="285" s="1"/>
  <c r="Z170" i="285" s="1"/>
  <c r="P58" i="291"/>
  <c r="P170" i="291" s="1"/>
  <c r="P58" i="285"/>
  <c r="P170" i="285" s="1"/>
  <c r="I47" i="285"/>
  <c r="I159" i="285" s="1"/>
  <c r="P47" i="285"/>
  <c r="P159" i="285" s="1"/>
  <c r="AA159" i="285" s="1"/>
  <c r="I48" i="285"/>
  <c r="I160" i="285" s="1"/>
  <c r="J49" i="285"/>
  <c r="J161" i="285" s="1"/>
  <c r="G50" i="285"/>
  <c r="G162" i="285" s="1"/>
  <c r="K50" i="285"/>
  <c r="K162" i="285" s="1"/>
  <c r="X162" i="285" s="1"/>
  <c r="O50" i="285"/>
  <c r="O162" i="285" s="1"/>
  <c r="D51" i="285"/>
  <c r="D163" i="285" s="1"/>
  <c r="H51" i="285"/>
  <c r="H163" i="285" s="1"/>
  <c r="L51" i="285"/>
  <c r="L163" i="285" s="1"/>
  <c r="Z163" i="285" s="1"/>
  <c r="P51" i="285"/>
  <c r="P163" i="285" s="1"/>
  <c r="F53" i="285"/>
  <c r="F165" i="285" s="1"/>
  <c r="G54" i="285"/>
  <c r="G166" i="285" s="1"/>
  <c r="H55" i="285"/>
  <c r="H167" i="285" s="1"/>
  <c r="I56" i="285"/>
  <c r="I168" i="285" s="1"/>
  <c r="J57" i="285"/>
  <c r="J169" i="285" s="1"/>
  <c r="K58" i="285"/>
  <c r="K170" i="285" s="1"/>
  <c r="X170" i="285" s="1"/>
  <c r="G48" i="291"/>
  <c r="G160" i="291" s="1"/>
  <c r="P49" i="291"/>
  <c r="P161" i="291" s="1"/>
  <c r="C52" i="291"/>
  <c r="C164" i="291" s="1"/>
  <c r="E54" i="291"/>
  <c r="E166" i="291" s="1"/>
  <c r="B54" i="291"/>
  <c r="B166" i="291" s="1"/>
  <c r="T166" i="291" s="1"/>
  <c r="B54" i="285"/>
  <c r="B166" i="285" s="1"/>
  <c r="T166" i="285" s="1"/>
  <c r="J48" i="291"/>
  <c r="J160" i="291" s="1"/>
  <c r="W160" i="291" s="1"/>
  <c r="S168" i="289"/>
  <c r="F49" i="291"/>
  <c r="F161" i="291" s="1"/>
  <c r="V161" i="291" s="1"/>
  <c r="N49" i="291"/>
  <c r="N161" i="291" s="1"/>
  <c r="J50" i="291"/>
  <c r="J162" i="291" s="1"/>
  <c r="F51" i="291"/>
  <c r="F163" i="291" s="1"/>
  <c r="N51" i="291"/>
  <c r="N163" i="291" s="1"/>
  <c r="C54" i="291"/>
  <c r="C166" i="291" s="1"/>
  <c r="O54" i="291"/>
  <c r="O166" i="291" s="1"/>
  <c r="K55" i="291"/>
  <c r="K167" i="291" s="1"/>
  <c r="X167" i="291" s="1"/>
  <c r="K55" i="285"/>
  <c r="K167" i="285" s="1"/>
  <c r="X167" i="285" s="1"/>
  <c r="D56" i="291"/>
  <c r="D168" i="291" s="1"/>
  <c r="D56" i="285"/>
  <c r="D168" i="285" s="1"/>
  <c r="P56" i="285"/>
  <c r="P168" i="285" s="1"/>
  <c r="P56" i="291"/>
  <c r="P168" i="291" s="1"/>
  <c r="M57" i="291"/>
  <c r="M169" i="291" s="1"/>
  <c r="M57" i="285"/>
  <c r="M169" i="285" s="1"/>
  <c r="N58" i="291"/>
  <c r="N170" i="291" s="1"/>
  <c r="N58" i="285"/>
  <c r="N170" i="285" s="1"/>
  <c r="N51" i="285"/>
  <c r="N163" i="285" s="1"/>
  <c r="R166" i="289"/>
  <c r="C46" i="291"/>
  <c r="C158" i="291" s="1"/>
  <c r="E47" i="291"/>
  <c r="E159" i="291" s="1"/>
  <c r="M47" i="291"/>
  <c r="M159" i="291" s="1"/>
  <c r="C48" i="291"/>
  <c r="C160" i="291" s="1"/>
  <c r="U160" i="291" s="1"/>
  <c r="K48" i="291"/>
  <c r="K160" i="291" s="1"/>
  <c r="X160" i="291" s="1"/>
  <c r="C49" i="291"/>
  <c r="C161" i="291" s="1"/>
  <c r="C50" i="291"/>
  <c r="C162" i="291" s="1"/>
  <c r="O52" i="291"/>
  <c r="O164" i="291" s="1"/>
  <c r="O52" i="285"/>
  <c r="O164" i="285" s="1"/>
  <c r="L54" i="291"/>
  <c r="L166" i="291" s="1"/>
  <c r="Z166" i="291" s="1"/>
  <c r="L54" i="285"/>
  <c r="L166" i="285" s="1"/>
  <c r="Z166" i="285" s="1"/>
  <c r="R175" i="289"/>
  <c r="R172" i="289"/>
  <c r="E46" i="291"/>
  <c r="E158" i="291" s="1"/>
  <c r="G47" i="291"/>
  <c r="G159" i="291" s="1"/>
  <c r="B53" i="291"/>
  <c r="B165" i="291" s="1"/>
  <c r="T165" i="291" s="1"/>
  <c r="B57" i="291"/>
  <c r="B169" i="291" s="1"/>
  <c r="T169" i="291" s="1"/>
  <c r="E48" i="291"/>
  <c r="E160" i="291" s="1"/>
  <c r="M48" i="291"/>
  <c r="M160" i="291" s="1"/>
  <c r="E49" i="291"/>
  <c r="E161" i="291" s="1"/>
  <c r="I49" i="291"/>
  <c r="I161" i="291" s="1"/>
  <c r="M49" i="291"/>
  <c r="M161" i="291" s="1"/>
  <c r="E50" i="291"/>
  <c r="E162" i="291" s="1"/>
  <c r="M50" i="291"/>
  <c r="M162" i="291" s="1"/>
  <c r="E51" i="291"/>
  <c r="E163" i="291" s="1"/>
  <c r="I51" i="291"/>
  <c r="I163" i="291" s="1"/>
  <c r="M51" i="291"/>
  <c r="M163" i="291" s="1"/>
  <c r="E52" i="291"/>
  <c r="E164" i="291" s="1"/>
  <c r="I52" i="291"/>
  <c r="I164" i="291" s="1"/>
  <c r="M52" i="291"/>
  <c r="M164" i="291" s="1"/>
  <c r="AA164" i="291" s="1"/>
  <c r="AB164" i="291" s="1"/>
  <c r="E53" i="285"/>
  <c r="E165" i="285" s="1"/>
  <c r="E53" i="291"/>
  <c r="E165" i="291" s="1"/>
  <c r="I53" i="291"/>
  <c r="I165" i="291" s="1"/>
  <c r="W165" i="291" s="1"/>
  <c r="I53" i="285"/>
  <c r="I165" i="285" s="1"/>
  <c r="M53" i="285"/>
  <c r="M165" i="285" s="1"/>
  <c r="M53" i="291"/>
  <c r="M165" i="291" s="1"/>
  <c r="F54" i="285"/>
  <c r="F166" i="285" s="1"/>
  <c r="F54" i="291"/>
  <c r="F166" i="291" s="1"/>
  <c r="J54" i="291"/>
  <c r="J166" i="291" s="1"/>
  <c r="J54" i="285"/>
  <c r="J166" i="285" s="1"/>
  <c r="N54" i="285"/>
  <c r="N166" i="285" s="1"/>
  <c r="N54" i="291"/>
  <c r="N166" i="291" s="1"/>
  <c r="F55" i="285"/>
  <c r="F167" i="285" s="1"/>
  <c r="V167" i="285" s="1"/>
  <c r="J55" i="291"/>
  <c r="J167" i="291" s="1"/>
  <c r="W167" i="291" s="1"/>
  <c r="J55" i="285"/>
  <c r="J167" i="285" s="1"/>
  <c r="N55" i="285"/>
  <c r="N167" i="285" s="1"/>
  <c r="C56" i="291"/>
  <c r="C168" i="291" s="1"/>
  <c r="U168" i="291" s="1"/>
  <c r="C56" i="285"/>
  <c r="C168" i="285" s="1"/>
  <c r="G56" i="285"/>
  <c r="G168" i="285" s="1"/>
  <c r="K56" i="291"/>
  <c r="K168" i="291" s="1"/>
  <c r="X168" i="291" s="1"/>
  <c r="K56" i="285"/>
  <c r="K168" i="285" s="1"/>
  <c r="X168" i="285" s="1"/>
  <c r="O56" i="285"/>
  <c r="O168" i="285" s="1"/>
  <c r="D57" i="291"/>
  <c r="D169" i="291" s="1"/>
  <c r="D57" i="285"/>
  <c r="D169" i="285" s="1"/>
  <c r="H57" i="285"/>
  <c r="H169" i="285" s="1"/>
  <c r="L57" i="291"/>
  <c r="L169" i="291" s="1"/>
  <c r="Z169" i="291" s="1"/>
  <c r="L57" i="285"/>
  <c r="L169" i="285" s="1"/>
  <c r="Z169" i="285" s="1"/>
  <c r="P57" i="285"/>
  <c r="P169" i="285" s="1"/>
  <c r="E58" i="291"/>
  <c r="E170" i="291" s="1"/>
  <c r="E58" i="285"/>
  <c r="E170" i="285" s="1"/>
  <c r="I58" i="285"/>
  <c r="I170" i="285" s="1"/>
  <c r="M58" i="291"/>
  <c r="M170" i="291" s="1"/>
  <c r="M58" i="285"/>
  <c r="M170" i="285" s="1"/>
  <c r="K46" i="285"/>
  <c r="K158" i="285" s="1"/>
  <c r="X158" i="285" s="1"/>
  <c r="J47" i="285"/>
  <c r="J159" i="285" s="1"/>
  <c r="B48" i="285"/>
  <c r="B160" i="285" s="1"/>
  <c r="T160" i="285" s="1"/>
  <c r="F48" i="285"/>
  <c r="F160" i="285" s="1"/>
  <c r="V160" i="285" s="1"/>
  <c r="J48" i="285"/>
  <c r="J160" i="285" s="1"/>
  <c r="N48" i="285"/>
  <c r="N160" i="285" s="1"/>
  <c r="AA160" i="285" s="1"/>
  <c r="AB160" i="285" s="1"/>
  <c r="C49" i="285"/>
  <c r="C161" i="285" s="1"/>
  <c r="U161" i="285" s="1"/>
  <c r="G49" i="285"/>
  <c r="G161" i="285" s="1"/>
  <c r="K49" i="285"/>
  <c r="K161" i="285" s="1"/>
  <c r="X161" i="285" s="1"/>
  <c r="O49" i="285"/>
  <c r="O161" i="285" s="1"/>
  <c r="AA161" i="285" s="1"/>
  <c r="AB161" i="285" s="1"/>
  <c r="D50" i="285"/>
  <c r="D162" i="285" s="1"/>
  <c r="U162" i="285" s="1"/>
  <c r="H50" i="285"/>
  <c r="H162" i="285" s="1"/>
  <c r="L50" i="285"/>
  <c r="L162" i="285" s="1"/>
  <c r="Z162" i="285" s="1"/>
  <c r="P50" i="285"/>
  <c r="P162" i="285" s="1"/>
  <c r="AA162" i="285" s="1"/>
  <c r="E51" i="285"/>
  <c r="E163" i="285" s="1"/>
  <c r="I51" i="285"/>
  <c r="I163" i="285" s="1"/>
  <c r="M51" i="285"/>
  <c r="M163" i="285" s="1"/>
  <c r="B52" i="285"/>
  <c r="B164" i="285" s="1"/>
  <c r="F52" i="285"/>
  <c r="F164" i="285" s="1"/>
  <c r="V164" i="285" s="1"/>
  <c r="J52" i="285"/>
  <c r="J164" i="285" s="1"/>
  <c r="N52" i="285"/>
  <c r="N164" i="285" s="1"/>
  <c r="J53" i="285"/>
  <c r="J165" i="285" s="1"/>
  <c r="K54" i="285"/>
  <c r="K166" i="285" s="1"/>
  <c r="X166" i="285" s="1"/>
  <c r="L55" i="285"/>
  <c r="L167" i="285" s="1"/>
  <c r="Z167" i="285" s="1"/>
  <c r="M56" i="285"/>
  <c r="M168" i="285" s="1"/>
  <c r="N57" i="285"/>
  <c r="N169" i="285" s="1"/>
  <c r="O58" i="285"/>
  <c r="O170" i="285" s="1"/>
  <c r="L48" i="291"/>
  <c r="L160" i="291" s="1"/>
  <c r="Z160" i="291" s="1"/>
  <c r="I50" i="291"/>
  <c r="I162" i="291" s="1"/>
  <c r="K52" i="291"/>
  <c r="K164" i="291" s="1"/>
  <c r="X164" i="291" s="1"/>
  <c r="M54" i="291"/>
  <c r="M166" i="291" s="1"/>
  <c r="AA166" i="291" s="1"/>
  <c r="AB166" i="291" s="1"/>
  <c r="O56" i="291"/>
  <c r="O168" i="291" s="1"/>
  <c r="O47" i="291"/>
  <c r="O159" i="291" s="1"/>
  <c r="N47" i="291"/>
  <c r="N159" i="291" s="1"/>
  <c r="L47" i="291"/>
  <c r="L159" i="291" s="1"/>
  <c r="Z159" i="291" s="1"/>
  <c r="L47" i="285"/>
  <c r="L159" i="285" s="1"/>
  <c r="Z159" i="285" s="1"/>
  <c r="AA164" i="285"/>
  <c r="AB164" i="285" s="1"/>
  <c r="W170" i="285"/>
  <c r="W164" i="285"/>
  <c r="N46" i="285"/>
  <c r="N158" i="285" s="1"/>
  <c r="O46" i="285"/>
  <c r="O158" i="285" s="1"/>
  <c r="N46" i="291"/>
  <c r="N158" i="291" s="1"/>
  <c r="M46" i="291"/>
  <c r="M158" i="291" s="1"/>
  <c r="O46" i="291"/>
  <c r="O158" i="291" s="1"/>
  <c r="P46" i="291"/>
  <c r="P158" i="291" s="1"/>
  <c r="L46" i="285"/>
  <c r="L158" i="285" s="1"/>
  <c r="Z158" i="285" s="1"/>
  <c r="L46" i="291"/>
  <c r="L158" i="291" s="1"/>
  <c r="Z158" i="291" s="1"/>
  <c r="K47" i="291"/>
  <c r="K159" i="291" s="1"/>
  <c r="X159" i="291" s="1"/>
  <c r="K47" i="285"/>
  <c r="K159" i="285" s="1"/>
  <c r="X159" i="285" s="1"/>
  <c r="K46" i="291"/>
  <c r="K158" i="291" s="1"/>
  <c r="X158" i="291" s="1"/>
  <c r="J46" i="285"/>
  <c r="J158" i="285" s="1"/>
  <c r="J46" i="291"/>
  <c r="J158" i="291" s="1"/>
  <c r="I46" i="285"/>
  <c r="I158" i="285" s="1"/>
  <c r="I46" i="291"/>
  <c r="I158" i="291" s="1"/>
  <c r="H47" i="291"/>
  <c r="H159" i="291" s="1"/>
  <c r="H47" i="285"/>
  <c r="H159" i="285" s="1"/>
  <c r="H46" i="285"/>
  <c r="H158" i="285" s="1"/>
  <c r="H46" i="291"/>
  <c r="H158" i="291" s="1"/>
  <c r="G46" i="285"/>
  <c r="G158" i="285" s="1"/>
  <c r="G46" i="291"/>
  <c r="G158" i="291" s="1"/>
  <c r="F47" i="285"/>
  <c r="F159" i="285" s="1"/>
  <c r="V159" i="285" s="1"/>
  <c r="F47" i="291"/>
  <c r="F159" i="291" s="1"/>
  <c r="F46" i="291"/>
  <c r="F158" i="291" s="1"/>
  <c r="F46" i="285"/>
  <c r="F158" i="285" s="1"/>
  <c r="E47" i="285"/>
  <c r="E159" i="285" s="1"/>
  <c r="D46" i="291"/>
  <c r="D158" i="291" s="1"/>
  <c r="C47" i="285"/>
  <c r="C159" i="285" s="1"/>
  <c r="C47" i="291"/>
  <c r="C159" i="291" s="1"/>
  <c r="V162" i="285"/>
  <c r="W163" i="285"/>
  <c r="U160" i="285"/>
  <c r="W162" i="285"/>
  <c r="V163" i="285"/>
  <c r="U164" i="285"/>
  <c r="B47" i="291"/>
  <c r="B159" i="291" s="1"/>
  <c r="T159" i="291" s="1"/>
  <c r="S166" i="289"/>
  <c r="B47" i="285"/>
  <c r="B159" i="285" s="1"/>
  <c r="T159" i="285" s="1"/>
  <c r="B46" i="291"/>
  <c r="B158" i="291" s="1"/>
  <c r="T158" i="291" s="1"/>
  <c r="S165" i="289"/>
  <c r="V164" i="291"/>
  <c r="V163" i="291"/>
  <c r="U166" i="291"/>
  <c r="W163" i="291"/>
  <c r="B163" i="291"/>
  <c r="T163" i="291" s="1"/>
  <c r="W170" i="291"/>
  <c r="AA168" i="291"/>
  <c r="AB168" i="291" s="1"/>
  <c r="Y171" i="285"/>
  <c r="AB171" i="285"/>
  <c r="R176" i="289"/>
  <c r="S167" i="289"/>
  <c r="S169" i="289"/>
  <c r="S170" i="289"/>
  <c r="S174" i="289"/>
  <c r="S175" i="289"/>
  <c r="S176" i="289"/>
  <c r="S177" i="289"/>
  <c r="S171" i="289"/>
  <c r="S173" i="289"/>
  <c r="S172" i="289"/>
  <c r="R93" i="289"/>
  <c r="Q104" i="289"/>
  <c r="L104" i="289"/>
  <c r="Q47" i="289"/>
  <c r="L47" i="289"/>
  <c r="H47" i="289"/>
  <c r="V161" i="285" l="1"/>
  <c r="V165" i="291"/>
  <c r="U158" i="291"/>
  <c r="W168" i="285"/>
  <c r="U163" i="291"/>
  <c r="U162" i="291"/>
  <c r="Y162" i="291" s="1"/>
  <c r="AC162" i="291" s="1"/>
  <c r="V167" i="291"/>
  <c r="Y167" i="291" s="1"/>
  <c r="AC167" i="291" s="1"/>
  <c r="R50" i="285"/>
  <c r="AA169" i="285"/>
  <c r="U169" i="285"/>
  <c r="R164" i="291"/>
  <c r="AA170" i="291"/>
  <c r="AB170" i="291" s="1"/>
  <c r="AA169" i="291"/>
  <c r="AB169" i="291" s="1"/>
  <c r="AD169" i="291" s="1"/>
  <c r="R168" i="291"/>
  <c r="AA163" i="291"/>
  <c r="AB163" i="291" s="1"/>
  <c r="U169" i="291"/>
  <c r="AA165" i="291"/>
  <c r="AB165" i="291" s="1"/>
  <c r="R165" i="285"/>
  <c r="V170" i="291"/>
  <c r="V169" i="291"/>
  <c r="U165" i="291"/>
  <c r="Y165" i="291" s="1"/>
  <c r="W161" i="291"/>
  <c r="R170" i="291"/>
  <c r="W160" i="285"/>
  <c r="Y160" i="285" s="1"/>
  <c r="V160" i="291"/>
  <c r="Y160" i="291" s="1"/>
  <c r="W159" i="285"/>
  <c r="V166" i="285"/>
  <c r="R169" i="291"/>
  <c r="W164" i="291"/>
  <c r="R56" i="291"/>
  <c r="U164" i="291"/>
  <c r="AA159" i="291"/>
  <c r="AB159" i="291" s="1"/>
  <c r="R56" i="285"/>
  <c r="AA163" i="285"/>
  <c r="AB163" i="285" s="1"/>
  <c r="W162" i="291"/>
  <c r="R160" i="291"/>
  <c r="E54" i="290" s="1"/>
  <c r="O54" i="290" s="1"/>
  <c r="V165" i="285"/>
  <c r="R161" i="285"/>
  <c r="AA170" i="285"/>
  <c r="U170" i="285"/>
  <c r="Y170" i="285" s="1"/>
  <c r="V169" i="285"/>
  <c r="R169" i="285"/>
  <c r="AA167" i="285"/>
  <c r="AB167" i="285" s="1"/>
  <c r="W167" i="285"/>
  <c r="R166" i="291"/>
  <c r="U165" i="285"/>
  <c r="R161" i="291"/>
  <c r="R166" i="285"/>
  <c r="V170" i="285"/>
  <c r="U167" i="285"/>
  <c r="U168" i="285"/>
  <c r="U163" i="285"/>
  <c r="Y163" i="285" s="1"/>
  <c r="AC163" i="285" s="1"/>
  <c r="Y168" i="291"/>
  <c r="AC168" i="291" s="1"/>
  <c r="U170" i="291"/>
  <c r="AA160" i="291"/>
  <c r="AB160" i="291" s="1"/>
  <c r="R162" i="285"/>
  <c r="R52" i="291"/>
  <c r="U159" i="291"/>
  <c r="R53" i="285"/>
  <c r="R167" i="285"/>
  <c r="R49" i="291"/>
  <c r="V158" i="291"/>
  <c r="V159" i="291"/>
  <c r="AB169" i="285"/>
  <c r="W165" i="285"/>
  <c r="R164" i="285"/>
  <c r="AB162" i="285"/>
  <c r="AA165" i="285"/>
  <c r="AB165" i="285" s="1"/>
  <c r="AA162" i="291"/>
  <c r="AB162" i="291" s="1"/>
  <c r="AA161" i="291"/>
  <c r="AB161" i="291" s="1"/>
  <c r="V162" i="291"/>
  <c r="AB170" i="285"/>
  <c r="R160" i="285"/>
  <c r="E54" i="288" s="1"/>
  <c r="O54" i="288" s="1"/>
  <c r="R168" i="285"/>
  <c r="U166" i="285"/>
  <c r="R48" i="291"/>
  <c r="C54" i="290" s="1"/>
  <c r="R58" i="291"/>
  <c r="R162" i="291"/>
  <c r="R55" i="291"/>
  <c r="R163" i="285"/>
  <c r="R49" i="285"/>
  <c r="R55" i="285"/>
  <c r="R58" i="285"/>
  <c r="R170" i="285"/>
  <c r="T164" i="285"/>
  <c r="Y164" i="285" s="1"/>
  <c r="R57" i="291"/>
  <c r="R54" i="291"/>
  <c r="W166" i="291"/>
  <c r="R51" i="291"/>
  <c r="U161" i="291"/>
  <c r="Y161" i="291" s="1"/>
  <c r="AC161" i="291" s="1"/>
  <c r="Y162" i="285"/>
  <c r="W169" i="285"/>
  <c r="V166" i="291"/>
  <c r="Y166" i="291" s="1"/>
  <c r="AC166" i="291" s="1"/>
  <c r="W161" i="285"/>
  <c r="Y161" i="285" s="1"/>
  <c r="R52" i="285"/>
  <c r="R48" i="285"/>
  <c r="C54" i="288" s="1"/>
  <c r="R51" i="285"/>
  <c r="R57" i="285"/>
  <c r="R54" i="285"/>
  <c r="R53" i="291"/>
  <c r="R50" i="291"/>
  <c r="R165" i="291"/>
  <c r="W166" i="285"/>
  <c r="AB159" i="285"/>
  <c r="U159" i="285"/>
  <c r="AA158" i="291"/>
  <c r="AB158" i="291" s="1"/>
  <c r="AA158" i="285"/>
  <c r="Y165" i="285"/>
  <c r="AB158" i="285"/>
  <c r="W158" i="291"/>
  <c r="W158" i="285"/>
  <c r="R158" i="291"/>
  <c r="V158" i="285"/>
  <c r="R47" i="285"/>
  <c r="R158" i="285"/>
  <c r="R46" i="285"/>
  <c r="C53" i="288" s="1"/>
  <c r="Y163" i="291"/>
  <c r="AC163" i="291" s="1"/>
  <c r="R159" i="285"/>
  <c r="R47" i="291"/>
  <c r="R159" i="291"/>
  <c r="R46" i="291"/>
  <c r="Y169" i="291"/>
  <c r="Y170" i="291"/>
  <c r="R167" i="291"/>
  <c r="R163" i="291"/>
  <c r="Y168" i="285"/>
  <c r="AC168" i="285" s="1"/>
  <c r="AC171" i="285"/>
  <c r="AD171" i="285"/>
  <c r="Q103" i="289"/>
  <c r="L103" i="289"/>
  <c r="Q46" i="289"/>
  <c r="L46" i="289"/>
  <c r="H46" i="289"/>
  <c r="Y159" i="285" l="1"/>
  <c r="AD159" i="285" s="1"/>
  <c r="Y169" i="285"/>
  <c r="AD169" i="285" s="1"/>
  <c r="AD162" i="285"/>
  <c r="AD168" i="291"/>
  <c r="C53" i="290"/>
  <c r="Y159" i="291"/>
  <c r="AC169" i="291"/>
  <c r="AD165" i="285"/>
  <c r="AC170" i="291"/>
  <c r="E53" i="290"/>
  <c r="O53" i="290" s="1"/>
  <c r="AC160" i="285"/>
  <c r="E53" i="288"/>
  <c r="AC160" i="291"/>
  <c r="AD160" i="285"/>
  <c r="Y158" i="291"/>
  <c r="Y167" i="285"/>
  <c r="Y164" i="291"/>
  <c r="AC162" i="285"/>
  <c r="AD160" i="291"/>
  <c r="Y166" i="285"/>
  <c r="AD166" i="285" s="1"/>
  <c r="AC164" i="285"/>
  <c r="AD164" i="285"/>
  <c r="AC161" i="285"/>
  <c r="AD161" i="285"/>
  <c r="AC159" i="285"/>
  <c r="AD165" i="291"/>
  <c r="AC170" i="285"/>
  <c r="AD163" i="285"/>
  <c r="AD162" i="291"/>
  <c r="AC159" i="291"/>
  <c r="AC165" i="291"/>
  <c r="AC165" i="285"/>
  <c r="AD161" i="291"/>
  <c r="Y158" i="285"/>
  <c r="AC158" i="285" s="1"/>
  <c r="AD163" i="291"/>
  <c r="AD159" i="291"/>
  <c r="AD170" i="285"/>
  <c r="AD168" i="285"/>
  <c r="AD170" i="291"/>
  <c r="AD167" i="291"/>
  <c r="AD166" i="291"/>
  <c r="Q102" i="289"/>
  <c r="L102" i="289"/>
  <c r="Q45" i="289"/>
  <c r="L45" i="289"/>
  <c r="H45" i="289"/>
  <c r="AC169" i="285" l="1"/>
  <c r="O53" i="288"/>
  <c r="AD158" i="285"/>
  <c r="AC158" i="291"/>
  <c r="AD158" i="291"/>
  <c r="AC166" i="285"/>
  <c r="AC167" i="285"/>
  <c r="AD167" i="285"/>
  <c r="AC164" i="291"/>
  <c r="AD164" i="291"/>
  <c r="Q101" i="289"/>
  <c r="L101" i="289"/>
  <c r="Q44" i="289"/>
  <c r="L44" i="289"/>
  <c r="H44" i="289"/>
  <c r="L100" i="289" l="1"/>
  <c r="Q100" i="289"/>
  <c r="Q43" i="289"/>
  <c r="L43" i="289"/>
  <c r="H43" i="289"/>
  <c r="Q99" i="289" l="1"/>
  <c r="L99" i="289"/>
  <c r="Q42" i="289"/>
  <c r="L42" i="289"/>
  <c r="H42" i="289"/>
  <c r="Q98" i="289" l="1"/>
  <c r="L98" i="289"/>
  <c r="Q41" i="289"/>
  <c r="L41" i="289"/>
  <c r="H41" i="289"/>
  <c r="L97" i="289" l="1"/>
  <c r="Q97" i="289" l="1"/>
  <c r="Q40" i="289"/>
  <c r="L40" i="289"/>
  <c r="H40" i="289"/>
  <c r="Q96" i="289" l="1"/>
  <c r="L96" i="289"/>
  <c r="Q39" i="289"/>
  <c r="L39" i="289"/>
  <c r="H39" i="289"/>
  <c r="Q38" i="289" l="1"/>
  <c r="L38" i="289"/>
  <c r="H38" i="289"/>
  <c r="P153" i="289" l="1"/>
  <c r="P34" i="285" s="1"/>
  <c r="O153" i="289"/>
  <c r="N153" i="289"/>
  <c r="M153" i="289"/>
  <c r="K153" i="289"/>
  <c r="J153" i="289"/>
  <c r="I153" i="289"/>
  <c r="H153" i="289"/>
  <c r="G153" i="289"/>
  <c r="F153" i="289"/>
  <c r="E153" i="289"/>
  <c r="D153" i="289"/>
  <c r="C153" i="289"/>
  <c r="P152" i="289"/>
  <c r="O152" i="289"/>
  <c r="N152" i="289"/>
  <c r="M152" i="289"/>
  <c r="K152" i="289"/>
  <c r="J152" i="289"/>
  <c r="I152" i="289"/>
  <c r="G152" i="289"/>
  <c r="F152" i="289"/>
  <c r="E152" i="289"/>
  <c r="D152" i="289"/>
  <c r="C152" i="289"/>
  <c r="B152" i="289"/>
  <c r="Q153" i="289"/>
  <c r="L153" i="289"/>
  <c r="Q36" i="289"/>
  <c r="L36" i="289"/>
  <c r="H36" i="289"/>
  <c r="H152" i="289" s="1"/>
  <c r="R36" i="289" l="1"/>
  <c r="L34" i="285"/>
  <c r="L34" i="291"/>
  <c r="B34" i="291"/>
  <c r="C34" i="291"/>
  <c r="E34" i="291"/>
  <c r="G34" i="291"/>
  <c r="I34" i="291"/>
  <c r="K34" i="291"/>
  <c r="C34" i="285"/>
  <c r="E34" i="285"/>
  <c r="G34" i="285"/>
  <c r="I34" i="285"/>
  <c r="K34" i="285"/>
  <c r="D34" i="291"/>
  <c r="F34" i="291"/>
  <c r="H34" i="291"/>
  <c r="J34" i="291"/>
  <c r="P34" i="291"/>
  <c r="B34" i="285"/>
  <c r="D34" i="285"/>
  <c r="F34" i="285"/>
  <c r="H34" i="285"/>
  <c r="J34" i="285"/>
  <c r="M34" i="285"/>
  <c r="O34" i="285"/>
  <c r="S153" i="289"/>
  <c r="O34" i="291"/>
  <c r="N34" i="285"/>
  <c r="N34" i="291"/>
  <c r="M34" i="291"/>
  <c r="R153" i="289"/>
  <c r="A148" i="291"/>
  <c r="A149" i="291"/>
  <c r="A150" i="291"/>
  <c r="A151" i="291"/>
  <c r="A152" i="291"/>
  <c r="A153" i="291"/>
  <c r="A154" i="291"/>
  <c r="A155" i="291"/>
  <c r="A156" i="291"/>
  <c r="A157" i="291"/>
  <c r="A147" i="291"/>
  <c r="A146" i="291"/>
  <c r="A146" i="285"/>
  <c r="A157" i="285"/>
  <c r="A156" i="285"/>
  <c r="A155" i="285"/>
  <c r="A154" i="285"/>
  <c r="A153" i="285"/>
  <c r="A152" i="285"/>
  <c r="A151" i="285"/>
  <c r="A150" i="285"/>
  <c r="A149" i="285"/>
  <c r="A148" i="285"/>
  <c r="Q164" i="289"/>
  <c r="P164" i="289"/>
  <c r="O164" i="289"/>
  <c r="N164" i="289"/>
  <c r="M164" i="289"/>
  <c r="L164" i="289"/>
  <c r="K164" i="289"/>
  <c r="J164" i="289"/>
  <c r="I164" i="289"/>
  <c r="H164" i="289"/>
  <c r="G164" i="289"/>
  <c r="F164" i="289"/>
  <c r="E164" i="289"/>
  <c r="D164" i="289"/>
  <c r="C164" i="289"/>
  <c r="B164" i="289"/>
  <c r="Q163" i="289"/>
  <c r="P163" i="289"/>
  <c r="O163" i="289"/>
  <c r="N163" i="289"/>
  <c r="M163" i="289"/>
  <c r="L163" i="289"/>
  <c r="K163" i="289"/>
  <c r="J163" i="289"/>
  <c r="I163" i="289"/>
  <c r="H163" i="289"/>
  <c r="G163" i="289"/>
  <c r="F163" i="289"/>
  <c r="E163" i="289"/>
  <c r="D163" i="289"/>
  <c r="C163" i="289"/>
  <c r="B163" i="289"/>
  <c r="Q162" i="289"/>
  <c r="P162" i="289"/>
  <c r="O162" i="289"/>
  <c r="N162" i="289"/>
  <c r="M162" i="289"/>
  <c r="L162" i="289"/>
  <c r="K162" i="289"/>
  <c r="J162" i="289"/>
  <c r="I162" i="289"/>
  <c r="H162" i="289"/>
  <c r="G162" i="289"/>
  <c r="F162" i="289"/>
  <c r="E162" i="289"/>
  <c r="D162" i="289"/>
  <c r="C162" i="289"/>
  <c r="B162" i="289"/>
  <c r="Q161" i="289"/>
  <c r="P161" i="289"/>
  <c r="O161" i="289"/>
  <c r="N161" i="289"/>
  <c r="M161" i="289"/>
  <c r="L161" i="289"/>
  <c r="K161" i="289"/>
  <c r="J161" i="289"/>
  <c r="I161" i="289"/>
  <c r="H161" i="289"/>
  <c r="G161" i="289"/>
  <c r="F161" i="289"/>
  <c r="E161" i="289"/>
  <c r="D161" i="289"/>
  <c r="C161" i="289"/>
  <c r="B161" i="289"/>
  <c r="Q160" i="289"/>
  <c r="P160" i="289"/>
  <c r="O160" i="289"/>
  <c r="N160" i="289"/>
  <c r="M160" i="289"/>
  <c r="L160" i="289"/>
  <c r="K160" i="289"/>
  <c r="J160" i="289"/>
  <c r="I160" i="289"/>
  <c r="H160" i="289"/>
  <c r="G160" i="289"/>
  <c r="F160" i="289"/>
  <c r="E160" i="289"/>
  <c r="D160" i="289"/>
  <c r="C160" i="289"/>
  <c r="B160" i="289"/>
  <c r="Q159" i="289"/>
  <c r="P159" i="289"/>
  <c r="O159" i="289"/>
  <c r="N159" i="289"/>
  <c r="M159" i="289"/>
  <c r="L159" i="289"/>
  <c r="K159" i="289"/>
  <c r="J159" i="289"/>
  <c r="I159" i="289"/>
  <c r="H159" i="289"/>
  <c r="G159" i="289"/>
  <c r="F159" i="289"/>
  <c r="E159" i="289"/>
  <c r="D159" i="289"/>
  <c r="C159" i="289"/>
  <c r="B159" i="289"/>
  <c r="Q158" i="289"/>
  <c r="P158" i="289"/>
  <c r="O158" i="289"/>
  <c r="N158" i="289"/>
  <c r="M158" i="289"/>
  <c r="L158" i="289"/>
  <c r="K158" i="289"/>
  <c r="J158" i="289"/>
  <c r="I158" i="289"/>
  <c r="H158" i="289"/>
  <c r="G158" i="289"/>
  <c r="F158" i="289"/>
  <c r="E158" i="289"/>
  <c r="D158" i="289"/>
  <c r="C158" i="289"/>
  <c r="B158" i="289"/>
  <c r="Q157" i="289"/>
  <c r="P157" i="289"/>
  <c r="O157" i="289"/>
  <c r="N157" i="289"/>
  <c r="M157" i="289"/>
  <c r="L157" i="289"/>
  <c r="K157" i="289"/>
  <c r="J157" i="289"/>
  <c r="I157" i="289"/>
  <c r="H157" i="289"/>
  <c r="G157" i="289"/>
  <c r="F157" i="289"/>
  <c r="E157" i="289"/>
  <c r="D157" i="289"/>
  <c r="C157" i="289"/>
  <c r="B157" i="289"/>
  <c r="Q156" i="289"/>
  <c r="P156" i="289"/>
  <c r="O156" i="289"/>
  <c r="N156" i="289"/>
  <c r="M156" i="289"/>
  <c r="L156" i="289"/>
  <c r="K156" i="289"/>
  <c r="J156" i="289"/>
  <c r="I156" i="289"/>
  <c r="H156" i="289"/>
  <c r="G156" i="289"/>
  <c r="F156" i="289"/>
  <c r="E156" i="289"/>
  <c r="D156" i="289"/>
  <c r="C156" i="289"/>
  <c r="B156" i="289"/>
  <c r="Q155" i="289"/>
  <c r="P155" i="289"/>
  <c r="O155" i="289"/>
  <c r="N155" i="289"/>
  <c r="M155" i="289"/>
  <c r="L155" i="289"/>
  <c r="K155" i="289"/>
  <c r="J155" i="289"/>
  <c r="I155" i="289"/>
  <c r="H155" i="289"/>
  <c r="G155" i="289"/>
  <c r="F155" i="289"/>
  <c r="E155" i="289"/>
  <c r="D155" i="289"/>
  <c r="C155" i="289"/>
  <c r="B155" i="289"/>
  <c r="R105" i="289"/>
  <c r="R104" i="289"/>
  <c r="R103" i="289"/>
  <c r="R102" i="289"/>
  <c r="R101" i="289"/>
  <c r="R100" i="289"/>
  <c r="R99" i="289"/>
  <c r="R98" i="289"/>
  <c r="R97" i="289"/>
  <c r="R96" i="289"/>
  <c r="R48" i="289"/>
  <c r="R47" i="289"/>
  <c r="R46" i="289"/>
  <c r="R45" i="289"/>
  <c r="R44" i="289"/>
  <c r="R43" i="289"/>
  <c r="R42" i="289"/>
  <c r="R41" i="289"/>
  <c r="R40" i="289"/>
  <c r="R39" i="289"/>
  <c r="R38" i="289"/>
  <c r="C36" i="291" l="1"/>
  <c r="C148" i="291" s="1"/>
  <c r="C36" i="285"/>
  <c r="C148" i="285" s="1"/>
  <c r="E36" i="291"/>
  <c r="E148" i="291" s="1"/>
  <c r="E36" i="285"/>
  <c r="E148" i="285" s="1"/>
  <c r="G36" i="291"/>
  <c r="G148" i="291" s="1"/>
  <c r="G36" i="285"/>
  <c r="G148" i="285" s="1"/>
  <c r="I36" i="291"/>
  <c r="I36" i="285"/>
  <c r="I148" i="285" s="1"/>
  <c r="K36" i="291"/>
  <c r="K36" i="285"/>
  <c r="K148" i="285" s="1"/>
  <c r="X148" i="285" s="1"/>
  <c r="M36" i="291"/>
  <c r="M148" i="291" s="1"/>
  <c r="M36" i="285"/>
  <c r="M148" i="285" s="1"/>
  <c r="O36" i="291"/>
  <c r="O148" i="291" s="1"/>
  <c r="O36" i="285"/>
  <c r="O148" i="285" s="1"/>
  <c r="C37" i="291"/>
  <c r="C37" i="285"/>
  <c r="E37" i="291"/>
  <c r="E149" i="291" s="1"/>
  <c r="E37" i="285"/>
  <c r="E149" i="285" s="1"/>
  <c r="G37" i="291"/>
  <c r="G149" i="291" s="1"/>
  <c r="G37" i="285"/>
  <c r="G149" i="285" s="1"/>
  <c r="I37" i="291"/>
  <c r="I149" i="291" s="1"/>
  <c r="I37" i="285"/>
  <c r="I149" i="285" s="1"/>
  <c r="K37" i="291"/>
  <c r="K37" i="285"/>
  <c r="K149" i="285" s="1"/>
  <c r="X149" i="285" s="1"/>
  <c r="M37" i="291"/>
  <c r="M149" i="291" s="1"/>
  <c r="M37" i="285"/>
  <c r="M149" i="285" s="1"/>
  <c r="O37" i="291"/>
  <c r="O149" i="291" s="1"/>
  <c r="O37" i="285"/>
  <c r="O149" i="285" s="1"/>
  <c r="C38" i="291"/>
  <c r="C38" i="285"/>
  <c r="C150" i="285" s="1"/>
  <c r="E38" i="291"/>
  <c r="E38" i="285"/>
  <c r="E150" i="285" s="1"/>
  <c r="G38" i="291"/>
  <c r="G150" i="291" s="1"/>
  <c r="G38" i="285"/>
  <c r="G150" i="285" s="1"/>
  <c r="I38" i="291"/>
  <c r="I150" i="291" s="1"/>
  <c r="I38" i="285"/>
  <c r="I150" i="285" s="1"/>
  <c r="K38" i="291"/>
  <c r="K38" i="285"/>
  <c r="K150" i="285" s="1"/>
  <c r="X150" i="285" s="1"/>
  <c r="M38" i="291"/>
  <c r="M150" i="291" s="1"/>
  <c r="M38" i="285"/>
  <c r="M150" i="285" s="1"/>
  <c r="O38" i="291"/>
  <c r="O150" i="291" s="1"/>
  <c r="O38" i="285"/>
  <c r="O150" i="285" s="1"/>
  <c r="C39" i="291"/>
  <c r="C151" i="291" s="1"/>
  <c r="C39" i="285"/>
  <c r="C151" i="285" s="1"/>
  <c r="E39" i="291"/>
  <c r="E151" i="291" s="1"/>
  <c r="E39" i="285"/>
  <c r="E151" i="285" s="1"/>
  <c r="G39" i="291"/>
  <c r="G151" i="291" s="1"/>
  <c r="G39" i="285"/>
  <c r="G151" i="285" s="1"/>
  <c r="I39" i="291"/>
  <c r="I151" i="291" s="1"/>
  <c r="I39" i="285"/>
  <c r="I151" i="285" s="1"/>
  <c r="K39" i="291"/>
  <c r="K151" i="291" s="1"/>
  <c r="X151" i="291" s="1"/>
  <c r="K39" i="285"/>
  <c r="K151" i="285" s="1"/>
  <c r="X151" i="285" s="1"/>
  <c r="M39" i="291"/>
  <c r="M151" i="291" s="1"/>
  <c r="M39" i="285"/>
  <c r="M151" i="285" s="1"/>
  <c r="O39" i="291"/>
  <c r="O151" i="291" s="1"/>
  <c r="O39" i="285"/>
  <c r="O151" i="285" s="1"/>
  <c r="C40" i="291"/>
  <c r="C152" i="291" s="1"/>
  <c r="C40" i="285"/>
  <c r="C152" i="285" s="1"/>
  <c r="E40" i="291"/>
  <c r="E152" i="291" s="1"/>
  <c r="E40" i="285"/>
  <c r="E152" i="285" s="1"/>
  <c r="G40" i="291"/>
  <c r="G152" i="291" s="1"/>
  <c r="G40" i="285"/>
  <c r="G152" i="285" s="1"/>
  <c r="I40" i="291"/>
  <c r="I152" i="291" s="1"/>
  <c r="I40" i="285"/>
  <c r="I152" i="285" s="1"/>
  <c r="K40" i="291"/>
  <c r="K40" i="285"/>
  <c r="K152" i="285" s="1"/>
  <c r="X152" i="285" s="1"/>
  <c r="M40" i="291"/>
  <c r="M152" i="291" s="1"/>
  <c r="M40" i="285"/>
  <c r="M152" i="285" s="1"/>
  <c r="O40" i="291"/>
  <c r="O152" i="291" s="1"/>
  <c r="O40" i="285"/>
  <c r="O152" i="285" s="1"/>
  <c r="C41" i="291"/>
  <c r="C153" i="291" s="1"/>
  <c r="C41" i="285"/>
  <c r="C153" i="285" s="1"/>
  <c r="E41" i="291"/>
  <c r="E153" i="291" s="1"/>
  <c r="E41" i="285"/>
  <c r="E153" i="285" s="1"/>
  <c r="G41" i="291"/>
  <c r="G153" i="291" s="1"/>
  <c r="G41" i="285"/>
  <c r="G153" i="285" s="1"/>
  <c r="I41" i="291"/>
  <c r="I153" i="291" s="1"/>
  <c r="I41" i="285"/>
  <c r="I153" i="285" s="1"/>
  <c r="K41" i="291"/>
  <c r="K153" i="291" s="1"/>
  <c r="X153" i="291" s="1"/>
  <c r="K41" i="285"/>
  <c r="K153" i="285" s="1"/>
  <c r="X153" i="285" s="1"/>
  <c r="M41" i="291"/>
  <c r="M153" i="291" s="1"/>
  <c r="M41" i="285"/>
  <c r="M153" i="285" s="1"/>
  <c r="O41" i="291"/>
  <c r="O153" i="291" s="1"/>
  <c r="O41" i="285"/>
  <c r="O153" i="285" s="1"/>
  <c r="C42" i="291"/>
  <c r="C154" i="291" s="1"/>
  <c r="C42" i="285"/>
  <c r="C154" i="285" s="1"/>
  <c r="E42" i="291"/>
  <c r="E154" i="291" s="1"/>
  <c r="E42" i="285"/>
  <c r="E154" i="285" s="1"/>
  <c r="G42" i="291"/>
  <c r="G154" i="291" s="1"/>
  <c r="G42" i="285"/>
  <c r="G154" i="285" s="1"/>
  <c r="I42" i="291"/>
  <c r="I154" i="291" s="1"/>
  <c r="I42" i="285"/>
  <c r="I154" i="285" s="1"/>
  <c r="K42" i="291"/>
  <c r="K154" i="291" s="1"/>
  <c r="X154" i="291" s="1"/>
  <c r="K42" i="285"/>
  <c r="K154" i="285" s="1"/>
  <c r="X154" i="285" s="1"/>
  <c r="M42" i="291"/>
  <c r="M154" i="291" s="1"/>
  <c r="M42" i="285"/>
  <c r="M154" i="285" s="1"/>
  <c r="O42" i="291"/>
  <c r="O154" i="291" s="1"/>
  <c r="O42" i="285"/>
  <c r="O154" i="285" s="1"/>
  <c r="C43" i="291"/>
  <c r="C155" i="291" s="1"/>
  <c r="C43" i="285"/>
  <c r="C155" i="285" s="1"/>
  <c r="E43" i="291"/>
  <c r="E155" i="291" s="1"/>
  <c r="E43" i="285"/>
  <c r="E155" i="285" s="1"/>
  <c r="G43" i="291"/>
  <c r="G155" i="291" s="1"/>
  <c r="G43" i="285"/>
  <c r="G155" i="285" s="1"/>
  <c r="I43" i="291"/>
  <c r="I155" i="291" s="1"/>
  <c r="I43" i="285"/>
  <c r="I155" i="285" s="1"/>
  <c r="K43" i="291"/>
  <c r="K155" i="291" s="1"/>
  <c r="X155" i="291" s="1"/>
  <c r="K43" i="285"/>
  <c r="K155" i="285" s="1"/>
  <c r="X155" i="285" s="1"/>
  <c r="M43" i="291"/>
  <c r="M155" i="291" s="1"/>
  <c r="M43" i="285"/>
  <c r="M155" i="285" s="1"/>
  <c r="O43" i="291"/>
  <c r="O155" i="291" s="1"/>
  <c r="O43" i="285"/>
  <c r="O155" i="285" s="1"/>
  <c r="C44" i="291"/>
  <c r="C156" i="291" s="1"/>
  <c r="C44" i="285"/>
  <c r="C156" i="285" s="1"/>
  <c r="E44" i="291"/>
  <c r="E156" i="291" s="1"/>
  <c r="E44" i="285"/>
  <c r="E156" i="285" s="1"/>
  <c r="G44" i="291"/>
  <c r="G156" i="291" s="1"/>
  <c r="G44" i="285"/>
  <c r="G156" i="285" s="1"/>
  <c r="I44" i="291"/>
  <c r="I156" i="291" s="1"/>
  <c r="I44" i="285"/>
  <c r="I156" i="285" s="1"/>
  <c r="K44" i="291"/>
  <c r="K44" i="285"/>
  <c r="K156" i="285" s="1"/>
  <c r="X156" i="285" s="1"/>
  <c r="M44" i="291"/>
  <c r="M156" i="291" s="1"/>
  <c r="M44" i="285"/>
  <c r="M156" i="285" s="1"/>
  <c r="O44" i="291"/>
  <c r="O156" i="291" s="1"/>
  <c r="O44" i="285"/>
  <c r="O156" i="285" s="1"/>
  <c r="C45" i="291"/>
  <c r="C157" i="291" s="1"/>
  <c r="C45" i="285"/>
  <c r="C157" i="285" s="1"/>
  <c r="E45" i="291"/>
  <c r="E157" i="291" s="1"/>
  <c r="E45" i="285"/>
  <c r="E157" i="285" s="1"/>
  <c r="G45" i="291"/>
  <c r="G157" i="291" s="1"/>
  <c r="G45" i="285"/>
  <c r="G157" i="285" s="1"/>
  <c r="I45" i="291"/>
  <c r="I157" i="291" s="1"/>
  <c r="I45" i="285"/>
  <c r="I157" i="285" s="1"/>
  <c r="K45" i="291"/>
  <c r="K157" i="291" s="1"/>
  <c r="X157" i="291" s="1"/>
  <c r="K45" i="285"/>
  <c r="K157" i="285" s="1"/>
  <c r="X157" i="285" s="1"/>
  <c r="M45" i="291"/>
  <c r="M157" i="291" s="1"/>
  <c r="M45" i="285"/>
  <c r="M157" i="285" s="1"/>
  <c r="O45" i="291"/>
  <c r="O157" i="291" s="1"/>
  <c r="O45" i="285"/>
  <c r="O157" i="285" s="1"/>
  <c r="B36" i="291"/>
  <c r="B36" i="285"/>
  <c r="B148" i="285" s="1"/>
  <c r="T148" i="285" s="1"/>
  <c r="D36" i="291"/>
  <c r="D148" i="291" s="1"/>
  <c r="D36" i="285"/>
  <c r="D148" i="285" s="1"/>
  <c r="F36" i="291"/>
  <c r="F36" i="285"/>
  <c r="F148" i="285" s="1"/>
  <c r="H36" i="291"/>
  <c r="H148" i="291" s="1"/>
  <c r="H36" i="285"/>
  <c r="H148" i="285" s="1"/>
  <c r="J36" i="291"/>
  <c r="J148" i="291" s="1"/>
  <c r="J36" i="285"/>
  <c r="J148" i="285" s="1"/>
  <c r="L36" i="291"/>
  <c r="L148" i="291" s="1"/>
  <c r="Z148" i="291" s="1"/>
  <c r="L36" i="285"/>
  <c r="L148" i="285" s="1"/>
  <c r="Z148" i="285" s="1"/>
  <c r="N36" i="291"/>
  <c r="N148" i="291" s="1"/>
  <c r="N36" i="285"/>
  <c r="N148" i="285" s="1"/>
  <c r="P36" i="291"/>
  <c r="P148" i="291" s="1"/>
  <c r="P36" i="285"/>
  <c r="P148" i="285" s="1"/>
  <c r="B37" i="291"/>
  <c r="B37" i="285"/>
  <c r="B149" i="285" s="1"/>
  <c r="T149" i="285" s="1"/>
  <c r="D37" i="291"/>
  <c r="D149" i="291" s="1"/>
  <c r="D37" i="285"/>
  <c r="D149" i="285" s="1"/>
  <c r="F37" i="291"/>
  <c r="F37" i="285"/>
  <c r="F149" i="285" s="1"/>
  <c r="H37" i="291"/>
  <c r="H149" i="291" s="1"/>
  <c r="H37" i="285"/>
  <c r="H149" i="285" s="1"/>
  <c r="J37" i="291"/>
  <c r="J149" i="291" s="1"/>
  <c r="J37" i="285"/>
  <c r="J149" i="285" s="1"/>
  <c r="L37" i="291"/>
  <c r="L37" i="285"/>
  <c r="L149" i="285" s="1"/>
  <c r="Z149" i="285" s="1"/>
  <c r="N37" i="291"/>
  <c r="N149" i="291" s="1"/>
  <c r="N37" i="285"/>
  <c r="N149" i="285" s="1"/>
  <c r="P37" i="291"/>
  <c r="P149" i="291" s="1"/>
  <c r="P37" i="285"/>
  <c r="P149" i="285" s="1"/>
  <c r="B38" i="291"/>
  <c r="B150" i="291" s="1"/>
  <c r="T150" i="291" s="1"/>
  <c r="B38" i="285"/>
  <c r="B150" i="285" s="1"/>
  <c r="T150" i="285" s="1"/>
  <c r="D38" i="291"/>
  <c r="D150" i="291" s="1"/>
  <c r="D38" i="285"/>
  <c r="D150" i="285" s="1"/>
  <c r="F38" i="291"/>
  <c r="F150" i="291" s="1"/>
  <c r="F38" i="285"/>
  <c r="F150" i="285" s="1"/>
  <c r="H38" i="291"/>
  <c r="H150" i="291" s="1"/>
  <c r="H38" i="285"/>
  <c r="H150" i="285" s="1"/>
  <c r="J38" i="291"/>
  <c r="J150" i="291" s="1"/>
  <c r="J38" i="285"/>
  <c r="J150" i="285" s="1"/>
  <c r="L38" i="291"/>
  <c r="L150" i="291" s="1"/>
  <c r="Z150" i="291" s="1"/>
  <c r="L38" i="285"/>
  <c r="L150" i="285" s="1"/>
  <c r="Z150" i="285" s="1"/>
  <c r="N38" i="291"/>
  <c r="N150" i="291" s="1"/>
  <c r="N38" i="285"/>
  <c r="N150" i="285" s="1"/>
  <c r="P38" i="291"/>
  <c r="P150" i="291" s="1"/>
  <c r="P38" i="285"/>
  <c r="P150" i="285" s="1"/>
  <c r="B39" i="291"/>
  <c r="B39" i="285"/>
  <c r="B151" i="285" s="1"/>
  <c r="T151" i="285" s="1"/>
  <c r="D39" i="291"/>
  <c r="D151" i="291" s="1"/>
  <c r="D39" i="285"/>
  <c r="D151" i="285" s="1"/>
  <c r="F39" i="291"/>
  <c r="F151" i="291" s="1"/>
  <c r="F39" i="285"/>
  <c r="F151" i="285" s="1"/>
  <c r="H39" i="291"/>
  <c r="H151" i="291" s="1"/>
  <c r="H39" i="285"/>
  <c r="H151" i="285" s="1"/>
  <c r="J39" i="291"/>
  <c r="J151" i="291" s="1"/>
  <c r="J39" i="285"/>
  <c r="J151" i="285" s="1"/>
  <c r="L39" i="291"/>
  <c r="L151" i="291" s="1"/>
  <c r="Z151" i="291" s="1"/>
  <c r="L39" i="285"/>
  <c r="L151" i="285" s="1"/>
  <c r="Z151" i="285" s="1"/>
  <c r="N39" i="291"/>
  <c r="N151" i="291" s="1"/>
  <c r="N39" i="285"/>
  <c r="N151" i="285" s="1"/>
  <c r="P39" i="291"/>
  <c r="P151" i="291" s="1"/>
  <c r="P39" i="285"/>
  <c r="P151" i="285" s="1"/>
  <c r="B40" i="291"/>
  <c r="B152" i="291" s="1"/>
  <c r="B40" i="285"/>
  <c r="B152" i="285" s="1"/>
  <c r="T152" i="285" s="1"/>
  <c r="D40" i="291"/>
  <c r="D152" i="291" s="1"/>
  <c r="D40" i="285"/>
  <c r="D152" i="285" s="1"/>
  <c r="F40" i="291"/>
  <c r="F152" i="291" s="1"/>
  <c r="F40" i="285"/>
  <c r="F152" i="285" s="1"/>
  <c r="H40" i="291"/>
  <c r="H152" i="291" s="1"/>
  <c r="H40" i="285"/>
  <c r="H152" i="285" s="1"/>
  <c r="J40" i="291"/>
  <c r="J152" i="291" s="1"/>
  <c r="J40" i="285"/>
  <c r="J152" i="285" s="1"/>
  <c r="L40" i="291"/>
  <c r="L152" i="291" s="1"/>
  <c r="Z152" i="291" s="1"/>
  <c r="L40" i="285"/>
  <c r="L152" i="285" s="1"/>
  <c r="Z152" i="285" s="1"/>
  <c r="N40" i="291"/>
  <c r="N152" i="291" s="1"/>
  <c r="N40" i="285"/>
  <c r="N152" i="285" s="1"/>
  <c r="P40" i="291"/>
  <c r="P152" i="291" s="1"/>
  <c r="P40" i="285"/>
  <c r="P152" i="285" s="1"/>
  <c r="B41" i="291"/>
  <c r="B41" i="285"/>
  <c r="B153" i="285" s="1"/>
  <c r="T153" i="285" s="1"/>
  <c r="D41" i="291"/>
  <c r="D153" i="291" s="1"/>
  <c r="D41" i="285"/>
  <c r="D153" i="285" s="1"/>
  <c r="F41" i="291"/>
  <c r="F153" i="291" s="1"/>
  <c r="F41" i="285"/>
  <c r="F153" i="285" s="1"/>
  <c r="H41" i="291"/>
  <c r="H153" i="291" s="1"/>
  <c r="H41" i="285"/>
  <c r="H153" i="285" s="1"/>
  <c r="J41" i="291"/>
  <c r="J153" i="291" s="1"/>
  <c r="J41" i="285"/>
  <c r="J153" i="285" s="1"/>
  <c r="L41" i="291"/>
  <c r="L41" i="285"/>
  <c r="L153" i="285" s="1"/>
  <c r="Z153" i="285" s="1"/>
  <c r="N41" i="291"/>
  <c r="N153" i="291" s="1"/>
  <c r="N41" i="285"/>
  <c r="N153" i="285" s="1"/>
  <c r="P41" i="291"/>
  <c r="P153" i="291" s="1"/>
  <c r="P41" i="285"/>
  <c r="P153" i="285" s="1"/>
  <c r="B42" i="291"/>
  <c r="B154" i="291" s="1"/>
  <c r="T154" i="291" s="1"/>
  <c r="B42" i="285"/>
  <c r="B154" i="285" s="1"/>
  <c r="T154" i="285" s="1"/>
  <c r="D42" i="291"/>
  <c r="D154" i="291" s="1"/>
  <c r="D42" i="285"/>
  <c r="D154" i="285" s="1"/>
  <c r="F42" i="291"/>
  <c r="F154" i="291" s="1"/>
  <c r="F42" i="285"/>
  <c r="F154" i="285" s="1"/>
  <c r="H42" i="291"/>
  <c r="H154" i="291" s="1"/>
  <c r="H42" i="285"/>
  <c r="H154" i="285" s="1"/>
  <c r="J42" i="291"/>
  <c r="J154" i="291" s="1"/>
  <c r="J42" i="285"/>
  <c r="J154" i="285" s="1"/>
  <c r="L42" i="291"/>
  <c r="L154" i="291" s="1"/>
  <c r="Z154" i="291" s="1"/>
  <c r="L42" i="285"/>
  <c r="L154" i="285" s="1"/>
  <c r="Z154" i="285" s="1"/>
  <c r="N42" i="291"/>
  <c r="N154" i="291" s="1"/>
  <c r="N42" i="285"/>
  <c r="N154" i="285" s="1"/>
  <c r="P42" i="291"/>
  <c r="P154" i="291" s="1"/>
  <c r="P42" i="285"/>
  <c r="P154" i="285" s="1"/>
  <c r="B43" i="291"/>
  <c r="B43" i="285"/>
  <c r="B155" i="285" s="1"/>
  <c r="T155" i="285" s="1"/>
  <c r="D43" i="291"/>
  <c r="D155" i="291" s="1"/>
  <c r="D43" i="285"/>
  <c r="D155" i="285" s="1"/>
  <c r="F43" i="291"/>
  <c r="F155" i="291" s="1"/>
  <c r="F43" i="285"/>
  <c r="F155" i="285" s="1"/>
  <c r="H43" i="291"/>
  <c r="H155" i="291" s="1"/>
  <c r="H43" i="285"/>
  <c r="H155" i="285" s="1"/>
  <c r="J43" i="291"/>
  <c r="J155" i="291" s="1"/>
  <c r="J43" i="285"/>
  <c r="J155" i="285" s="1"/>
  <c r="L43" i="291"/>
  <c r="L43" i="285"/>
  <c r="L155" i="285" s="1"/>
  <c r="Z155" i="285" s="1"/>
  <c r="N43" i="291"/>
  <c r="N155" i="291" s="1"/>
  <c r="N43" i="285"/>
  <c r="N155" i="285" s="1"/>
  <c r="P43" i="291"/>
  <c r="P155" i="291" s="1"/>
  <c r="P43" i="285"/>
  <c r="P155" i="285" s="1"/>
  <c r="B44" i="291"/>
  <c r="B156" i="291" s="1"/>
  <c r="B44" i="285"/>
  <c r="B156" i="285" s="1"/>
  <c r="T156" i="285" s="1"/>
  <c r="D44" i="291"/>
  <c r="D156" i="291" s="1"/>
  <c r="D44" i="285"/>
  <c r="D156" i="285" s="1"/>
  <c r="F44" i="291"/>
  <c r="F156" i="291" s="1"/>
  <c r="F44" i="285"/>
  <c r="F156" i="285" s="1"/>
  <c r="H44" i="291"/>
  <c r="H156" i="291" s="1"/>
  <c r="H44" i="285"/>
  <c r="H156" i="285" s="1"/>
  <c r="J44" i="291"/>
  <c r="J156" i="291" s="1"/>
  <c r="J44" i="285"/>
  <c r="J156" i="285" s="1"/>
  <c r="L44" i="291"/>
  <c r="L156" i="291" s="1"/>
  <c r="Z156" i="291" s="1"/>
  <c r="L44" i="285"/>
  <c r="L156" i="285" s="1"/>
  <c r="Z156" i="285" s="1"/>
  <c r="N44" i="291"/>
  <c r="N156" i="291" s="1"/>
  <c r="N44" i="285"/>
  <c r="N156" i="285" s="1"/>
  <c r="P44" i="291"/>
  <c r="P156" i="291" s="1"/>
  <c r="P44" i="285"/>
  <c r="P156" i="285" s="1"/>
  <c r="B45" i="291"/>
  <c r="B157" i="291" s="1"/>
  <c r="T157" i="291" s="1"/>
  <c r="B45" i="285"/>
  <c r="B157" i="285" s="1"/>
  <c r="T157" i="285" s="1"/>
  <c r="D45" i="291"/>
  <c r="D157" i="291" s="1"/>
  <c r="D45" i="285"/>
  <c r="D157" i="285" s="1"/>
  <c r="F45" i="291"/>
  <c r="F157" i="291" s="1"/>
  <c r="F45" i="285"/>
  <c r="F157" i="285" s="1"/>
  <c r="H45" i="291"/>
  <c r="H157" i="291" s="1"/>
  <c r="H45" i="285"/>
  <c r="H157" i="285" s="1"/>
  <c r="J45" i="291"/>
  <c r="J157" i="291" s="1"/>
  <c r="J45" i="285"/>
  <c r="J157" i="285" s="1"/>
  <c r="L45" i="291"/>
  <c r="L157" i="291" s="1"/>
  <c r="Z157" i="291" s="1"/>
  <c r="L45" i="285"/>
  <c r="L157" i="285" s="1"/>
  <c r="Z157" i="285" s="1"/>
  <c r="N45" i="291"/>
  <c r="N157" i="291" s="1"/>
  <c r="N45" i="285"/>
  <c r="N157" i="285" s="1"/>
  <c r="P45" i="291"/>
  <c r="P157" i="291" s="1"/>
  <c r="P45" i="285"/>
  <c r="P157" i="285" s="1"/>
  <c r="E150" i="291"/>
  <c r="R155" i="289"/>
  <c r="S156" i="289"/>
  <c r="R157" i="289"/>
  <c r="S158" i="289"/>
  <c r="R159" i="289"/>
  <c r="S160" i="289"/>
  <c r="R161" i="289"/>
  <c r="S162" i="289"/>
  <c r="R163" i="289"/>
  <c r="S164" i="289"/>
  <c r="S155" i="289"/>
  <c r="S157" i="289"/>
  <c r="S159" i="289"/>
  <c r="S161" i="289"/>
  <c r="S163" i="289"/>
  <c r="C149" i="285"/>
  <c r="R158" i="289"/>
  <c r="R160" i="289"/>
  <c r="R162" i="289"/>
  <c r="R164" i="289"/>
  <c r="R156" i="289"/>
  <c r="L152" i="289"/>
  <c r="Q152" i="289"/>
  <c r="Q35" i="289"/>
  <c r="H35" i="289"/>
  <c r="W154" i="291" l="1"/>
  <c r="W157" i="291"/>
  <c r="U157" i="291"/>
  <c r="W153" i="285"/>
  <c r="V157" i="291"/>
  <c r="W153" i="291"/>
  <c r="R45" i="291"/>
  <c r="C52" i="290" s="1"/>
  <c r="W152" i="291"/>
  <c r="V151" i="291"/>
  <c r="U155" i="291"/>
  <c r="U151" i="291"/>
  <c r="V149" i="285"/>
  <c r="AA157" i="291"/>
  <c r="U148" i="291"/>
  <c r="U152" i="291"/>
  <c r="W151" i="291"/>
  <c r="W149" i="285"/>
  <c r="U156" i="285"/>
  <c r="U152" i="285"/>
  <c r="AA150" i="285"/>
  <c r="AB150" i="285" s="1"/>
  <c r="W156" i="291"/>
  <c r="AA156" i="285"/>
  <c r="AB156" i="285" s="1"/>
  <c r="W156" i="285"/>
  <c r="V156" i="285"/>
  <c r="W150" i="285"/>
  <c r="AA148" i="285"/>
  <c r="AB148" i="285" s="1"/>
  <c r="W148" i="285"/>
  <c r="U150" i="285"/>
  <c r="U154" i="285"/>
  <c r="AA154" i="285"/>
  <c r="AB154" i="285" s="1"/>
  <c r="V154" i="285"/>
  <c r="AA152" i="285"/>
  <c r="AB152" i="285" s="1"/>
  <c r="W152" i="285"/>
  <c r="V148" i="285"/>
  <c r="U148" i="285"/>
  <c r="AA155" i="291"/>
  <c r="AA152" i="291"/>
  <c r="AB152" i="291" s="1"/>
  <c r="W157" i="285"/>
  <c r="R36" i="285"/>
  <c r="C43" i="288" s="1"/>
  <c r="R44" i="291"/>
  <c r="C51" i="290" s="1"/>
  <c r="U153" i="285"/>
  <c r="V152" i="285"/>
  <c r="V150" i="285"/>
  <c r="W149" i="291"/>
  <c r="U157" i="285"/>
  <c r="AA157" i="285"/>
  <c r="AB157" i="285" s="1"/>
  <c r="U149" i="285"/>
  <c r="AA154" i="291"/>
  <c r="AB154" i="291" s="1"/>
  <c r="W154" i="285"/>
  <c r="U153" i="291"/>
  <c r="V153" i="291"/>
  <c r="R157" i="291"/>
  <c r="E52" i="290" s="1"/>
  <c r="O52" i="290" s="1"/>
  <c r="AA150" i="291"/>
  <c r="AB150" i="291" s="1"/>
  <c r="V155" i="291"/>
  <c r="AA153" i="285"/>
  <c r="AB153" i="285" s="1"/>
  <c r="V153" i="285"/>
  <c r="W151" i="285"/>
  <c r="AA149" i="291"/>
  <c r="U151" i="285"/>
  <c r="R43" i="285"/>
  <c r="C50" i="288" s="1"/>
  <c r="R148" i="285"/>
  <c r="E43" i="288" s="1"/>
  <c r="O43" i="288" s="1"/>
  <c r="R155" i="285"/>
  <c r="E50" i="288" s="1"/>
  <c r="O50" i="288" s="1"/>
  <c r="V157" i="285"/>
  <c r="R149" i="285"/>
  <c r="E44" i="288" s="1"/>
  <c r="O44" i="288" s="1"/>
  <c r="V151" i="285"/>
  <c r="U154" i="291"/>
  <c r="W155" i="291"/>
  <c r="R43" i="291"/>
  <c r="C50" i="290" s="1"/>
  <c r="V154" i="291"/>
  <c r="U156" i="291"/>
  <c r="R39" i="291"/>
  <c r="C46" i="290" s="1"/>
  <c r="AA153" i="291"/>
  <c r="AA151" i="291"/>
  <c r="AB151" i="291" s="1"/>
  <c r="AA156" i="291"/>
  <c r="AB156" i="291" s="1"/>
  <c r="V156" i="291"/>
  <c r="V152" i="291"/>
  <c r="W150" i="291"/>
  <c r="V150" i="291"/>
  <c r="AA148" i="291"/>
  <c r="AB148" i="291" s="1"/>
  <c r="R36" i="291"/>
  <c r="C43" i="290" s="1"/>
  <c r="R38" i="285"/>
  <c r="C45" i="288" s="1"/>
  <c r="U155" i="285"/>
  <c r="R153" i="285"/>
  <c r="E48" i="288" s="1"/>
  <c r="O48" i="288" s="1"/>
  <c r="W155" i="285"/>
  <c r="AA155" i="285"/>
  <c r="AB155" i="285" s="1"/>
  <c r="V155" i="285"/>
  <c r="AA151" i="285"/>
  <c r="AB151" i="285" s="1"/>
  <c r="C150" i="291"/>
  <c r="U150" i="291" s="1"/>
  <c r="K148" i="291"/>
  <c r="X148" i="291" s="1"/>
  <c r="R39" i="285"/>
  <c r="C46" i="288" s="1"/>
  <c r="R45" i="285"/>
  <c r="C52" i="288" s="1"/>
  <c r="R152" i="285"/>
  <c r="E47" i="288" s="1"/>
  <c r="O47" i="288" s="1"/>
  <c r="R156" i="285"/>
  <c r="E51" i="288" s="1"/>
  <c r="O51" i="288" s="1"/>
  <c r="R42" i="285"/>
  <c r="C49" i="288" s="1"/>
  <c r="R41" i="291"/>
  <c r="C48" i="290" s="1"/>
  <c r="T156" i="291"/>
  <c r="C149" i="291"/>
  <c r="U149" i="291" s="1"/>
  <c r="K150" i="291"/>
  <c r="X150" i="291" s="1"/>
  <c r="R44" i="285"/>
  <c r="C51" i="288" s="1"/>
  <c r="R41" i="285"/>
  <c r="C48" i="288" s="1"/>
  <c r="R151" i="285"/>
  <c r="E46" i="288" s="1"/>
  <c r="O46" i="288" s="1"/>
  <c r="AA149" i="285"/>
  <c r="AB149" i="285" s="1"/>
  <c r="R37" i="291"/>
  <c r="C44" i="290" s="1"/>
  <c r="AB157" i="291"/>
  <c r="R40" i="285"/>
  <c r="C47" i="288" s="1"/>
  <c r="R37" i="285"/>
  <c r="C44" i="288" s="1"/>
  <c r="R38" i="291"/>
  <c r="C45" i="290" s="1"/>
  <c r="T152" i="291"/>
  <c r="K149" i="291"/>
  <c r="X149" i="291" s="1"/>
  <c r="L153" i="291"/>
  <c r="Z153" i="291" s="1"/>
  <c r="B151" i="291"/>
  <c r="R151" i="291" s="1"/>
  <c r="E46" i="290" s="1"/>
  <c r="O46" i="290" s="1"/>
  <c r="I148" i="291"/>
  <c r="W148" i="291" s="1"/>
  <c r="F148" i="291"/>
  <c r="V148" i="291" s="1"/>
  <c r="B148" i="291"/>
  <c r="T148" i="291" s="1"/>
  <c r="R157" i="285"/>
  <c r="E52" i="288" s="1"/>
  <c r="O52" i="288" s="1"/>
  <c r="R40" i="291"/>
  <c r="C47" i="290" s="1"/>
  <c r="K152" i="291"/>
  <c r="R152" i="291" s="1"/>
  <c r="E47" i="290" s="1"/>
  <c r="O47" i="290" s="1"/>
  <c r="B155" i="291"/>
  <c r="T155" i="291" s="1"/>
  <c r="R42" i="291"/>
  <c r="C49" i="290" s="1"/>
  <c r="R154" i="291"/>
  <c r="E49" i="290" s="1"/>
  <c r="O49" i="290" s="1"/>
  <c r="K156" i="291"/>
  <c r="X156" i="291" s="1"/>
  <c r="L155" i="291"/>
  <c r="Z155" i="291" s="1"/>
  <c r="L149" i="291"/>
  <c r="Z149" i="291" s="1"/>
  <c r="B153" i="291"/>
  <c r="F149" i="291"/>
  <c r="V149" i="291" s="1"/>
  <c r="B149" i="291"/>
  <c r="T149" i="291" s="1"/>
  <c r="R150" i="285"/>
  <c r="E45" i="288" s="1"/>
  <c r="O45" i="288" s="1"/>
  <c r="R154" i="285"/>
  <c r="Q34" i="289"/>
  <c r="H34" i="289"/>
  <c r="Y157" i="291" l="1"/>
  <c r="AD157" i="291" s="1"/>
  <c r="Y149" i="285"/>
  <c r="AC149" i="285" s="1"/>
  <c r="Y150" i="285"/>
  <c r="AC150" i="285" s="1"/>
  <c r="Y156" i="285"/>
  <c r="AC156" i="285" s="1"/>
  <c r="Y151" i="285"/>
  <c r="AC151" i="285" s="1"/>
  <c r="AB153" i="291"/>
  <c r="Y152" i="285"/>
  <c r="AC152" i="285" s="1"/>
  <c r="Y148" i="285"/>
  <c r="AC148" i="285" s="1"/>
  <c r="AB155" i="291"/>
  <c r="Y154" i="285"/>
  <c r="AC154" i="285" s="1"/>
  <c r="Y153" i="285"/>
  <c r="AC153" i="285" s="1"/>
  <c r="Y157" i="285"/>
  <c r="AB149" i="291"/>
  <c r="Y155" i="291"/>
  <c r="Y149" i="291"/>
  <c r="R156" i="291"/>
  <c r="E51" i="290" s="1"/>
  <c r="O51" i="290" s="1"/>
  <c r="Y154" i="291"/>
  <c r="AC154" i="291" s="1"/>
  <c r="Y155" i="285"/>
  <c r="AD155" i="285" s="1"/>
  <c r="Y150" i="291"/>
  <c r="AC150" i="291" s="1"/>
  <c r="R150" i="291"/>
  <c r="E45" i="290" s="1"/>
  <c r="O45" i="290" s="1"/>
  <c r="Y156" i="291"/>
  <c r="AC156" i="291" s="1"/>
  <c r="Y148" i="291"/>
  <c r="AC148" i="291" s="1"/>
  <c r="R149" i="291"/>
  <c r="E44" i="290" s="1"/>
  <c r="O44" i="290" s="1"/>
  <c r="R148" i="291"/>
  <c r="E43" i="290" s="1"/>
  <c r="O43" i="290" s="1"/>
  <c r="R153" i="291"/>
  <c r="E48" i="290" s="1"/>
  <c r="O48" i="290" s="1"/>
  <c r="T153" i="291"/>
  <c r="Y153" i="291" s="1"/>
  <c r="R155" i="291"/>
  <c r="E50" i="290" s="1"/>
  <c r="O50" i="290" s="1"/>
  <c r="X152" i="291"/>
  <c r="Y152" i="291" s="1"/>
  <c r="T151" i="291"/>
  <c r="Y151" i="291" s="1"/>
  <c r="E49" i="288"/>
  <c r="O49" i="288" s="1"/>
  <c r="Q33" i="289"/>
  <c r="H33" i="289"/>
  <c r="AD156" i="285" l="1"/>
  <c r="AC157" i="285"/>
  <c r="AC157" i="291"/>
  <c r="AD150" i="285"/>
  <c r="AD149" i="285"/>
  <c r="AC149" i="291"/>
  <c r="AD153" i="285"/>
  <c r="AC153" i="291"/>
  <c r="AD152" i="285"/>
  <c r="AD151" i="285"/>
  <c r="AD157" i="285"/>
  <c r="AD148" i="285"/>
  <c r="AC155" i="291"/>
  <c r="AD154" i="285"/>
  <c r="AD154" i="291"/>
  <c r="AC155" i="285"/>
  <c r="AD156" i="291"/>
  <c r="AD150" i="291"/>
  <c r="AC152" i="291"/>
  <c r="AD152" i="291"/>
  <c r="AC151" i="291"/>
  <c r="AD151" i="291"/>
  <c r="AD148" i="291"/>
  <c r="AD155" i="291"/>
  <c r="AD153" i="291"/>
  <c r="AD149" i="291"/>
  <c r="Q32" i="289"/>
  <c r="H32" i="289"/>
  <c r="Q89" i="289" l="1"/>
  <c r="Q31" i="289"/>
  <c r="H31" i="289"/>
  <c r="R31" i="289" l="1"/>
  <c r="Q88" i="289"/>
  <c r="Q30" i="289"/>
  <c r="H30" i="289"/>
  <c r="Q87" i="289" l="1"/>
  <c r="Q29" i="289"/>
  <c r="H29" i="289"/>
  <c r="Q86" i="289" l="1"/>
  <c r="Q28" i="289" l="1"/>
  <c r="H28" i="289"/>
  <c r="Q85" i="289" l="1"/>
  <c r="Q27" i="289"/>
  <c r="H27" i="289"/>
  <c r="Q84" i="289" l="1"/>
  <c r="Q26" i="289"/>
  <c r="H26" i="289"/>
  <c r="Q83" i="289" l="1"/>
  <c r="Q25" i="289"/>
  <c r="H25" i="289"/>
  <c r="A133" i="291" l="1"/>
  <c r="P139" i="289"/>
  <c r="O139" i="289"/>
  <c r="N139" i="289"/>
  <c r="M139" i="289"/>
  <c r="L139" i="289"/>
  <c r="K139" i="289"/>
  <c r="J139" i="289"/>
  <c r="I139" i="289"/>
  <c r="G139" i="289"/>
  <c r="F139" i="289"/>
  <c r="E139" i="289"/>
  <c r="D139" i="289"/>
  <c r="C139" i="289"/>
  <c r="B139" i="289"/>
  <c r="B127" i="289"/>
  <c r="P140" i="289"/>
  <c r="O140" i="289"/>
  <c r="N140" i="289"/>
  <c r="M140" i="289"/>
  <c r="L140" i="289"/>
  <c r="K140" i="289"/>
  <c r="J140" i="289"/>
  <c r="I140" i="289"/>
  <c r="H140" i="289"/>
  <c r="G140" i="289"/>
  <c r="F140" i="289"/>
  <c r="E140" i="289"/>
  <c r="D140" i="289"/>
  <c r="C140" i="289"/>
  <c r="B140" i="289"/>
  <c r="B126" i="289"/>
  <c r="H23" i="289"/>
  <c r="H139" i="289" s="1"/>
  <c r="R24" i="289"/>
  <c r="P21" i="291" l="1"/>
  <c r="P133" i="291" s="1"/>
  <c r="H21" i="291"/>
  <c r="H133" i="291" s="1"/>
  <c r="S139" i="289"/>
  <c r="L21" i="291"/>
  <c r="L133" i="291" s="1"/>
  <c r="Z133" i="291" s="1"/>
  <c r="D21" i="291"/>
  <c r="D133" i="291" s="1"/>
  <c r="G21" i="285"/>
  <c r="G133" i="285" s="1"/>
  <c r="S140" i="289"/>
  <c r="D21" i="285"/>
  <c r="D133" i="285" s="1"/>
  <c r="H21" i="285"/>
  <c r="H133" i="285" s="1"/>
  <c r="L21" i="285"/>
  <c r="L133" i="285" s="1"/>
  <c r="Z133" i="285" s="1"/>
  <c r="P21" i="285"/>
  <c r="P133" i="285" s="1"/>
  <c r="E21" i="291"/>
  <c r="E133" i="291" s="1"/>
  <c r="I21" i="291"/>
  <c r="I133" i="291" s="1"/>
  <c r="M21" i="291"/>
  <c r="M133" i="291" s="1"/>
  <c r="C21" i="285"/>
  <c r="C133" i="285" s="1"/>
  <c r="O21" i="285"/>
  <c r="O133" i="285" s="1"/>
  <c r="E21" i="285"/>
  <c r="E133" i="285" s="1"/>
  <c r="I21" i="285"/>
  <c r="I133" i="285" s="1"/>
  <c r="M21" i="285"/>
  <c r="M133" i="285" s="1"/>
  <c r="B21" i="291"/>
  <c r="B133" i="291" s="1"/>
  <c r="T133" i="291" s="1"/>
  <c r="F21" i="291"/>
  <c r="F133" i="291" s="1"/>
  <c r="J21" i="291"/>
  <c r="J133" i="291" s="1"/>
  <c r="N21" i="291"/>
  <c r="N133" i="291" s="1"/>
  <c r="K21" i="285"/>
  <c r="K133" i="285" s="1"/>
  <c r="X133" i="285" s="1"/>
  <c r="B21" i="285"/>
  <c r="F21" i="285"/>
  <c r="F133" i="285" s="1"/>
  <c r="J21" i="285"/>
  <c r="J133" i="285" s="1"/>
  <c r="N21" i="285"/>
  <c r="N133" i="285" s="1"/>
  <c r="C21" i="291"/>
  <c r="C133" i="291" s="1"/>
  <c r="G21" i="291"/>
  <c r="G133" i="291" s="1"/>
  <c r="K21" i="291"/>
  <c r="K133" i="291" s="1"/>
  <c r="X133" i="291" s="1"/>
  <c r="O21" i="291"/>
  <c r="O133" i="291" s="1"/>
  <c r="V133" i="285" l="1"/>
  <c r="R21" i="291"/>
  <c r="AA133" i="285"/>
  <c r="AB133" i="285" s="1"/>
  <c r="R133" i="291"/>
  <c r="U133" i="291"/>
  <c r="R21" i="285"/>
  <c r="B133" i="285"/>
  <c r="W133" i="285"/>
  <c r="AA133" i="291"/>
  <c r="AB133" i="291" s="1"/>
  <c r="V133" i="291"/>
  <c r="U133" i="285"/>
  <c r="W133" i="291"/>
  <c r="Y133" i="291" l="1"/>
  <c r="AC133" i="291" s="1"/>
  <c r="T133" i="285"/>
  <c r="Y133" i="285" s="1"/>
  <c r="AC133" i="285" s="1"/>
  <c r="R133" i="285"/>
  <c r="Q82" i="289"/>
  <c r="Q140" i="289" s="1"/>
  <c r="R140" i="289" s="1"/>
  <c r="Q23" i="289"/>
  <c r="AD133" i="291" l="1"/>
  <c r="AD133" i="285"/>
  <c r="Q81" i="289"/>
  <c r="Q139" i="289" s="1"/>
  <c r="R139" i="289" s="1"/>
  <c r="Q22" i="289"/>
  <c r="A145" i="291" l="1"/>
  <c r="A144" i="291"/>
  <c r="A143" i="291"/>
  <c r="A142" i="291"/>
  <c r="A141" i="291"/>
  <c r="A140" i="291"/>
  <c r="A139" i="291"/>
  <c r="A138" i="291"/>
  <c r="A137" i="291"/>
  <c r="A136" i="291"/>
  <c r="A135" i="291"/>
  <c r="A147" i="285"/>
  <c r="A145" i="285"/>
  <c r="A144" i="285"/>
  <c r="A143" i="285"/>
  <c r="A142" i="285"/>
  <c r="A141" i="285"/>
  <c r="A140" i="285"/>
  <c r="A139" i="285"/>
  <c r="A138" i="285"/>
  <c r="A137" i="285"/>
  <c r="A136" i="285"/>
  <c r="A135" i="285"/>
  <c r="Q154" i="289"/>
  <c r="P154" i="289"/>
  <c r="O154" i="289"/>
  <c r="N154" i="289"/>
  <c r="M154" i="289"/>
  <c r="L154" i="289"/>
  <c r="K154" i="289"/>
  <c r="J154" i="289"/>
  <c r="I154" i="289"/>
  <c r="H154" i="289"/>
  <c r="G154" i="289"/>
  <c r="F154" i="289"/>
  <c r="E154" i="289"/>
  <c r="D154" i="289"/>
  <c r="C154" i="289"/>
  <c r="B154" i="289"/>
  <c r="Q151" i="289"/>
  <c r="P151" i="289"/>
  <c r="O151" i="289"/>
  <c r="N151" i="289"/>
  <c r="M151" i="289"/>
  <c r="M32" i="285" s="1"/>
  <c r="L151" i="289"/>
  <c r="K151" i="289"/>
  <c r="K32" i="291" s="1"/>
  <c r="K144" i="291" s="1"/>
  <c r="X144" i="291" s="1"/>
  <c r="J151" i="289"/>
  <c r="I151" i="289"/>
  <c r="I32" i="285" s="1"/>
  <c r="H151" i="289"/>
  <c r="G151" i="289"/>
  <c r="G32" i="291" s="1"/>
  <c r="G144" i="291" s="1"/>
  <c r="F151" i="289"/>
  <c r="F32" i="285" s="1"/>
  <c r="E151" i="289"/>
  <c r="E32" i="285" s="1"/>
  <c r="D151" i="289"/>
  <c r="C151" i="289"/>
  <c r="C32" i="291" s="1"/>
  <c r="C144" i="291" s="1"/>
  <c r="B151" i="289"/>
  <c r="B32" i="285" s="1"/>
  <c r="Q150" i="289"/>
  <c r="P150" i="289"/>
  <c r="P31" i="285" s="1"/>
  <c r="P143" i="285" s="1"/>
  <c r="O150" i="289"/>
  <c r="N150" i="289"/>
  <c r="M150" i="289"/>
  <c r="M31" i="285" s="1"/>
  <c r="M143" i="285" s="1"/>
  <c r="L150" i="289"/>
  <c r="L31" i="285" s="1"/>
  <c r="L143" i="285" s="1"/>
  <c r="Z143" i="285" s="1"/>
  <c r="K150" i="289"/>
  <c r="J150" i="289"/>
  <c r="J31" i="291" s="1"/>
  <c r="J143" i="291" s="1"/>
  <c r="I150" i="289"/>
  <c r="I31" i="285" s="1"/>
  <c r="I143" i="285" s="1"/>
  <c r="H150" i="289"/>
  <c r="H31" i="285" s="1"/>
  <c r="H143" i="285" s="1"/>
  <c r="G150" i="289"/>
  <c r="F150" i="289"/>
  <c r="F31" i="291" s="1"/>
  <c r="F143" i="291" s="1"/>
  <c r="E150" i="289"/>
  <c r="E31" i="285" s="1"/>
  <c r="E143" i="285" s="1"/>
  <c r="D150" i="289"/>
  <c r="D31" i="285" s="1"/>
  <c r="D143" i="285" s="1"/>
  <c r="C150" i="289"/>
  <c r="B150" i="289"/>
  <c r="B31" i="291" s="1"/>
  <c r="B143" i="291" s="1"/>
  <c r="T143" i="291" s="1"/>
  <c r="Q149" i="289"/>
  <c r="P149" i="289"/>
  <c r="P30" i="285" s="1"/>
  <c r="P142" i="285" s="1"/>
  <c r="O149" i="289"/>
  <c r="O30" i="285" s="1"/>
  <c r="O142" i="285" s="1"/>
  <c r="N149" i="289"/>
  <c r="M149" i="289"/>
  <c r="M30" i="291" s="1"/>
  <c r="M142" i="291" s="1"/>
  <c r="L149" i="289"/>
  <c r="L30" i="285" s="1"/>
  <c r="L142" i="285" s="1"/>
  <c r="Z142" i="285" s="1"/>
  <c r="K149" i="289"/>
  <c r="K30" i="285" s="1"/>
  <c r="K142" i="285" s="1"/>
  <c r="X142" i="285" s="1"/>
  <c r="J149" i="289"/>
  <c r="I149" i="289"/>
  <c r="I30" i="291" s="1"/>
  <c r="I142" i="291" s="1"/>
  <c r="H149" i="289"/>
  <c r="H30" i="285" s="1"/>
  <c r="H142" i="285" s="1"/>
  <c r="G149" i="289"/>
  <c r="G30" i="285" s="1"/>
  <c r="G142" i="285" s="1"/>
  <c r="F149" i="289"/>
  <c r="E149" i="289"/>
  <c r="E30" i="291" s="1"/>
  <c r="E142" i="291" s="1"/>
  <c r="D149" i="289"/>
  <c r="D30" i="285" s="1"/>
  <c r="D142" i="285" s="1"/>
  <c r="C149" i="289"/>
  <c r="C30" i="285" s="1"/>
  <c r="C142" i="285" s="1"/>
  <c r="B149" i="289"/>
  <c r="Q148" i="289"/>
  <c r="P148" i="289"/>
  <c r="P29" i="291" s="1"/>
  <c r="P141" i="291" s="1"/>
  <c r="O148" i="289"/>
  <c r="N148" i="289"/>
  <c r="M148" i="289"/>
  <c r="L148" i="289"/>
  <c r="K148" i="289"/>
  <c r="J148" i="289"/>
  <c r="I148" i="289"/>
  <c r="H148" i="289"/>
  <c r="H29" i="291" s="1"/>
  <c r="H141" i="291" s="1"/>
  <c r="G148" i="289"/>
  <c r="F148" i="289"/>
  <c r="F29" i="285" s="1"/>
  <c r="F141" i="285" s="1"/>
  <c r="E148" i="289"/>
  <c r="D148" i="289"/>
  <c r="D29" i="291" s="1"/>
  <c r="D141" i="291" s="1"/>
  <c r="C148" i="289"/>
  <c r="B148" i="289"/>
  <c r="B29" i="285" s="1"/>
  <c r="Q147" i="289"/>
  <c r="P147" i="289"/>
  <c r="O147" i="289"/>
  <c r="N147" i="289"/>
  <c r="M147" i="289"/>
  <c r="M28" i="285" s="1"/>
  <c r="M140" i="285" s="1"/>
  <c r="L147" i="289"/>
  <c r="K147" i="289"/>
  <c r="J147" i="289"/>
  <c r="J28" i="285" s="1"/>
  <c r="J140" i="285" s="1"/>
  <c r="I147" i="289"/>
  <c r="I28" i="285" s="1"/>
  <c r="I140" i="285" s="1"/>
  <c r="H147" i="289"/>
  <c r="G147" i="289"/>
  <c r="F147" i="289"/>
  <c r="F28" i="285" s="1"/>
  <c r="F140" i="285" s="1"/>
  <c r="E147" i="289"/>
  <c r="D147" i="289"/>
  <c r="C147" i="289"/>
  <c r="B147" i="289"/>
  <c r="Q146" i="289"/>
  <c r="P146" i="289"/>
  <c r="O146" i="289"/>
  <c r="N146" i="289"/>
  <c r="N27" i="285" s="1"/>
  <c r="N139" i="285" s="1"/>
  <c r="M146" i="289"/>
  <c r="M27" i="285" s="1"/>
  <c r="M139" i="285" s="1"/>
  <c r="L146" i="289"/>
  <c r="L27" i="285" s="1"/>
  <c r="L139" i="285" s="1"/>
  <c r="Z139" i="285" s="1"/>
  <c r="K146" i="289"/>
  <c r="J146" i="289"/>
  <c r="I146" i="289"/>
  <c r="I27" i="285" s="1"/>
  <c r="I139" i="285" s="1"/>
  <c r="H146" i="289"/>
  <c r="G146" i="289"/>
  <c r="F146" i="289"/>
  <c r="E146" i="289"/>
  <c r="E27" i="285" s="1"/>
  <c r="E139" i="285" s="1"/>
  <c r="D146" i="289"/>
  <c r="D27" i="285" s="1"/>
  <c r="D139" i="285" s="1"/>
  <c r="C146" i="289"/>
  <c r="B146" i="289"/>
  <c r="Q145" i="289"/>
  <c r="P145" i="289"/>
  <c r="P26" i="285" s="1"/>
  <c r="P138" i="285" s="1"/>
  <c r="O145" i="289"/>
  <c r="N145" i="289"/>
  <c r="M145" i="289"/>
  <c r="M26" i="285" s="1"/>
  <c r="M138" i="285" s="1"/>
  <c r="L145" i="289"/>
  <c r="L26" i="285" s="1"/>
  <c r="L138" i="285" s="1"/>
  <c r="Z138" i="285" s="1"/>
  <c r="K145" i="289"/>
  <c r="K26" i="285" s="1"/>
  <c r="K138" i="285" s="1"/>
  <c r="X138" i="285" s="1"/>
  <c r="J145" i="289"/>
  <c r="I145" i="289"/>
  <c r="I26" i="285" s="1"/>
  <c r="I138" i="285" s="1"/>
  <c r="H145" i="289"/>
  <c r="H26" i="285" s="1"/>
  <c r="H138" i="285" s="1"/>
  <c r="G145" i="289"/>
  <c r="F145" i="289"/>
  <c r="E145" i="289"/>
  <c r="D145" i="289"/>
  <c r="D26" i="285" s="1"/>
  <c r="D138" i="285" s="1"/>
  <c r="C145" i="289"/>
  <c r="C26" i="285" s="1"/>
  <c r="C138" i="285" s="1"/>
  <c r="B145" i="289"/>
  <c r="Q144" i="289"/>
  <c r="P144" i="289"/>
  <c r="O144" i="289"/>
  <c r="N144" i="289"/>
  <c r="M144" i="289"/>
  <c r="L144" i="289"/>
  <c r="K144" i="289"/>
  <c r="J144" i="289"/>
  <c r="I144" i="289"/>
  <c r="H144" i="289"/>
  <c r="G144" i="289"/>
  <c r="F144" i="289"/>
  <c r="E144" i="289"/>
  <c r="D144" i="289"/>
  <c r="C144" i="289"/>
  <c r="B144" i="289"/>
  <c r="Q143" i="289"/>
  <c r="P143" i="289"/>
  <c r="O143" i="289"/>
  <c r="N143" i="289"/>
  <c r="N24" i="285" s="1"/>
  <c r="N136" i="285" s="1"/>
  <c r="M143" i="289"/>
  <c r="L143" i="289"/>
  <c r="K143" i="289"/>
  <c r="J143" i="289"/>
  <c r="I143" i="289"/>
  <c r="H143" i="289"/>
  <c r="G143" i="289"/>
  <c r="F143" i="289"/>
  <c r="F24" i="285" s="1"/>
  <c r="F136" i="285" s="1"/>
  <c r="E143" i="289"/>
  <c r="D143" i="289"/>
  <c r="C143" i="289"/>
  <c r="B143" i="289"/>
  <c r="B24" i="285" s="1"/>
  <c r="B136" i="285" s="1"/>
  <c r="T136" i="285" s="1"/>
  <c r="Q142" i="289"/>
  <c r="P142" i="289"/>
  <c r="P23" i="285" s="1"/>
  <c r="P135" i="285" s="1"/>
  <c r="O142" i="289"/>
  <c r="N142" i="289"/>
  <c r="N23" i="291" s="1"/>
  <c r="N135" i="291" s="1"/>
  <c r="M142" i="289"/>
  <c r="M23" i="285" s="1"/>
  <c r="M135" i="285" s="1"/>
  <c r="L142" i="289"/>
  <c r="K142" i="289"/>
  <c r="J142" i="289"/>
  <c r="J23" i="285" s="1"/>
  <c r="J135" i="285" s="1"/>
  <c r="I142" i="289"/>
  <c r="H142" i="289"/>
  <c r="G142" i="289"/>
  <c r="F142" i="289"/>
  <c r="E142" i="289"/>
  <c r="D142" i="289"/>
  <c r="C142" i="289"/>
  <c r="B142" i="289"/>
  <c r="R89" i="289"/>
  <c r="R88" i="289"/>
  <c r="R87" i="289"/>
  <c r="R86" i="289"/>
  <c r="R85" i="289"/>
  <c r="R84" i="289"/>
  <c r="R37" i="289"/>
  <c r="R35" i="289"/>
  <c r="R34" i="289"/>
  <c r="R33" i="289"/>
  <c r="R32" i="289"/>
  <c r="R30" i="289"/>
  <c r="R29" i="289"/>
  <c r="R28" i="289"/>
  <c r="R27" i="289"/>
  <c r="R26" i="289"/>
  <c r="C146" i="285" l="1"/>
  <c r="C35" i="291"/>
  <c r="C147" i="291" s="1"/>
  <c r="C35" i="285"/>
  <c r="E35" i="291"/>
  <c r="E147" i="291" s="1"/>
  <c r="E35" i="285"/>
  <c r="G146" i="285"/>
  <c r="G35" i="291"/>
  <c r="G147" i="291" s="1"/>
  <c r="G35" i="285"/>
  <c r="I35" i="291"/>
  <c r="I147" i="291" s="1"/>
  <c r="I35" i="285"/>
  <c r="K35" i="291"/>
  <c r="K147" i="291" s="1"/>
  <c r="X147" i="291" s="1"/>
  <c r="K35" i="285"/>
  <c r="M35" i="291"/>
  <c r="M147" i="291" s="1"/>
  <c r="M35" i="285"/>
  <c r="O146" i="285"/>
  <c r="O35" i="291"/>
  <c r="O147" i="291" s="1"/>
  <c r="O35" i="285"/>
  <c r="B35" i="291"/>
  <c r="B35" i="285"/>
  <c r="D146" i="285"/>
  <c r="D35" i="291"/>
  <c r="D147" i="291" s="1"/>
  <c r="D35" i="285"/>
  <c r="F35" i="291"/>
  <c r="F147" i="291" s="1"/>
  <c r="F35" i="285"/>
  <c r="H146" i="285"/>
  <c r="H35" i="291"/>
  <c r="H147" i="291" s="1"/>
  <c r="H35" i="285"/>
  <c r="J146" i="285"/>
  <c r="J35" i="291"/>
  <c r="J147" i="291" s="1"/>
  <c r="J35" i="285"/>
  <c r="L35" i="291"/>
  <c r="L147" i="291" s="1"/>
  <c r="Z147" i="291" s="1"/>
  <c r="L35" i="285"/>
  <c r="N146" i="285"/>
  <c r="N35" i="291"/>
  <c r="N147" i="291" s="1"/>
  <c r="N35" i="285"/>
  <c r="P146" i="285"/>
  <c r="P35" i="291"/>
  <c r="P147" i="291" s="1"/>
  <c r="P35" i="285"/>
  <c r="D33" i="291"/>
  <c r="D145" i="291" s="1"/>
  <c r="L33" i="291"/>
  <c r="L146" i="285"/>
  <c r="Z146" i="285" s="1"/>
  <c r="E33" i="285"/>
  <c r="E145" i="285" s="1"/>
  <c r="I33" i="285"/>
  <c r="I145" i="285" s="1"/>
  <c r="E146" i="291"/>
  <c r="E146" i="285"/>
  <c r="I146" i="291"/>
  <c r="I146" i="285"/>
  <c r="M146" i="291"/>
  <c r="M146" i="285"/>
  <c r="H33" i="291"/>
  <c r="H145" i="291" s="1"/>
  <c r="J33" i="285"/>
  <c r="J145" i="285" s="1"/>
  <c r="B147" i="285"/>
  <c r="T147" i="285" s="1"/>
  <c r="F146" i="285"/>
  <c r="F144" i="285"/>
  <c r="B144" i="285"/>
  <c r="T144" i="285" s="1"/>
  <c r="E144" i="285"/>
  <c r="I144" i="285"/>
  <c r="M144" i="285"/>
  <c r="K147" i="285"/>
  <c r="X147" i="285" s="1"/>
  <c r="G26" i="285"/>
  <c r="G138" i="285" s="1"/>
  <c r="H27" i="285"/>
  <c r="H139" i="285" s="1"/>
  <c r="D33" i="285"/>
  <c r="D145" i="285" s="1"/>
  <c r="E24" i="285"/>
  <c r="E136" i="285" s="1"/>
  <c r="O26" i="285"/>
  <c r="O138" i="285" s="1"/>
  <c r="P27" i="285"/>
  <c r="P139" i="285" s="1"/>
  <c r="E28" i="285"/>
  <c r="E140" i="285" s="1"/>
  <c r="M24" i="285"/>
  <c r="M136" i="285" s="1"/>
  <c r="I24" i="285"/>
  <c r="I136" i="285" s="1"/>
  <c r="G23" i="291"/>
  <c r="G135" i="291" s="1"/>
  <c r="G23" i="285"/>
  <c r="G135" i="285" s="1"/>
  <c r="J24" i="291"/>
  <c r="J136" i="291" s="1"/>
  <c r="F25" i="291"/>
  <c r="F137" i="291" s="1"/>
  <c r="S145" i="289"/>
  <c r="B26" i="291"/>
  <c r="B138" i="291" s="1"/>
  <c r="T138" i="291" s="1"/>
  <c r="S146" i="289"/>
  <c r="B27" i="291"/>
  <c r="B139" i="291" s="1"/>
  <c r="T139" i="291" s="1"/>
  <c r="S147" i="289"/>
  <c r="B28" i="291"/>
  <c r="B140" i="291" s="1"/>
  <c r="T140" i="291" s="1"/>
  <c r="N28" i="291"/>
  <c r="N140" i="291" s="1"/>
  <c r="N29" i="291"/>
  <c r="N141" i="291" s="1"/>
  <c r="J30" i="291"/>
  <c r="J142" i="291" s="1"/>
  <c r="W142" i="291" s="1"/>
  <c r="J32" i="291"/>
  <c r="J144" i="291" s="1"/>
  <c r="F33" i="291"/>
  <c r="F145" i="291" s="1"/>
  <c r="F146" i="291"/>
  <c r="F25" i="285"/>
  <c r="F137" i="285" s="1"/>
  <c r="C23" i="291"/>
  <c r="C135" i="291" s="1"/>
  <c r="C24" i="291"/>
  <c r="C136" i="291" s="1"/>
  <c r="K24" i="291"/>
  <c r="K136" i="291" s="1"/>
  <c r="X136" i="291" s="1"/>
  <c r="O24" i="291"/>
  <c r="O136" i="291" s="1"/>
  <c r="C25" i="291"/>
  <c r="C137" i="291" s="1"/>
  <c r="G25" i="291"/>
  <c r="G137" i="291" s="1"/>
  <c r="K25" i="291"/>
  <c r="K137" i="291" s="1"/>
  <c r="X137" i="291" s="1"/>
  <c r="O25" i="291"/>
  <c r="O137" i="291" s="1"/>
  <c r="C26" i="291"/>
  <c r="C138" i="291" s="1"/>
  <c r="G26" i="291"/>
  <c r="G138" i="291" s="1"/>
  <c r="K26" i="291"/>
  <c r="K138" i="291" s="1"/>
  <c r="X138" i="291" s="1"/>
  <c r="O26" i="291"/>
  <c r="O138" i="291" s="1"/>
  <c r="C27" i="291"/>
  <c r="C139" i="291" s="1"/>
  <c r="G27" i="291"/>
  <c r="G139" i="291" s="1"/>
  <c r="K27" i="291"/>
  <c r="K139" i="291" s="1"/>
  <c r="X139" i="291" s="1"/>
  <c r="O27" i="291"/>
  <c r="O139" i="291" s="1"/>
  <c r="C28" i="291"/>
  <c r="C140" i="291" s="1"/>
  <c r="G28" i="291"/>
  <c r="G140" i="291" s="1"/>
  <c r="O28" i="291"/>
  <c r="O140" i="291" s="1"/>
  <c r="C29" i="291"/>
  <c r="C141" i="291" s="1"/>
  <c r="G29" i="291"/>
  <c r="G141" i="291" s="1"/>
  <c r="K29" i="291"/>
  <c r="K141" i="291" s="1"/>
  <c r="X141" i="291" s="1"/>
  <c r="O29" i="291"/>
  <c r="O141" i="291" s="1"/>
  <c r="C30" i="291"/>
  <c r="C142" i="291" s="1"/>
  <c r="G30" i="291"/>
  <c r="G142" i="291" s="1"/>
  <c r="K30" i="291"/>
  <c r="K142" i="291" s="1"/>
  <c r="X142" i="291" s="1"/>
  <c r="O30" i="291"/>
  <c r="O142" i="291" s="1"/>
  <c r="C31" i="291"/>
  <c r="C143" i="291" s="1"/>
  <c r="G31" i="291"/>
  <c r="G143" i="291" s="1"/>
  <c r="K31" i="291"/>
  <c r="K143" i="291" s="1"/>
  <c r="X143" i="291" s="1"/>
  <c r="O31" i="291"/>
  <c r="O143" i="291" s="1"/>
  <c r="C33" i="291"/>
  <c r="C145" i="291" s="1"/>
  <c r="C33" i="285"/>
  <c r="C145" i="285" s="1"/>
  <c r="G33" i="291"/>
  <c r="G145" i="291" s="1"/>
  <c r="G33" i="285"/>
  <c r="G145" i="285" s="1"/>
  <c r="K33" i="291"/>
  <c r="K33" i="285"/>
  <c r="O33" i="291"/>
  <c r="O145" i="291" s="1"/>
  <c r="O33" i="285"/>
  <c r="O145" i="285" s="1"/>
  <c r="C146" i="291"/>
  <c r="G146" i="291"/>
  <c r="O146" i="291"/>
  <c r="C23" i="285"/>
  <c r="C135" i="285" s="1"/>
  <c r="J24" i="285"/>
  <c r="J136" i="285" s="1"/>
  <c r="C25" i="285"/>
  <c r="C137" i="285" s="1"/>
  <c r="G25" i="285"/>
  <c r="G137" i="285" s="1"/>
  <c r="K25" i="285"/>
  <c r="K137" i="285" s="1"/>
  <c r="X137" i="285" s="1"/>
  <c r="O25" i="285"/>
  <c r="O137" i="285" s="1"/>
  <c r="B28" i="285"/>
  <c r="B140" i="285" s="1"/>
  <c r="T140" i="285" s="1"/>
  <c r="N28" i="285"/>
  <c r="N140" i="285" s="1"/>
  <c r="C29" i="285"/>
  <c r="C141" i="285" s="1"/>
  <c r="G29" i="285"/>
  <c r="G141" i="285" s="1"/>
  <c r="K29" i="285"/>
  <c r="K141" i="285" s="1"/>
  <c r="X141" i="285" s="1"/>
  <c r="O29" i="285"/>
  <c r="O141" i="285" s="1"/>
  <c r="J32" i="285"/>
  <c r="O32" i="285"/>
  <c r="P33" i="285"/>
  <c r="P145" i="285" s="1"/>
  <c r="G24" i="291"/>
  <c r="G136" i="291" s="1"/>
  <c r="K28" i="291"/>
  <c r="K140" i="291" s="1"/>
  <c r="X140" i="291" s="1"/>
  <c r="O32" i="291"/>
  <c r="O144" i="291" s="1"/>
  <c r="S143" i="289"/>
  <c r="B24" i="291"/>
  <c r="B136" i="291" s="1"/>
  <c r="T136" i="291" s="1"/>
  <c r="N24" i="291"/>
  <c r="N136" i="291" s="1"/>
  <c r="J25" i="291"/>
  <c r="J137" i="291" s="1"/>
  <c r="F26" i="291"/>
  <c r="F138" i="291" s="1"/>
  <c r="N26" i="291"/>
  <c r="N138" i="291" s="1"/>
  <c r="F28" i="291"/>
  <c r="F140" i="291" s="1"/>
  <c r="B29" i="291"/>
  <c r="B141" i="291" s="1"/>
  <c r="T141" i="291" s="1"/>
  <c r="J29" i="291"/>
  <c r="J141" i="291" s="1"/>
  <c r="B30" i="291"/>
  <c r="B142" i="291" s="1"/>
  <c r="T142" i="291" s="1"/>
  <c r="N30" i="291"/>
  <c r="N142" i="291" s="1"/>
  <c r="B32" i="291"/>
  <c r="B144" i="291" s="1"/>
  <c r="T144" i="291" s="1"/>
  <c r="N32" i="291"/>
  <c r="N144" i="291" s="1"/>
  <c r="N32" i="285"/>
  <c r="N33" i="291"/>
  <c r="N145" i="291" s="1"/>
  <c r="B25" i="285"/>
  <c r="B137" i="285" s="1"/>
  <c r="T137" i="285" s="1"/>
  <c r="N25" i="285"/>
  <c r="N137" i="285" s="1"/>
  <c r="N31" i="291"/>
  <c r="N143" i="291" s="1"/>
  <c r="D23" i="291"/>
  <c r="D135" i="291" s="1"/>
  <c r="P23" i="291"/>
  <c r="P135" i="291" s="1"/>
  <c r="D24" i="291"/>
  <c r="D136" i="291" s="1"/>
  <c r="H24" i="291"/>
  <c r="H136" i="291" s="1"/>
  <c r="L24" i="291"/>
  <c r="L136" i="291" s="1"/>
  <c r="Z136" i="291" s="1"/>
  <c r="P24" i="291"/>
  <c r="P136" i="291" s="1"/>
  <c r="D25" i="291"/>
  <c r="D137" i="291" s="1"/>
  <c r="L25" i="291"/>
  <c r="L137" i="291" s="1"/>
  <c r="Z137" i="291" s="1"/>
  <c r="P25" i="291"/>
  <c r="P137" i="291" s="1"/>
  <c r="D26" i="291"/>
  <c r="D138" i="291" s="1"/>
  <c r="H26" i="291"/>
  <c r="H138" i="291" s="1"/>
  <c r="L26" i="291"/>
  <c r="L138" i="291" s="1"/>
  <c r="Z138" i="291" s="1"/>
  <c r="P26" i="291"/>
  <c r="P138" i="291" s="1"/>
  <c r="D27" i="291"/>
  <c r="D139" i="291" s="1"/>
  <c r="H27" i="291"/>
  <c r="H139" i="291" s="1"/>
  <c r="L27" i="291"/>
  <c r="L139" i="291" s="1"/>
  <c r="Z139" i="291" s="1"/>
  <c r="P27" i="291"/>
  <c r="P139" i="291" s="1"/>
  <c r="D28" i="291"/>
  <c r="D140" i="291" s="1"/>
  <c r="H28" i="291"/>
  <c r="H140" i="291" s="1"/>
  <c r="L28" i="291"/>
  <c r="L140" i="291" s="1"/>
  <c r="Z140" i="291" s="1"/>
  <c r="P28" i="291"/>
  <c r="P140" i="291" s="1"/>
  <c r="D30" i="291"/>
  <c r="D142" i="291" s="1"/>
  <c r="H30" i="291"/>
  <c r="H142" i="291" s="1"/>
  <c r="L30" i="291"/>
  <c r="L142" i="291" s="1"/>
  <c r="Z142" i="291" s="1"/>
  <c r="P30" i="291"/>
  <c r="P142" i="291" s="1"/>
  <c r="D31" i="291"/>
  <c r="D143" i="291" s="1"/>
  <c r="H31" i="291"/>
  <c r="H143" i="291" s="1"/>
  <c r="L31" i="291"/>
  <c r="L143" i="291" s="1"/>
  <c r="Z143" i="291" s="1"/>
  <c r="P31" i="291"/>
  <c r="P143" i="291" s="1"/>
  <c r="D32" i="291"/>
  <c r="D144" i="291" s="1"/>
  <c r="H32" i="291"/>
  <c r="H144" i="291" s="1"/>
  <c r="L32" i="291"/>
  <c r="L144" i="291" s="1"/>
  <c r="Z144" i="291" s="1"/>
  <c r="P32" i="291"/>
  <c r="P144" i="291" s="1"/>
  <c r="D146" i="291"/>
  <c r="H146" i="291"/>
  <c r="P146" i="291"/>
  <c r="D23" i="285"/>
  <c r="D135" i="285" s="1"/>
  <c r="C24" i="285"/>
  <c r="C136" i="285" s="1"/>
  <c r="G24" i="285"/>
  <c r="G136" i="285" s="1"/>
  <c r="K24" i="285"/>
  <c r="K136" i="285" s="1"/>
  <c r="X136" i="285" s="1"/>
  <c r="O24" i="285"/>
  <c r="O136" i="285" s="1"/>
  <c r="D25" i="285"/>
  <c r="D137" i="285" s="1"/>
  <c r="H25" i="285"/>
  <c r="H137" i="285" s="1"/>
  <c r="L25" i="285"/>
  <c r="L137" i="285" s="1"/>
  <c r="Z137" i="285" s="1"/>
  <c r="P25" i="285"/>
  <c r="P137" i="285" s="1"/>
  <c r="E26" i="285"/>
  <c r="E138" i="285" s="1"/>
  <c r="U138" i="285" s="1"/>
  <c r="B27" i="285"/>
  <c r="B139" i="285" s="1"/>
  <c r="T139" i="285" s="1"/>
  <c r="F27" i="285"/>
  <c r="F139" i="285" s="1"/>
  <c r="J27" i="285"/>
  <c r="J139" i="285" s="1"/>
  <c r="W139" i="285" s="1"/>
  <c r="C28" i="285"/>
  <c r="C140" i="285" s="1"/>
  <c r="G28" i="285"/>
  <c r="G140" i="285" s="1"/>
  <c r="K28" i="285"/>
  <c r="K140" i="285" s="1"/>
  <c r="X140" i="285" s="1"/>
  <c r="O28" i="285"/>
  <c r="O140" i="285" s="1"/>
  <c r="D29" i="285"/>
  <c r="D141" i="285" s="1"/>
  <c r="H29" i="285"/>
  <c r="H141" i="285" s="1"/>
  <c r="L29" i="285"/>
  <c r="L141" i="285" s="1"/>
  <c r="Z141" i="285" s="1"/>
  <c r="P29" i="285"/>
  <c r="P141" i="285" s="1"/>
  <c r="E30" i="285"/>
  <c r="E142" i="285" s="1"/>
  <c r="U142" i="285" s="1"/>
  <c r="I30" i="285"/>
  <c r="I142" i="285" s="1"/>
  <c r="M30" i="285"/>
  <c r="M142" i="285" s="1"/>
  <c r="B31" i="285"/>
  <c r="B143" i="285" s="1"/>
  <c r="T143" i="285" s="1"/>
  <c r="F31" i="285"/>
  <c r="F143" i="285" s="1"/>
  <c r="J31" i="285"/>
  <c r="J143" i="285" s="1"/>
  <c r="W143" i="285" s="1"/>
  <c r="N31" i="285"/>
  <c r="N143" i="285" s="1"/>
  <c r="C32" i="285"/>
  <c r="G32" i="285"/>
  <c r="K32" i="285"/>
  <c r="P32" i="285"/>
  <c r="F33" i="285"/>
  <c r="F145" i="285" s="1"/>
  <c r="L33" i="285"/>
  <c r="H25" i="291"/>
  <c r="H137" i="291" s="1"/>
  <c r="L29" i="291"/>
  <c r="L141" i="291" s="1"/>
  <c r="Z141" i="291" s="1"/>
  <c r="P33" i="291"/>
  <c r="P145" i="291" s="1"/>
  <c r="J23" i="291"/>
  <c r="J135" i="291" s="1"/>
  <c r="F24" i="291"/>
  <c r="F136" i="291" s="1"/>
  <c r="S144" i="289"/>
  <c r="B25" i="291"/>
  <c r="B137" i="291" s="1"/>
  <c r="T137" i="291" s="1"/>
  <c r="N25" i="291"/>
  <c r="N137" i="291" s="1"/>
  <c r="J26" i="291"/>
  <c r="J138" i="291" s="1"/>
  <c r="F27" i="291"/>
  <c r="F139" i="291" s="1"/>
  <c r="N27" i="291"/>
  <c r="N139" i="291" s="1"/>
  <c r="J28" i="291"/>
  <c r="J140" i="291" s="1"/>
  <c r="F29" i="291"/>
  <c r="F141" i="291" s="1"/>
  <c r="F30" i="291"/>
  <c r="F142" i="291" s="1"/>
  <c r="F32" i="291"/>
  <c r="F144" i="291" s="1"/>
  <c r="B33" i="291"/>
  <c r="B145" i="291" s="1"/>
  <c r="J33" i="291"/>
  <c r="J145" i="291" s="1"/>
  <c r="N146" i="291"/>
  <c r="B23" i="285"/>
  <c r="B135" i="285" s="1"/>
  <c r="T135" i="285" s="1"/>
  <c r="J25" i="285"/>
  <c r="J137" i="285" s="1"/>
  <c r="J29" i="285"/>
  <c r="J141" i="285" s="1"/>
  <c r="N29" i="285"/>
  <c r="N141" i="285" s="1"/>
  <c r="N33" i="285"/>
  <c r="N145" i="285" s="1"/>
  <c r="J27" i="291"/>
  <c r="J139" i="291" s="1"/>
  <c r="E23" i="291"/>
  <c r="E135" i="291" s="1"/>
  <c r="E24" i="291"/>
  <c r="E136" i="291" s="1"/>
  <c r="I24" i="291"/>
  <c r="I136" i="291" s="1"/>
  <c r="M24" i="291"/>
  <c r="M136" i="291" s="1"/>
  <c r="E25" i="291"/>
  <c r="E137" i="291" s="1"/>
  <c r="I25" i="291"/>
  <c r="I137" i="291" s="1"/>
  <c r="M25" i="291"/>
  <c r="M137" i="291" s="1"/>
  <c r="E26" i="291"/>
  <c r="E138" i="291" s="1"/>
  <c r="M26" i="291"/>
  <c r="M138" i="291" s="1"/>
  <c r="E27" i="291"/>
  <c r="E139" i="291" s="1"/>
  <c r="I27" i="291"/>
  <c r="I139" i="291" s="1"/>
  <c r="W139" i="291" s="1"/>
  <c r="M27" i="291"/>
  <c r="M139" i="291" s="1"/>
  <c r="E28" i="291"/>
  <c r="E140" i="291" s="1"/>
  <c r="I28" i="291"/>
  <c r="I140" i="291" s="1"/>
  <c r="M28" i="291"/>
  <c r="M140" i="291" s="1"/>
  <c r="E29" i="291"/>
  <c r="E141" i="291" s="1"/>
  <c r="I29" i="291"/>
  <c r="I141" i="291" s="1"/>
  <c r="M29" i="291"/>
  <c r="M141" i="291" s="1"/>
  <c r="E31" i="291"/>
  <c r="E143" i="291" s="1"/>
  <c r="I31" i="291"/>
  <c r="I143" i="291" s="1"/>
  <c r="W143" i="291" s="1"/>
  <c r="M31" i="291"/>
  <c r="M143" i="291" s="1"/>
  <c r="E32" i="291"/>
  <c r="E144" i="291" s="1"/>
  <c r="I32" i="291"/>
  <c r="I144" i="291" s="1"/>
  <c r="M32" i="291"/>
  <c r="M144" i="291" s="1"/>
  <c r="E33" i="291"/>
  <c r="E145" i="291" s="1"/>
  <c r="I33" i="291"/>
  <c r="I145" i="291" s="1"/>
  <c r="M33" i="291"/>
  <c r="M145" i="291" s="1"/>
  <c r="E23" i="285"/>
  <c r="E135" i="285" s="1"/>
  <c r="O23" i="285"/>
  <c r="O135" i="285" s="1"/>
  <c r="D24" i="285"/>
  <c r="D136" i="285" s="1"/>
  <c r="H24" i="285"/>
  <c r="H136" i="285" s="1"/>
  <c r="L24" i="285"/>
  <c r="L136" i="285" s="1"/>
  <c r="Z136" i="285" s="1"/>
  <c r="P24" i="285"/>
  <c r="P136" i="285" s="1"/>
  <c r="E25" i="285"/>
  <c r="E137" i="285" s="1"/>
  <c r="I25" i="285"/>
  <c r="I137" i="285" s="1"/>
  <c r="M25" i="285"/>
  <c r="M137" i="285" s="1"/>
  <c r="B26" i="285"/>
  <c r="B138" i="285" s="1"/>
  <c r="T138" i="285" s="1"/>
  <c r="F26" i="285"/>
  <c r="F138" i="285" s="1"/>
  <c r="J26" i="285"/>
  <c r="J138" i="285" s="1"/>
  <c r="W138" i="285" s="1"/>
  <c r="N26" i="285"/>
  <c r="N138" i="285" s="1"/>
  <c r="C27" i="285"/>
  <c r="C139" i="285" s="1"/>
  <c r="U139" i="285" s="1"/>
  <c r="G27" i="285"/>
  <c r="G139" i="285" s="1"/>
  <c r="K27" i="285"/>
  <c r="K139" i="285" s="1"/>
  <c r="X139" i="285" s="1"/>
  <c r="O27" i="285"/>
  <c r="O139" i="285" s="1"/>
  <c r="D28" i="285"/>
  <c r="D140" i="285" s="1"/>
  <c r="H28" i="285"/>
  <c r="H140" i="285" s="1"/>
  <c r="L28" i="285"/>
  <c r="L140" i="285" s="1"/>
  <c r="Z140" i="285" s="1"/>
  <c r="P28" i="285"/>
  <c r="P140" i="285" s="1"/>
  <c r="E29" i="285"/>
  <c r="E141" i="285" s="1"/>
  <c r="I29" i="285"/>
  <c r="I141" i="285" s="1"/>
  <c r="M29" i="285"/>
  <c r="M141" i="285" s="1"/>
  <c r="B30" i="285"/>
  <c r="B142" i="285" s="1"/>
  <c r="T142" i="285" s="1"/>
  <c r="F30" i="285"/>
  <c r="F142" i="285" s="1"/>
  <c r="V142" i="285" s="1"/>
  <c r="J30" i="285"/>
  <c r="J142" i="285" s="1"/>
  <c r="N30" i="285"/>
  <c r="N142" i="285" s="1"/>
  <c r="C31" i="285"/>
  <c r="C143" i="285" s="1"/>
  <c r="G31" i="285"/>
  <c r="G143" i="285" s="1"/>
  <c r="K31" i="285"/>
  <c r="K143" i="285" s="1"/>
  <c r="X143" i="285" s="1"/>
  <c r="O31" i="285"/>
  <c r="O143" i="285" s="1"/>
  <c r="D32" i="285"/>
  <c r="H32" i="285"/>
  <c r="L32" i="285"/>
  <c r="B33" i="285"/>
  <c r="B145" i="285" s="1"/>
  <c r="H33" i="285"/>
  <c r="H145" i="285" s="1"/>
  <c r="M33" i="285"/>
  <c r="M145" i="285" s="1"/>
  <c r="B23" i="291"/>
  <c r="B135" i="291" s="1"/>
  <c r="T135" i="291" s="1"/>
  <c r="I26" i="291"/>
  <c r="I138" i="291" s="1"/>
  <c r="O23" i="291"/>
  <c r="O135" i="291" s="1"/>
  <c r="N23" i="285"/>
  <c r="N135" i="285" s="1"/>
  <c r="M23" i="291"/>
  <c r="M135" i="291" s="1"/>
  <c r="L23" i="285"/>
  <c r="L135" i="285" s="1"/>
  <c r="Z135" i="285" s="1"/>
  <c r="L23" i="291"/>
  <c r="L135" i="291" s="1"/>
  <c r="Z135" i="291" s="1"/>
  <c r="K23" i="285"/>
  <c r="K135" i="285" s="1"/>
  <c r="X135" i="285" s="1"/>
  <c r="K23" i="291"/>
  <c r="K135" i="291" s="1"/>
  <c r="X135" i="291" s="1"/>
  <c r="I23" i="285"/>
  <c r="I135" i="285" s="1"/>
  <c r="W135" i="285" s="1"/>
  <c r="I23" i="291"/>
  <c r="I135" i="291" s="1"/>
  <c r="H23" i="291"/>
  <c r="H135" i="291" s="1"/>
  <c r="H23" i="285"/>
  <c r="H135" i="285" s="1"/>
  <c r="F23" i="291"/>
  <c r="F135" i="291" s="1"/>
  <c r="S142" i="289"/>
  <c r="F23" i="285"/>
  <c r="F135" i="285" s="1"/>
  <c r="W140" i="285"/>
  <c r="B141" i="285"/>
  <c r="T141" i="285" s="1"/>
  <c r="S148" i="289"/>
  <c r="S149" i="289"/>
  <c r="S150" i="289"/>
  <c r="S151" i="289"/>
  <c r="S152" i="289"/>
  <c r="S154" i="289"/>
  <c r="R142" i="289"/>
  <c r="R144" i="289"/>
  <c r="R146" i="289"/>
  <c r="R148" i="289"/>
  <c r="R150" i="289"/>
  <c r="R152" i="289"/>
  <c r="R143" i="289"/>
  <c r="R145" i="289"/>
  <c r="R147" i="289"/>
  <c r="R149" i="289"/>
  <c r="R151" i="289"/>
  <c r="R154" i="289"/>
  <c r="V141" i="285" l="1"/>
  <c r="AA137" i="291"/>
  <c r="AB137" i="291" s="1"/>
  <c r="W146" i="285"/>
  <c r="W141" i="291"/>
  <c r="W136" i="291"/>
  <c r="V147" i="291"/>
  <c r="V144" i="291"/>
  <c r="W145" i="285"/>
  <c r="AA146" i="285"/>
  <c r="AB146" i="285" s="1"/>
  <c r="V146" i="285"/>
  <c r="R35" i="291"/>
  <c r="C42" i="290" s="1"/>
  <c r="B147" i="291"/>
  <c r="U147" i="291"/>
  <c r="AA147" i="291"/>
  <c r="AB147" i="291" s="1"/>
  <c r="W147" i="291"/>
  <c r="K146" i="291"/>
  <c r="X146" i="291" s="1"/>
  <c r="K146" i="285"/>
  <c r="X146" i="285" s="1"/>
  <c r="L145" i="291"/>
  <c r="Z145" i="291" s="1"/>
  <c r="B146" i="291"/>
  <c r="T146" i="291" s="1"/>
  <c r="L146" i="291"/>
  <c r="Z146" i="291" s="1"/>
  <c r="K145" i="285"/>
  <c r="X145" i="285" s="1"/>
  <c r="L145" i="285"/>
  <c r="Z145" i="285" s="1"/>
  <c r="J146" i="291"/>
  <c r="W146" i="291" s="1"/>
  <c r="K145" i="291"/>
  <c r="X145" i="291" s="1"/>
  <c r="B146" i="285"/>
  <c r="T146" i="285" s="1"/>
  <c r="R34" i="285"/>
  <c r="U146" i="285"/>
  <c r="H144" i="285"/>
  <c r="G144" i="285"/>
  <c r="L144" i="285"/>
  <c r="Z144" i="285" s="1"/>
  <c r="K144" i="285"/>
  <c r="X144" i="285" s="1"/>
  <c r="O144" i="285"/>
  <c r="J144" i="285"/>
  <c r="W144" i="285" s="1"/>
  <c r="D144" i="285"/>
  <c r="C144" i="285"/>
  <c r="N144" i="285"/>
  <c r="P144" i="285"/>
  <c r="G147" i="285"/>
  <c r="M147" i="285"/>
  <c r="J147" i="285"/>
  <c r="F147" i="285"/>
  <c r="E147" i="285"/>
  <c r="C147" i="285"/>
  <c r="N147" i="285"/>
  <c r="I147" i="285"/>
  <c r="O147" i="285"/>
  <c r="P147" i="285"/>
  <c r="L147" i="285"/>
  <c r="Z147" i="285" s="1"/>
  <c r="H147" i="285"/>
  <c r="D147" i="285"/>
  <c r="AA138" i="285"/>
  <c r="AB138" i="285" s="1"/>
  <c r="V142" i="291"/>
  <c r="AA141" i="285"/>
  <c r="AB141" i="285" s="1"/>
  <c r="W137" i="285"/>
  <c r="V141" i="291"/>
  <c r="U141" i="285"/>
  <c r="U146" i="291"/>
  <c r="U142" i="291"/>
  <c r="U145" i="291"/>
  <c r="U141" i="291"/>
  <c r="W145" i="291"/>
  <c r="U139" i="291"/>
  <c r="U145" i="285"/>
  <c r="W141" i="285"/>
  <c r="V138" i="285"/>
  <c r="Y138" i="285" s="1"/>
  <c r="U136" i="285"/>
  <c r="V143" i="285"/>
  <c r="U140" i="285"/>
  <c r="U143" i="291"/>
  <c r="U135" i="291"/>
  <c r="W142" i="285"/>
  <c r="Y142" i="285" s="1"/>
  <c r="AA140" i="285"/>
  <c r="AB140" i="285" s="1"/>
  <c r="AA142" i="285"/>
  <c r="AB142" i="285" s="1"/>
  <c r="V139" i="285"/>
  <c r="Y139" i="285" s="1"/>
  <c r="AA144" i="291"/>
  <c r="AB144" i="291" s="1"/>
  <c r="V146" i="291"/>
  <c r="AA143" i="285"/>
  <c r="AB143" i="285" s="1"/>
  <c r="W144" i="291"/>
  <c r="AA138" i="291"/>
  <c r="AB138" i="291" s="1"/>
  <c r="V138" i="291"/>
  <c r="V143" i="291"/>
  <c r="R142" i="291"/>
  <c r="E38" i="290" s="1"/>
  <c r="O38" i="290" s="1"/>
  <c r="U137" i="291"/>
  <c r="V140" i="291"/>
  <c r="U144" i="291"/>
  <c r="W137" i="291"/>
  <c r="R142" i="285"/>
  <c r="E38" i="288" s="1"/>
  <c r="O38" i="288" s="1"/>
  <c r="AA145" i="285"/>
  <c r="U137" i="285"/>
  <c r="AA136" i="285"/>
  <c r="AB136" i="285" s="1"/>
  <c r="AA135" i="285"/>
  <c r="AB135" i="285" s="1"/>
  <c r="W136" i="285"/>
  <c r="R29" i="285"/>
  <c r="C37" i="288" s="1"/>
  <c r="V145" i="285"/>
  <c r="U135" i="285"/>
  <c r="R144" i="291"/>
  <c r="E40" i="290" s="1"/>
  <c r="O40" i="290" s="1"/>
  <c r="AA139" i="291"/>
  <c r="AB139" i="291" s="1"/>
  <c r="R33" i="291"/>
  <c r="W140" i="291"/>
  <c r="V140" i="285"/>
  <c r="R140" i="291"/>
  <c r="E36" i="290" s="1"/>
  <c r="O36" i="290" s="1"/>
  <c r="R139" i="291"/>
  <c r="E35" i="290" s="1"/>
  <c r="O35" i="290" s="1"/>
  <c r="R138" i="291"/>
  <c r="E34" i="290" s="1"/>
  <c r="O34" i="290" s="1"/>
  <c r="AA143" i="291"/>
  <c r="AB143" i="291" s="1"/>
  <c r="AA145" i="291"/>
  <c r="AA146" i="291"/>
  <c r="AA142" i="291"/>
  <c r="AB142" i="291" s="1"/>
  <c r="AA141" i="291"/>
  <c r="AB141" i="291" s="1"/>
  <c r="V139" i="291"/>
  <c r="V145" i="291"/>
  <c r="AA140" i="291"/>
  <c r="AB140" i="291" s="1"/>
  <c r="R26" i="285"/>
  <c r="C34" i="288" s="1"/>
  <c r="R143" i="285"/>
  <c r="E39" i="288" s="1"/>
  <c r="O39" i="288" s="1"/>
  <c r="AA139" i="285"/>
  <c r="AB139" i="285" s="1"/>
  <c r="R138" i="285"/>
  <c r="E34" i="288" s="1"/>
  <c r="O34" i="288" s="1"/>
  <c r="R32" i="291"/>
  <c r="C40" i="290" s="1"/>
  <c r="W138" i="291"/>
  <c r="R137" i="285"/>
  <c r="E33" i="288" s="1"/>
  <c r="O33" i="288" s="1"/>
  <c r="AA136" i="291"/>
  <c r="AB136" i="291" s="1"/>
  <c r="AA137" i="285"/>
  <c r="AB137" i="285" s="1"/>
  <c r="R25" i="285"/>
  <c r="C33" i="288" s="1"/>
  <c r="V137" i="291"/>
  <c r="V136" i="291"/>
  <c r="R136" i="291"/>
  <c r="E32" i="290" s="1"/>
  <c r="O32" i="290" s="1"/>
  <c r="R136" i="285"/>
  <c r="E32" i="288" s="1"/>
  <c r="O32" i="288" s="1"/>
  <c r="V135" i="285"/>
  <c r="V135" i="291"/>
  <c r="R28" i="291"/>
  <c r="C36" i="290" s="1"/>
  <c r="R32" i="285"/>
  <c r="C40" i="288" s="1"/>
  <c r="R34" i="291"/>
  <c r="R31" i="291"/>
  <c r="C39" i="290" s="1"/>
  <c r="R31" i="285"/>
  <c r="C39" i="288" s="1"/>
  <c r="U138" i="291"/>
  <c r="R139" i="285"/>
  <c r="E35" i="288" s="1"/>
  <c r="O35" i="288" s="1"/>
  <c r="R25" i="291"/>
  <c r="C33" i="290" s="1"/>
  <c r="V137" i="285"/>
  <c r="AA135" i="291"/>
  <c r="AB135" i="291" s="1"/>
  <c r="U136" i="291"/>
  <c r="R24" i="291"/>
  <c r="C32" i="290" s="1"/>
  <c r="R28" i="285"/>
  <c r="C36" i="288" s="1"/>
  <c r="R30" i="291"/>
  <c r="C38" i="290" s="1"/>
  <c r="R35" i="285"/>
  <c r="C42" i="288" s="1"/>
  <c r="R27" i="291"/>
  <c r="C35" i="290" s="1"/>
  <c r="R27" i="285"/>
  <c r="C35" i="288" s="1"/>
  <c r="R140" i="285"/>
  <c r="E36" i="288" s="1"/>
  <c r="O36" i="288" s="1"/>
  <c r="R143" i="291"/>
  <c r="E39" i="290" s="1"/>
  <c r="O39" i="290" s="1"/>
  <c r="T145" i="291"/>
  <c r="R29" i="291"/>
  <c r="C37" i="290" s="1"/>
  <c r="V136" i="285"/>
  <c r="U140" i="291"/>
  <c r="R24" i="285"/>
  <c r="C32" i="288" s="1"/>
  <c r="R26" i="291"/>
  <c r="C34" i="290" s="1"/>
  <c r="R30" i="285"/>
  <c r="C38" i="288" s="1"/>
  <c r="U143" i="285"/>
  <c r="R33" i="285"/>
  <c r="R135" i="285"/>
  <c r="E31" i="288" s="1"/>
  <c r="O31" i="288" s="1"/>
  <c r="R135" i="291"/>
  <c r="E31" i="290" s="1"/>
  <c r="O31" i="290" s="1"/>
  <c r="R23" i="285"/>
  <c r="C31" i="288" s="1"/>
  <c r="W135" i="291"/>
  <c r="R23" i="291"/>
  <c r="C31" i="290" s="1"/>
  <c r="R141" i="285"/>
  <c r="E37" i="288" s="1"/>
  <c r="O37" i="288" s="1"/>
  <c r="R137" i="291"/>
  <c r="E33" i="290" s="1"/>
  <c r="O33" i="290" s="1"/>
  <c r="R141" i="291"/>
  <c r="E37" i="290" s="1"/>
  <c r="O37" i="290" s="1"/>
  <c r="Q80" i="289"/>
  <c r="Q21" i="289"/>
  <c r="R146" i="291" l="1"/>
  <c r="R147" i="291"/>
  <c r="T147" i="291"/>
  <c r="Y147" i="291" s="1"/>
  <c r="AC147" i="291" s="1"/>
  <c r="C41" i="288"/>
  <c r="V144" i="285"/>
  <c r="C41" i="290"/>
  <c r="W147" i="285"/>
  <c r="AA144" i="285"/>
  <c r="AB144" i="285" s="1"/>
  <c r="AB146" i="291"/>
  <c r="AB145" i="291"/>
  <c r="AB145" i="285"/>
  <c r="Y146" i="285"/>
  <c r="AC146" i="285" s="1"/>
  <c r="R145" i="285"/>
  <c r="R146" i="285"/>
  <c r="T145" i="285"/>
  <c r="Y145" i="285" s="1"/>
  <c r="U144" i="285"/>
  <c r="R147" i="285"/>
  <c r="E42" i="288" s="1"/>
  <c r="O42" i="288" s="1"/>
  <c r="R144" i="285"/>
  <c r="E40" i="288" s="1"/>
  <c r="O40" i="288" s="1"/>
  <c r="V147" i="285"/>
  <c r="AA147" i="285"/>
  <c r="AB147" i="285" s="1"/>
  <c r="U147" i="285"/>
  <c r="Y138" i="291"/>
  <c r="AC138" i="291" s="1"/>
  <c r="Y146" i="291"/>
  <c r="Y142" i="291"/>
  <c r="AD142" i="291" s="1"/>
  <c r="Y143" i="291"/>
  <c r="AC143" i="291" s="1"/>
  <c r="Y139" i="291"/>
  <c r="AC139" i="291" s="1"/>
  <c r="Y143" i="285"/>
  <c r="AD143" i="285" s="1"/>
  <c r="Y141" i="291"/>
  <c r="AC141" i="291" s="1"/>
  <c r="Y135" i="285"/>
  <c r="AC135" i="285" s="1"/>
  <c r="Y141" i="285"/>
  <c r="AC141" i="285" s="1"/>
  <c r="AD138" i="285"/>
  <c r="Y140" i="285"/>
  <c r="AD140" i="285" s="1"/>
  <c r="AD142" i="285"/>
  <c r="Y136" i="285"/>
  <c r="AD136" i="285" s="1"/>
  <c r="Y144" i="291"/>
  <c r="AC144" i="291" s="1"/>
  <c r="AC139" i="285"/>
  <c r="Y145" i="291"/>
  <c r="Y137" i="291"/>
  <c r="AC137" i="291" s="1"/>
  <c r="Y140" i="291"/>
  <c r="AC140" i="291" s="1"/>
  <c r="Y137" i="285"/>
  <c r="AD137" i="285" s="1"/>
  <c r="AC138" i="285"/>
  <c r="R145" i="291"/>
  <c r="Y136" i="291"/>
  <c r="AD136" i="291" s="1"/>
  <c r="Y135" i="291"/>
  <c r="AD135" i="291" s="1"/>
  <c r="AD139" i="285"/>
  <c r="AC142" i="285"/>
  <c r="A128" i="291"/>
  <c r="A129" i="291"/>
  <c r="A130" i="291"/>
  <c r="A131" i="291"/>
  <c r="A132" i="291"/>
  <c r="A134" i="291"/>
  <c r="C20" i="291"/>
  <c r="C132" i="291" s="1"/>
  <c r="A134" i="285"/>
  <c r="A128" i="285"/>
  <c r="A129" i="285"/>
  <c r="A130" i="285"/>
  <c r="A131" i="285"/>
  <c r="A132" i="285"/>
  <c r="E20" i="285"/>
  <c r="E132" i="285" s="1"/>
  <c r="Q78" i="289"/>
  <c r="R78" i="289" s="1"/>
  <c r="R83" i="289"/>
  <c r="R82" i="289"/>
  <c r="R81" i="289"/>
  <c r="R80" i="289"/>
  <c r="R79" i="289"/>
  <c r="R25" i="289"/>
  <c r="R23" i="289"/>
  <c r="R22" i="289"/>
  <c r="R21" i="289"/>
  <c r="R20" i="289"/>
  <c r="Q19" i="289"/>
  <c r="R19" i="289" s="1"/>
  <c r="Q141" i="289"/>
  <c r="P141" i="289"/>
  <c r="O141" i="289"/>
  <c r="N141" i="289"/>
  <c r="M141" i="289"/>
  <c r="L141" i="289"/>
  <c r="K141" i="289"/>
  <c r="J141" i="289"/>
  <c r="I141" i="289"/>
  <c r="H141" i="289"/>
  <c r="G141" i="289"/>
  <c r="F141" i="289"/>
  <c r="F22" i="291" s="1"/>
  <c r="F134" i="291" s="1"/>
  <c r="E141" i="289"/>
  <c r="D141" i="289"/>
  <c r="C141" i="289"/>
  <c r="B141" i="289"/>
  <c r="Q138" i="289"/>
  <c r="P138" i="289"/>
  <c r="O138" i="289"/>
  <c r="N138" i="289"/>
  <c r="M138" i="289"/>
  <c r="L138" i="289"/>
  <c r="K138" i="289"/>
  <c r="J138" i="289"/>
  <c r="I138" i="289"/>
  <c r="H138" i="289"/>
  <c r="G138" i="289"/>
  <c r="F138" i="289"/>
  <c r="F19" i="291" s="1"/>
  <c r="F131" i="291" s="1"/>
  <c r="E138" i="289"/>
  <c r="D138" i="289"/>
  <c r="C138" i="289"/>
  <c r="B138" i="289"/>
  <c r="Q137" i="289"/>
  <c r="P137" i="289"/>
  <c r="O137" i="289"/>
  <c r="N137" i="289"/>
  <c r="M137" i="289"/>
  <c r="L137" i="289"/>
  <c r="K137" i="289"/>
  <c r="J137" i="289"/>
  <c r="I137" i="289"/>
  <c r="I18" i="285" s="1"/>
  <c r="I130" i="285" s="1"/>
  <c r="H137" i="289"/>
  <c r="G137" i="289"/>
  <c r="F137" i="289"/>
  <c r="E137" i="289"/>
  <c r="D137" i="289"/>
  <c r="C137" i="289"/>
  <c r="B137" i="289"/>
  <c r="P136" i="289"/>
  <c r="P17" i="285" s="1"/>
  <c r="P129" i="285" s="1"/>
  <c r="O136" i="289"/>
  <c r="N136" i="289"/>
  <c r="M136" i="289"/>
  <c r="L136" i="289"/>
  <c r="L17" i="285" s="1"/>
  <c r="L129" i="285" s="1"/>
  <c r="Z129" i="285" s="1"/>
  <c r="K136" i="289"/>
  <c r="J136" i="289"/>
  <c r="I136" i="289"/>
  <c r="H136" i="289"/>
  <c r="G136" i="289"/>
  <c r="F136" i="289"/>
  <c r="F17" i="291" s="1"/>
  <c r="F129" i="291" s="1"/>
  <c r="E136" i="289"/>
  <c r="D136" i="289"/>
  <c r="C136" i="289"/>
  <c r="B136" i="289"/>
  <c r="P135" i="289"/>
  <c r="P16" i="291" s="1"/>
  <c r="P128" i="291" s="1"/>
  <c r="O135" i="289"/>
  <c r="O16" i="291" s="1"/>
  <c r="O128" i="291" s="1"/>
  <c r="N135" i="289"/>
  <c r="M135" i="289"/>
  <c r="L135" i="289"/>
  <c r="L16" i="291" s="1"/>
  <c r="L128" i="291" s="1"/>
  <c r="Z128" i="291" s="1"/>
  <c r="K135" i="289"/>
  <c r="K16" i="285" s="1"/>
  <c r="K128" i="285" s="1"/>
  <c r="X128" i="285" s="1"/>
  <c r="J135" i="289"/>
  <c r="I135" i="289"/>
  <c r="H135" i="289"/>
  <c r="H16" i="291" s="1"/>
  <c r="H128" i="291" s="1"/>
  <c r="G135" i="289"/>
  <c r="F135" i="289"/>
  <c r="E135" i="289"/>
  <c r="D135" i="289"/>
  <c r="D16" i="291" s="1"/>
  <c r="D128" i="291" s="1"/>
  <c r="C135" i="289"/>
  <c r="C16" i="291" s="1"/>
  <c r="C128" i="291" s="1"/>
  <c r="B135" i="289"/>
  <c r="AD145" i="285" l="1"/>
  <c r="E41" i="290"/>
  <c r="O41" i="290" s="1"/>
  <c r="Y144" i="285"/>
  <c r="AD144" i="285" s="1"/>
  <c r="E42" i="290"/>
  <c r="O42" i="290" s="1"/>
  <c r="AD147" i="291"/>
  <c r="AC146" i="291"/>
  <c r="AD146" i="285"/>
  <c r="E41" i="288"/>
  <c r="O41" i="288" s="1"/>
  <c r="AC145" i="291"/>
  <c r="Y147" i="285"/>
  <c r="AC145" i="285"/>
  <c r="AC142" i="291"/>
  <c r="AD138" i="291"/>
  <c r="AD146" i="291"/>
  <c r="AD141" i="285"/>
  <c r="AC143" i="285"/>
  <c r="AD139" i="291"/>
  <c r="AD143" i="291"/>
  <c r="AD141" i="291"/>
  <c r="B22" i="285"/>
  <c r="B134" i="285" s="1"/>
  <c r="T134" i="285" s="1"/>
  <c r="AD135" i="285"/>
  <c r="AC140" i="285"/>
  <c r="AC144" i="285"/>
  <c r="AD144" i="291"/>
  <c r="AD140" i="291"/>
  <c r="AC136" i="285"/>
  <c r="AD137" i="291"/>
  <c r="AC137" i="285"/>
  <c r="AC136" i="291"/>
  <c r="AD145" i="291"/>
  <c r="E19" i="291"/>
  <c r="E131" i="291" s="1"/>
  <c r="AC135" i="291"/>
  <c r="S138" i="289"/>
  <c r="S136" i="289"/>
  <c r="E19" i="285"/>
  <c r="E131" i="285" s="1"/>
  <c r="S137" i="289"/>
  <c r="J19" i="285"/>
  <c r="J131" i="285" s="1"/>
  <c r="I17" i="285"/>
  <c r="I129" i="285" s="1"/>
  <c r="E18" i="291"/>
  <c r="E130" i="291" s="1"/>
  <c r="O22" i="291"/>
  <c r="O134" i="291" s="1"/>
  <c r="J22" i="291"/>
  <c r="J134" i="291" s="1"/>
  <c r="J22" i="285"/>
  <c r="J134" i="285" s="1"/>
  <c r="G22" i="285"/>
  <c r="G134" i="285" s="1"/>
  <c r="G22" i="291"/>
  <c r="G134" i="291" s="1"/>
  <c r="E22" i="285"/>
  <c r="E134" i="285" s="1"/>
  <c r="E22" i="291"/>
  <c r="E134" i="291" s="1"/>
  <c r="D22" i="285"/>
  <c r="D134" i="285" s="1"/>
  <c r="D22" i="291"/>
  <c r="D134" i="291" s="1"/>
  <c r="C22" i="285"/>
  <c r="C134" i="285" s="1"/>
  <c r="S141" i="289"/>
  <c r="C22" i="291"/>
  <c r="C134" i="291" s="1"/>
  <c r="B22" i="291"/>
  <c r="S135" i="289"/>
  <c r="H17" i="285"/>
  <c r="H129" i="285" s="1"/>
  <c r="B17" i="291"/>
  <c r="B129" i="291" s="1"/>
  <c r="T129" i="291" s="1"/>
  <c r="H17" i="291"/>
  <c r="H129" i="291" s="1"/>
  <c r="D20" i="291"/>
  <c r="E16" i="291"/>
  <c r="E128" i="291" s="1"/>
  <c r="U128" i="291" s="1"/>
  <c r="M16" i="291"/>
  <c r="M128" i="291" s="1"/>
  <c r="I16" i="291"/>
  <c r="I128" i="291" s="1"/>
  <c r="J16" i="291"/>
  <c r="J128" i="291" s="1"/>
  <c r="F16" i="291"/>
  <c r="F128" i="291" s="1"/>
  <c r="N16" i="291"/>
  <c r="N128" i="291" s="1"/>
  <c r="L22" i="285"/>
  <c r="L134" i="285" s="1"/>
  <c r="Z134" i="285" s="1"/>
  <c r="L20" i="285"/>
  <c r="L22" i="291"/>
  <c r="L134" i="291" s="1"/>
  <c r="Z134" i="291" s="1"/>
  <c r="P22" i="291"/>
  <c r="P134" i="291" s="1"/>
  <c r="P20" i="285"/>
  <c r="P132" i="285" s="1"/>
  <c r="P22" i="285"/>
  <c r="P134" i="285" s="1"/>
  <c r="O22" i="285"/>
  <c r="O134" i="285" s="1"/>
  <c r="N22" i="285"/>
  <c r="N134" i="285" s="1"/>
  <c r="N22" i="291"/>
  <c r="N134" i="291" s="1"/>
  <c r="M22" i="285"/>
  <c r="M134" i="285" s="1"/>
  <c r="M22" i="291"/>
  <c r="M134" i="291" s="1"/>
  <c r="K22" i="291"/>
  <c r="K134" i="291" s="1"/>
  <c r="X134" i="291" s="1"/>
  <c r="K22" i="285"/>
  <c r="K134" i="285" s="1"/>
  <c r="X134" i="285" s="1"/>
  <c r="I22" i="285"/>
  <c r="I134" i="285" s="1"/>
  <c r="I22" i="291"/>
  <c r="I134" i="291" s="1"/>
  <c r="R141" i="289"/>
  <c r="H22" i="285"/>
  <c r="H134" i="285" s="1"/>
  <c r="H22" i="291"/>
  <c r="H134" i="291" s="1"/>
  <c r="F22" i="285"/>
  <c r="F134" i="285" s="1"/>
  <c r="C20" i="285"/>
  <c r="C132" i="285" s="1"/>
  <c r="J20" i="285"/>
  <c r="J132" i="285" s="1"/>
  <c r="J20" i="291"/>
  <c r="J132" i="291" s="1"/>
  <c r="P20" i="291"/>
  <c r="P132" i="291" s="1"/>
  <c r="O20" i="285"/>
  <c r="O132" i="285" s="1"/>
  <c r="N20" i="291"/>
  <c r="N132" i="291" s="1"/>
  <c r="L20" i="291"/>
  <c r="G20" i="291"/>
  <c r="G132" i="291" s="1"/>
  <c r="G20" i="285"/>
  <c r="G132" i="285" s="1"/>
  <c r="F20" i="291"/>
  <c r="F132" i="291" s="1"/>
  <c r="E20" i="291"/>
  <c r="E132" i="291" s="1"/>
  <c r="D20" i="285"/>
  <c r="D132" i="285" s="1"/>
  <c r="B20" i="285"/>
  <c r="B132" i="285" s="1"/>
  <c r="B20" i="291"/>
  <c r="O20" i="291"/>
  <c r="O132" i="291" s="1"/>
  <c r="N20" i="285"/>
  <c r="N132" i="285" s="1"/>
  <c r="M19" i="291"/>
  <c r="M131" i="291" s="1"/>
  <c r="M20" i="285"/>
  <c r="M132" i="285" s="1"/>
  <c r="M20" i="291"/>
  <c r="M132" i="291" s="1"/>
  <c r="K20" i="285"/>
  <c r="K20" i="291"/>
  <c r="I20" i="291"/>
  <c r="I132" i="291" s="1"/>
  <c r="I20" i="285"/>
  <c r="I132" i="285" s="1"/>
  <c r="H20" i="291"/>
  <c r="H132" i="291" s="1"/>
  <c r="H20" i="285"/>
  <c r="H132" i="285" s="1"/>
  <c r="H19" i="285"/>
  <c r="H131" i="285" s="1"/>
  <c r="F20" i="285"/>
  <c r="F132" i="285" s="1"/>
  <c r="C19" i="285"/>
  <c r="C131" i="285" s="1"/>
  <c r="C19" i="291"/>
  <c r="C131" i="291" s="1"/>
  <c r="J19" i="291"/>
  <c r="J131" i="291" s="1"/>
  <c r="M19" i="285"/>
  <c r="M131" i="285" s="1"/>
  <c r="L19" i="285"/>
  <c r="L131" i="285" s="1"/>
  <c r="Z131" i="285" s="1"/>
  <c r="L19" i="291"/>
  <c r="L131" i="291" s="1"/>
  <c r="Z131" i="291" s="1"/>
  <c r="K19" i="291"/>
  <c r="K131" i="291" s="1"/>
  <c r="X131" i="291" s="1"/>
  <c r="H19" i="291"/>
  <c r="H131" i="291" s="1"/>
  <c r="G19" i="285"/>
  <c r="G131" i="285" s="1"/>
  <c r="G19" i="291"/>
  <c r="G131" i="291" s="1"/>
  <c r="D19" i="285"/>
  <c r="D131" i="285" s="1"/>
  <c r="D19" i="291"/>
  <c r="D131" i="291" s="1"/>
  <c r="B19" i="291"/>
  <c r="B131" i="291" s="1"/>
  <c r="T131" i="291" s="1"/>
  <c r="B19" i="285"/>
  <c r="B131" i="285" s="1"/>
  <c r="T131" i="285" s="1"/>
  <c r="C16" i="285"/>
  <c r="C128" i="285" s="1"/>
  <c r="G16" i="285"/>
  <c r="G128" i="285" s="1"/>
  <c r="O16" i="285"/>
  <c r="O128" i="285" s="1"/>
  <c r="D16" i="285"/>
  <c r="D128" i="285" s="1"/>
  <c r="H16" i="285"/>
  <c r="H128" i="285" s="1"/>
  <c r="L16" i="285"/>
  <c r="L128" i="285" s="1"/>
  <c r="Z128" i="285" s="1"/>
  <c r="P16" i="285"/>
  <c r="P128" i="285" s="1"/>
  <c r="B16" i="291"/>
  <c r="B128" i="291" s="1"/>
  <c r="T128" i="291" s="1"/>
  <c r="E16" i="285"/>
  <c r="E128" i="285" s="1"/>
  <c r="I16" i="285"/>
  <c r="I128" i="285" s="1"/>
  <c r="M16" i="285"/>
  <c r="M128" i="285" s="1"/>
  <c r="G16" i="291"/>
  <c r="G128" i="291" s="1"/>
  <c r="K16" i="291"/>
  <c r="K128" i="291" s="1"/>
  <c r="X128" i="291" s="1"/>
  <c r="B16" i="285"/>
  <c r="B128" i="285" s="1"/>
  <c r="T128" i="285" s="1"/>
  <c r="F16" i="285"/>
  <c r="F128" i="285" s="1"/>
  <c r="J16" i="285"/>
  <c r="J128" i="285" s="1"/>
  <c r="N16" i="285"/>
  <c r="N128" i="285" s="1"/>
  <c r="P19" i="291"/>
  <c r="P131" i="291" s="1"/>
  <c r="P19" i="285"/>
  <c r="P131" i="285" s="1"/>
  <c r="O19" i="285"/>
  <c r="O131" i="285" s="1"/>
  <c r="O19" i="291"/>
  <c r="O131" i="291" s="1"/>
  <c r="N19" i="291"/>
  <c r="N131" i="291" s="1"/>
  <c r="N19" i="285"/>
  <c r="N131" i="285" s="1"/>
  <c r="K19" i="285"/>
  <c r="K131" i="285" s="1"/>
  <c r="X131" i="285" s="1"/>
  <c r="I19" i="291"/>
  <c r="I131" i="291" s="1"/>
  <c r="I19" i="285"/>
  <c r="I131" i="285" s="1"/>
  <c r="R138" i="289"/>
  <c r="F19" i="285"/>
  <c r="F131" i="285" s="1"/>
  <c r="N18" i="291"/>
  <c r="N130" i="291" s="1"/>
  <c r="O18" i="291"/>
  <c r="O130" i="291" s="1"/>
  <c r="O18" i="285"/>
  <c r="O130" i="285" s="1"/>
  <c r="N18" i="285"/>
  <c r="N130" i="285" s="1"/>
  <c r="J18" i="285"/>
  <c r="J130" i="285" s="1"/>
  <c r="W130" i="285" s="1"/>
  <c r="J18" i="291"/>
  <c r="J130" i="291" s="1"/>
  <c r="I18" i="291"/>
  <c r="I130" i="291" s="1"/>
  <c r="H18" i="285"/>
  <c r="H130" i="285" s="1"/>
  <c r="H18" i="291"/>
  <c r="H130" i="291" s="1"/>
  <c r="G18" i="285"/>
  <c r="G130" i="285" s="1"/>
  <c r="G18" i="291"/>
  <c r="G130" i="291" s="1"/>
  <c r="E18" i="285"/>
  <c r="E130" i="285" s="1"/>
  <c r="D18" i="291"/>
  <c r="D130" i="291" s="1"/>
  <c r="D18" i="285"/>
  <c r="D130" i="285" s="1"/>
  <c r="C18" i="291"/>
  <c r="C130" i="291" s="1"/>
  <c r="C18" i="285"/>
  <c r="C130" i="285" s="1"/>
  <c r="B18" i="285"/>
  <c r="B130" i="285" s="1"/>
  <c r="T130" i="285" s="1"/>
  <c r="B18" i="291"/>
  <c r="B130" i="291" s="1"/>
  <c r="T130" i="291" s="1"/>
  <c r="P18" i="285"/>
  <c r="P130" i="285" s="1"/>
  <c r="P18" i="291"/>
  <c r="P130" i="291" s="1"/>
  <c r="M18" i="291"/>
  <c r="M130" i="291" s="1"/>
  <c r="M18" i="285"/>
  <c r="M130" i="285" s="1"/>
  <c r="L18" i="285"/>
  <c r="L130" i="285" s="1"/>
  <c r="Z130" i="285" s="1"/>
  <c r="L18" i="291"/>
  <c r="L130" i="291" s="1"/>
  <c r="Z130" i="291" s="1"/>
  <c r="K18" i="291"/>
  <c r="K130" i="291" s="1"/>
  <c r="X130" i="291" s="1"/>
  <c r="K18" i="285"/>
  <c r="K130" i="285" s="1"/>
  <c r="X130" i="285" s="1"/>
  <c r="F18" i="291"/>
  <c r="F130" i="291" s="1"/>
  <c r="F18" i="285"/>
  <c r="F130" i="285" s="1"/>
  <c r="P17" i="291"/>
  <c r="P129" i="291" s="1"/>
  <c r="O17" i="285"/>
  <c r="O129" i="285" s="1"/>
  <c r="O17" i="291"/>
  <c r="O129" i="291" s="1"/>
  <c r="N17" i="285"/>
  <c r="N129" i="285" s="1"/>
  <c r="N17" i="291"/>
  <c r="N129" i="291" s="1"/>
  <c r="M17" i="291"/>
  <c r="M129" i="291" s="1"/>
  <c r="M17" i="285"/>
  <c r="M129" i="285" s="1"/>
  <c r="L17" i="291"/>
  <c r="L129" i="291" s="1"/>
  <c r="Z129" i="291" s="1"/>
  <c r="K17" i="291"/>
  <c r="K129" i="291" s="1"/>
  <c r="X129" i="291" s="1"/>
  <c r="K17" i="285"/>
  <c r="K129" i="285" s="1"/>
  <c r="X129" i="285" s="1"/>
  <c r="J17" i="285"/>
  <c r="J129" i="285" s="1"/>
  <c r="J17" i="291"/>
  <c r="J129" i="291" s="1"/>
  <c r="I17" i="291"/>
  <c r="I129" i="291" s="1"/>
  <c r="G17" i="291"/>
  <c r="G129" i="291" s="1"/>
  <c r="G17" i="285"/>
  <c r="G129" i="285" s="1"/>
  <c r="F17" i="285"/>
  <c r="F129" i="285" s="1"/>
  <c r="E17" i="285"/>
  <c r="E129" i="285" s="1"/>
  <c r="E17" i="291"/>
  <c r="E129" i="291" s="1"/>
  <c r="D17" i="285"/>
  <c r="D129" i="285" s="1"/>
  <c r="D17" i="291"/>
  <c r="D129" i="291" s="1"/>
  <c r="C17" i="291"/>
  <c r="C129" i="291" s="1"/>
  <c r="C17" i="285"/>
  <c r="C129" i="285" s="1"/>
  <c r="B17" i="285"/>
  <c r="B129" i="285" s="1"/>
  <c r="T129" i="285" s="1"/>
  <c r="Q136" i="289"/>
  <c r="R136" i="289" s="1"/>
  <c r="R137" i="289"/>
  <c r="AD147" i="285" l="1"/>
  <c r="AC147" i="285"/>
  <c r="W129" i="291"/>
  <c r="AA128" i="291"/>
  <c r="AB128" i="291" s="1"/>
  <c r="U131" i="291"/>
  <c r="W134" i="291"/>
  <c r="W129" i="285"/>
  <c r="W131" i="291"/>
  <c r="U134" i="291"/>
  <c r="U134" i="285"/>
  <c r="W134" i="285"/>
  <c r="K132" i="285"/>
  <c r="X132" i="285" s="1"/>
  <c r="L132" i="291"/>
  <c r="Z132" i="291" s="1"/>
  <c r="D132" i="291"/>
  <c r="U132" i="291" s="1"/>
  <c r="V129" i="291"/>
  <c r="W131" i="285"/>
  <c r="L132" i="285"/>
  <c r="Z132" i="285" s="1"/>
  <c r="B132" i="291"/>
  <c r="T132" i="291" s="1"/>
  <c r="K132" i="291"/>
  <c r="X132" i="291" s="1"/>
  <c r="V134" i="291"/>
  <c r="B134" i="291"/>
  <c r="T134" i="291" s="1"/>
  <c r="AA134" i="291"/>
  <c r="AB134" i="291" s="1"/>
  <c r="R22" i="291"/>
  <c r="C30" i="290" s="1"/>
  <c r="R22" i="285"/>
  <c r="C30" i="288" s="1"/>
  <c r="U132" i="285"/>
  <c r="AA134" i="285"/>
  <c r="AB134" i="285" s="1"/>
  <c r="U131" i="285"/>
  <c r="W128" i="291"/>
  <c r="V128" i="291"/>
  <c r="W128" i="285"/>
  <c r="W132" i="291"/>
  <c r="V131" i="285"/>
  <c r="U128" i="285"/>
  <c r="T132" i="285"/>
  <c r="AA132" i="285"/>
  <c r="V134" i="285"/>
  <c r="AA132" i="291"/>
  <c r="V132" i="291"/>
  <c r="R134" i="285"/>
  <c r="E30" i="288" s="1"/>
  <c r="O30" i="288" s="1"/>
  <c r="W132" i="285"/>
  <c r="R20" i="285"/>
  <c r="C29" i="288" s="1"/>
  <c r="V132" i="285"/>
  <c r="R20" i="291"/>
  <c r="C29" i="290" s="1"/>
  <c r="V131" i="291"/>
  <c r="V128" i="285"/>
  <c r="U129" i="291"/>
  <c r="AA131" i="291"/>
  <c r="AB131" i="291" s="1"/>
  <c r="AA128" i="285"/>
  <c r="AB128" i="285" s="1"/>
  <c r="R16" i="285"/>
  <c r="C25" i="288" s="1"/>
  <c r="V129" i="285"/>
  <c r="R128" i="291"/>
  <c r="E25" i="290" s="1"/>
  <c r="O25" i="290" s="1"/>
  <c r="R16" i="291"/>
  <c r="C25" i="290" s="1"/>
  <c r="R128" i="285"/>
  <c r="R19" i="291"/>
  <c r="C28" i="290" s="1"/>
  <c r="R131" i="291"/>
  <c r="E28" i="290" s="1"/>
  <c r="O28" i="290" s="1"/>
  <c r="V130" i="291"/>
  <c r="V130" i="285"/>
  <c r="R131" i="285"/>
  <c r="E28" i="288" s="1"/>
  <c r="O28" i="288" s="1"/>
  <c r="R17" i="285"/>
  <c r="C26" i="288" s="1"/>
  <c r="AA131" i="285"/>
  <c r="AB131" i="285" s="1"/>
  <c r="R19" i="285"/>
  <c r="C28" i="288" s="1"/>
  <c r="AA130" i="285"/>
  <c r="AB130" i="285" s="1"/>
  <c r="W130" i="291"/>
  <c r="U130" i="285"/>
  <c r="U130" i="291"/>
  <c r="AA130" i="291"/>
  <c r="AB130" i="291" s="1"/>
  <c r="AA129" i="291"/>
  <c r="AB129" i="291" s="1"/>
  <c r="R130" i="291"/>
  <c r="R18" i="285"/>
  <c r="C27" i="288" s="1"/>
  <c r="R130" i="285"/>
  <c r="E27" i="288" s="1"/>
  <c r="O27" i="288" s="1"/>
  <c r="R18" i="291"/>
  <c r="C27" i="290" s="1"/>
  <c r="AA129" i="285"/>
  <c r="AB129" i="285" s="1"/>
  <c r="R17" i="291"/>
  <c r="C26" i="290" s="1"/>
  <c r="R129" i="291"/>
  <c r="E26" i="290" s="1"/>
  <c r="O26" i="290" s="1"/>
  <c r="U129" i="285"/>
  <c r="R129" i="285"/>
  <c r="Q77" i="289"/>
  <c r="Q135" i="289" s="1"/>
  <c r="R135" i="289" s="1"/>
  <c r="Q18" i="289"/>
  <c r="Y129" i="291" l="1"/>
  <c r="AC129" i="291" s="1"/>
  <c r="Y131" i="285"/>
  <c r="AD131" i="285" s="1"/>
  <c r="Y131" i="291"/>
  <c r="AD131" i="291" s="1"/>
  <c r="R134" i="291"/>
  <c r="E30" i="290" s="1"/>
  <c r="O30" i="290" s="1"/>
  <c r="Y134" i="285"/>
  <c r="AD134" i="285" s="1"/>
  <c r="Y134" i="291"/>
  <c r="AC134" i="291" s="1"/>
  <c r="Y128" i="291"/>
  <c r="AC128" i="291" s="1"/>
  <c r="Y132" i="291"/>
  <c r="R132" i="291"/>
  <c r="E29" i="290" s="1"/>
  <c r="O29" i="290" s="1"/>
  <c r="AB132" i="291"/>
  <c r="AB132" i="285"/>
  <c r="Y129" i="285"/>
  <c r="AC129" i="285" s="1"/>
  <c r="R132" i="285"/>
  <c r="E29" i="288" s="1"/>
  <c r="O29" i="288" s="1"/>
  <c r="Y128" i="285"/>
  <c r="AD128" i="285" s="1"/>
  <c r="Y132" i="285"/>
  <c r="Y130" i="285"/>
  <c r="AD130" i="285" s="1"/>
  <c r="Y130" i="291"/>
  <c r="AD130" i="291" s="1"/>
  <c r="E27" i="290"/>
  <c r="O27" i="290" s="1"/>
  <c r="Q76" i="289"/>
  <c r="Q17" i="289"/>
  <c r="AD129" i="291" l="1"/>
  <c r="AC134" i="285"/>
  <c r="AC132" i="291"/>
  <c r="AD134" i="291"/>
  <c r="AD132" i="291"/>
  <c r="AD129" i="285"/>
  <c r="AC131" i="285"/>
  <c r="AC131" i="291"/>
  <c r="AD128" i="291"/>
  <c r="AC130" i="285"/>
  <c r="AC132" i="285"/>
  <c r="AD132" i="285"/>
  <c r="AC128" i="285"/>
  <c r="AC130" i="291"/>
  <c r="Q75" i="289"/>
  <c r="Q16" i="289"/>
  <c r="Q74" i="289" l="1"/>
  <c r="Q15" i="289"/>
  <c r="Q73" i="289" l="1"/>
  <c r="Q14" i="289"/>
  <c r="Q72" i="289" l="1"/>
  <c r="Q13" i="289"/>
  <c r="A119" i="291" l="1"/>
  <c r="A119" i="285"/>
  <c r="Q127" i="289"/>
  <c r="Q126" i="289"/>
  <c r="P127" i="289"/>
  <c r="O127" i="289"/>
  <c r="N127" i="289"/>
  <c r="M127" i="289"/>
  <c r="P126" i="289"/>
  <c r="O126" i="289"/>
  <c r="N126" i="289"/>
  <c r="M126" i="289"/>
  <c r="L127" i="289"/>
  <c r="L126" i="289"/>
  <c r="K127" i="289"/>
  <c r="K126" i="289"/>
  <c r="J127" i="289"/>
  <c r="I127" i="289"/>
  <c r="J126" i="289"/>
  <c r="I126" i="289"/>
  <c r="H127" i="289"/>
  <c r="G127" i="289"/>
  <c r="F127" i="289"/>
  <c r="H126" i="289"/>
  <c r="G126" i="289"/>
  <c r="F126" i="289"/>
  <c r="E127" i="289"/>
  <c r="D127" i="289"/>
  <c r="C127" i="289"/>
  <c r="E126" i="289"/>
  <c r="D126" i="289"/>
  <c r="C126" i="289"/>
  <c r="B7" i="291"/>
  <c r="B119" i="291" s="1"/>
  <c r="R10" i="289"/>
  <c r="S127" i="289" l="1"/>
  <c r="I7" i="285"/>
  <c r="I119" i="285" s="1"/>
  <c r="L7" i="285"/>
  <c r="L119" i="285" s="1"/>
  <c r="Z119" i="285" s="1"/>
  <c r="O7" i="285"/>
  <c r="O119" i="285" s="1"/>
  <c r="J7" i="285"/>
  <c r="J119" i="285" s="1"/>
  <c r="M7" i="291"/>
  <c r="M119" i="291" s="1"/>
  <c r="H7" i="291"/>
  <c r="H119" i="291" s="1"/>
  <c r="N7" i="291"/>
  <c r="N119" i="291" s="1"/>
  <c r="I7" i="291"/>
  <c r="I119" i="291" s="1"/>
  <c r="S126" i="289"/>
  <c r="L7" i="291"/>
  <c r="L119" i="291" s="1"/>
  <c r="Z119" i="291" s="1"/>
  <c r="C7" i="285"/>
  <c r="C119" i="285" s="1"/>
  <c r="M7" i="285"/>
  <c r="M119" i="285" s="1"/>
  <c r="C7" i="291"/>
  <c r="C119" i="291" s="1"/>
  <c r="J7" i="291"/>
  <c r="J119" i="291" s="1"/>
  <c r="H7" i="285"/>
  <c r="H119" i="285" s="1"/>
  <c r="N7" i="285"/>
  <c r="N119" i="285" s="1"/>
  <c r="E7" i="291"/>
  <c r="E119" i="291" s="1"/>
  <c r="O7" i="291"/>
  <c r="O119" i="291" s="1"/>
  <c r="P7" i="285"/>
  <c r="P119" i="285" s="1"/>
  <c r="P7" i="291"/>
  <c r="P119" i="291" s="1"/>
  <c r="K7" i="291"/>
  <c r="K119" i="291" s="1"/>
  <c r="X119" i="291" s="1"/>
  <c r="K7" i="285"/>
  <c r="K119" i="285" s="1"/>
  <c r="X119" i="285" s="1"/>
  <c r="E7" i="285"/>
  <c r="E119" i="285" s="1"/>
  <c r="D7" i="285"/>
  <c r="D119" i="285" s="1"/>
  <c r="D7" i="291"/>
  <c r="D119" i="291" s="1"/>
  <c r="G7" i="291"/>
  <c r="G119" i="291" s="1"/>
  <c r="G7" i="285"/>
  <c r="G119" i="285" s="1"/>
  <c r="F7" i="291"/>
  <c r="F119" i="291" s="1"/>
  <c r="F7" i="285"/>
  <c r="F119" i="285" s="1"/>
  <c r="B7" i="285"/>
  <c r="B119" i="285" s="1"/>
  <c r="T119" i="285" s="1"/>
  <c r="T119" i="291"/>
  <c r="R126" i="289"/>
  <c r="W119" i="285" l="1"/>
  <c r="AA119" i="291"/>
  <c r="AB119" i="291" s="1"/>
  <c r="U119" i="285"/>
  <c r="AA119" i="285"/>
  <c r="AB119" i="285" s="1"/>
  <c r="U119" i="291"/>
  <c r="W119" i="291"/>
  <c r="R7" i="291"/>
  <c r="V119" i="285"/>
  <c r="V119" i="291"/>
  <c r="R119" i="285"/>
  <c r="R119" i="291"/>
  <c r="R7" i="285"/>
  <c r="I8" i="289"/>
  <c r="Y119" i="291" l="1"/>
  <c r="AD119" i="291" s="1"/>
  <c r="Y119" i="285"/>
  <c r="AC119" i="285" s="1"/>
  <c r="AC119" i="291"/>
  <c r="A127" i="291"/>
  <c r="A126" i="291"/>
  <c r="A125" i="291"/>
  <c r="A124" i="291"/>
  <c r="A123" i="291"/>
  <c r="A122" i="291"/>
  <c r="A121" i="291"/>
  <c r="A120" i="291"/>
  <c r="A118" i="291"/>
  <c r="A117" i="291"/>
  <c r="A116" i="291"/>
  <c r="A127" i="285"/>
  <c r="A126" i="285"/>
  <c r="A125" i="285"/>
  <c r="A124" i="285"/>
  <c r="A123" i="285"/>
  <c r="A122" i="285"/>
  <c r="A121" i="285"/>
  <c r="A120" i="285"/>
  <c r="A118" i="285"/>
  <c r="A117" i="285"/>
  <c r="A116" i="285"/>
  <c r="D14" i="290"/>
  <c r="D14" i="288"/>
  <c r="Q134" i="289"/>
  <c r="P134" i="289"/>
  <c r="O134" i="289"/>
  <c r="N134" i="289"/>
  <c r="N15" i="285" s="1"/>
  <c r="M134" i="289"/>
  <c r="M15" i="285" s="1"/>
  <c r="L134" i="289"/>
  <c r="K134" i="289"/>
  <c r="K15" i="285" s="1"/>
  <c r="J134" i="289"/>
  <c r="J15" i="285" s="1"/>
  <c r="I134" i="289"/>
  <c r="I15" i="285" s="1"/>
  <c r="H134" i="289"/>
  <c r="G134" i="289"/>
  <c r="G15" i="285" s="1"/>
  <c r="F134" i="289"/>
  <c r="E134" i="289"/>
  <c r="D134" i="289"/>
  <c r="C134" i="289"/>
  <c r="B134" i="289"/>
  <c r="Q133" i="289"/>
  <c r="P133" i="289"/>
  <c r="P14" i="291" s="1"/>
  <c r="P126" i="291" s="1"/>
  <c r="O133" i="289"/>
  <c r="N133" i="289"/>
  <c r="M133" i="289"/>
  <c r="M14" i="291" s="1"/>
  <c r="L133" i="289"/>
  <c r="L14" i="291" s="1"/>
  <c r="K133" i="289"/>
  <c r="J133" i="289"/>
  <c r="I133" i="289"/>
  <c r="I14" i="291" s="1"/>
  <c r="H133" i="289"/>
  <c r="H14" i="291" s="1"/>
  <c r="G133" i="289"/>
  <c r="F133" i="289"/>
  <c r="E133" i="289"/>
  <c r="D133" i="289"/>
  <c r="D14" i="291" s="1"/>
  <c r="C133" i="289"/>
  <c r="B133" i="289"/>
  <c r="Q132" i="289"/>
  <c r="P132" i="289"/>
  <c r="O132" i="289"/>
  <c r="N132" i="289"/>
  <c r="M132" i="289"/>
  <c r="M13" i="285" s="1"/>
  <c r="L132" i="289"/>
  <c r="K132" i="289"/>
  <c r="J132" i="289"/>
  <c r="I132" i="289"/>
  <c r="I13" i="285" s="1"/>
  <c r="H132" i="289"/>
  <c r="G132" i="289"/>
  <c r="F132" i="289"/>
  <c r="E132" i="289"/>
  <c r="E13" i="285" s="1"/>
  <c r="D132" i="289"/>
  <c r="C132" i="289"/>
  <c r="B132" i="289"/>
  <c r="Q131" i="289"/>
  <c r="P131" i="289"/>
  <c r="O131" i="289"/>
  <c r="N131" i="289"/>
  <c r="N12" i="291" s="1"/>
  <c r="M131" i="289"/>
  <c r="M12" i="291" s="1"/>
  <c r="L131" i="289"/>
  <c r="K131" i="289"/>
  <c r="J131" i="289"/>
  <c r="J12" i="291" s="1"/>
  <c r="I131" i="289"/>
  <c r="H131" i="289"/>
  <c r="G131" i="289"/>
  <c r="F131" i="289"/>
  <c r="F12" i="291" s="1"/>
  <c r="E131" i="289"/>
  <c r="E12" i="291" s="1"/>
  <c r="D131" i="289"/>
  <c r="C131" i="289"/>
  <c r="B131" i="289"/>
  <c r="Q130" i="289"/>
  <c r="P130" i="289"/>
  <c r="O130" i="289"/>
  <c r="N130" i="289"/>
  <c r="N11" i="285" s="1"/>
  <c r="M130" i="289"/>
  <c r="L130" i="289"/>
  <c r="K130" i="289"/>
  <c r="J130" i="289"/>
  <c r="I130" i="289"/>
  <c r="I11" i="291" s="1"/>
  <c r="H130" i="289"/>
  <c r="G130" i="289"/>
  <c r="F130" i="289"/>
  <c r="E130" i="289"/>
  <c r="D130" i="289"/>
  <c r="C130" i="289"/>
  <c r="B130" i="289"/>
  <c r="Q129" i="289"/>
  <c r="P129" i="289"/>
  <c r="O129" i="289"/>
  <c r="N129" i="289"/>
  <c r="M129" i="289"/>
  <c r="M10" i="291" s="1"/>
  <c r="L129" i="289"/>
  <c r="K129" i="289"/>
  <c r="J129" i="289"/>
  <c r="J10" i="291" s="1"/>
  <c r="I129" i="289"/>
  <c r="H129" i="289"/>
  <c r="G129" i="289"/>
  <c r="F129" i="289"/>
  <c r="E129" i="289"/>
  <c r="D129" i="289"/>
  <c r="C129" i="289"/>
  <c r="B129" i="289"/>
  <c r="Q128" i="289"/>
  <c r="P128" i="289"/>
  <c r="O128" i="289"/>
  <c r="N128" i="289"/>
  <c r="M128" i="289"/>
  <c r="M9" i="285" s="1"/>
  <c r="L128" i="289"/>
  <c r="K128" i="289"/>
  <c r="K9" i="285" s="1"/>
  <c r="J128" i="289"/>
  <c r="I128" i="289"/>
  <c r="I9" i="285" s="1"/>
  <c r="H128" i="289"/>
  <c r="G128" i="289"/>
  <c r="F128" i="289"/>
  <c r="E128" i="289"/>
  <c r="E9" i="285" s="1"/>
  <c r="D128" i="289"/>
  <c r="C128" i="289"/>
  <c r="B128" i="289"/>
  <c r="I8" i="285"/>
  <c r="Q125" i="289"/>
  <c r="P125" i="289"/>
  <c r="O125" i="289"/>
  <c r="N125" i="289"/>
  <c r="M125" i="289"/>
  <c r="L125" i="289"/>
  <c r="K125" i="289"/>
  <c r="J125" i="289"/>
  <c r="I125" i="289"/>
  <c r="I6" i="291" s="1"/>
  <c r="H125" i="289"/>
  <c r="G125" i="289"/>
  <c r="F125" i="289"/>
  <c r="E125" i="289"/>
  <c r="D125" i="289"/>
  <c r="C125" i="289"/>
  <c r="B125" i="289"/>
  <c r="B6" i="291" s="1"/>
  <c r="P124" i="289"/>
  <c r="O124" i="289"/>
  <c r="O5" i="291" s="1"/>
  <c r="N124" i="289"/>
  <c r="N5" i="291" s="1"/>
  <c r="M124" i="289"/>
  <c r="M5" i="291" s="1"/>
  <c r="L124" i="289"/>
  <c r="K124" i="289"/>
  <c r="J124" i="289"/>
  <c r="J5" i="291" s="1"/>
  <c r="I124" i="289"/>
  <c r="H124" i="289"/>
  <c r="F124" i="289"/>
  <c r="F5" i="285" s="1"/>
  <c r="E124" i="289"/>
  <c r="D124" i="289"/>
  <c r="C124" i="289"/>
  <c r="J13" i="291"/>
  <c r="P8" i="291"/>
  <c r="P120" i="291" s="1"/>
  <c r="M8" i="291"/>
  <c r="L8" i="291"/>
  <c r="I8" i="291"/>
  <c r="H8" i="291"/>
  <c r="G8" i="291"/>
  <c r="E8" i="291"/>
  <c r="D8" i="291"/>
  <c r="C8" i="291"/>
  <c r="H11" i="285"/>
  <c r="M8" i="285"/>
  <c r="L8" i="285"/>
  <c r="H8" i="285"/>
  <c r="G8" i="285"/>
  <c r="E8" i="285"/>
  <c r="D8" i="285"/>
  <c r="C8" i="285"/>
  <c r="S134" i="289" l="1"/>
  <c r="S128" i="289"/>
  <c r="S129" i="289"/>
  <c r="S130" i="289"/>
  <c r="B12" i="291"/>
  <c r="S131" i="289"/>
  <c r="B13" i="291"/>
  <c r="S132" i="289"/>
  <c r="S133" i="289"/>
  <c r="J9" i="285"/>
  <c r="L13" i="285"/>
  <c r="D12" i="291"/>
  <c r="C9" i="285"/>
  <c r="G12" i="285"/>
  <c r="AD119" i="285"/>
  <c r="L13" i="291"/>
  <c r="D9" i="291"/>
  <c r="F6" i="285"/>
  <c r="H15" i="291"/>
  <c r="P15" i="285"/>
  <c r="O15" i="285"/>
  <c r="P13" i="285"/>
  <c r="P125" i="285" s="1"/>
  <c r="O14" i="285"/>
  <c r="H12" i="285"/>
  <c r="G10" i="285"/>
  <c r="C15" i="285"/>
  <c r="K10" i="291"/>
  <c r="G11" i="285"/>
  <c r="N11" i="291"/>
  <c r="N10" i="285"/>
  <c r="N10" i="291"/>
  <c r="O9" i="285"/>
  <c r="H9" i="285"/>
  <c r="D13" i="285"/>
  <c r="C14" i="285"/>
  <c r="C10" i="291"/>
  <c r="O10" i="291"/>
  <c r="P12" i="291"/>
  <c r="P124" i="291" s="1"/>
  <c r="O13" i="291"/>
  <c r="G6" i="285"/>
  <c r="D11" i="285"/>
  <c r="O11" i="285"/>
  <c r="H13" i="285"/>
  <c r="G14" i="285"/>
  <c r="L15" i="285"/>
  <c r="L6" i="291"/>
  <c r="H11" i="291"/>
  <c r="O14" i="291"/>
  <c r="C6" i="285"/>
  <c r="C11" i="285"/>
  <c r="O12" i="285"/>
  <c r="I14" i="285"/>
  <c r="E5" i="291"/>
  <c r="G9" i="291"/>
  <c r="C12" i="291"/>
  <c r="C13" i="291"/>
  <c r="G14" i="291"/>
  <c r="G9" i="285"/>
  <c r="C10" i="285"/>
  <c r="O10" i="285"/>
  <c r="C9" i="291"/>
  <c r="G12" i="291"/>
  <c r="G13" i="291"/>
  <c r="C14" i="291"/>
  <c r="M10" i="285"/>
  <c r="I10" i="291"/>
  <c r="J9" i="291"/>
  <c r="H5" i="291"/>
  <c r="H5" i="285"/>
  <c r="L5" i="285"/>
  <c r="E6" i="285"/>
  <c r="E6" i="291"/>
  <c r="M6" i="291"/>
  <c r="M6" i="285"/>
  <c r="E10" i="285"/>
  <c r="M11" i="291"/>
  <c r="I12" i="285"/>
  <c r="E14" i="291"/>
  <c r="E14" i="285"/>
  <c r="C5" i="285"/>
  <c r="I15" i="291"/>
  <c r="D5" i="291"/>
  <c r="J6" i="291"/>
  <c r="J6" i="285"/>
  <c r="B9" i="291"/>
  <c r="B9" i="285"/>
  <c r="N9" i="285"/>
  <c r="N9" i="291"/>
  <c r="B10" i="291"/>
  <c r="F10" i="285"/>
  <c r="F10" i="291"/>
  <c r="J10" i="285"/>
  <c r="B11" i="285"/>
  <c r="F11" i="291"/>
  <c r="F11" i="285"/>
  <c r="J11" i="285"/>
  <c r="J11" i="291"/>
  <c r="B13" i="285"/>
  <c r="F13" i="291"/>
  <c r="F13" i="285"/>
  <c r="J13" i="285"/>
  <c r="N13" i="291"/>
  <c r="N13" i="285"/>
  <c r="F14" i="291"/>
  <c r="F14" i="285"/>
  <c r="J14" i="291"/>
  <c r="J14" i="285"/>
  <c r="B15" i="291"/>
  <c r="B15" i="285"/>
  <c r="F15" i="291"/>
  <c r="F15" i="285"/>
  <c r="J15" i="291"/>
  <c r="N15" i="291"/>
  <c r="M5" i="285"/>
  <c r="E12" i="285"/>
  <c r="N14" i="285"/>
  <c r="P5" i="291"/>
  <c r="P117" i="291" s="1"/>
  <c r="N14" i="291"/>
  <c r="E11" i="291"/>
  <c r="E11" i="285"/>
  <c r="I11" i="285"/>
  <c r="E15" i="291"/>
  <c r="M12" i="285"/>
  <c r="M14" i="285"/>
  <c r="E15" i="285"/>
  <c r="L5" i="291"/>
  <c r="P5" i="285"/>
  <c r="P117" i="285" s="1"/>
  <c r="I10" i="285"/>
  <c r="M11" i="285"/>
  <c r="E10" i="291"/>
  <c r="I12" i="291"/>
  <c r="K10" i="285"/>
  <c r="C12" i="285"/>
  <c r="C13" i="285"/>
  <c r="G13" i="285"/>
  <c r="K13" i="285"/>
  <c r="O13" i="285"/>
  <c r="K14" i="285"/>
  <c r="O9" i="291"/>
  <c r="G10" i="291"/>
  <c r="O12" i="291"/>
  <c r="D9" i="285"/>
  <c r="D12" i="285"/>
  <c r="P12" i="285"/>
  <c r="P124" i="285" s="1"/>
  <c r="D15" i="285"/>
  <c r="H15" i="285"/>
  <c r="D6" i="291"/>
  <c r="P6" i="291"/>
  <c r="P118" i="291" s="1"/>
  <c r="D11" i="291"/>
  <c r="L12" i="291"/>
  <c r="D15" i="291"/>
  <c r="P15" i="291"/>
  <c r="P127" i="291" s="1"/>
  <c r="L12" i="285"/>
  <c r="H9" i="291"/>
  <c r="P9" i="291"/>
  <c r="P121" i="291" s="1"/>
  <c r="P11" i="291"/>
  <c r="P123" i="291" s="1"/>
  <c r="H13" i="291"/>
  <c r="D6" i="285"/>
  <c r="L9" i="285"/>
  <c r="P9" i="285"/>
  <c r="P121" i="285" s="1"/>
  <c r="L11" i="285"/>
  <c r="P11" i="285"/>
  <c r="P123" i="285" s="1"/>
  <c r="K5" i="291"/>
  <c r="L11" i="291"/>
  <c r="H12" i="291"/>
  <c r="D13" i="291"/>
  <c r="P13" i="291"/>
  <c r="P125" i="291" s="1"/>
  <c r="L15" i="291"/>
  <c r="S125" i="289"/>
  <c r="K9" i="291"/>
  <c r="F9" i="285"/>
  <c r="F9" i="291"/>
  <c r="B11" i="291"/>
  <c r="B14" i="291"/>
  <c r="L6" i="285"/>
  <c r="B10" i="285"/>
  <c r="K11" i="285"/>
  <c r="K12" i="285"/>
  <c r="B14" i="285"/>
  <c r="L9" i="291"/>
  <c r="K12" i="291"/>
  <c r="K13" i="291"/>
  <c r="K14" i="291"/>
  <c r="P8" i="285"/>
  <c r="P120" i="285" s="1"/>
  <c r="O8" i="285"/>
  <c r="O8" i="291"/>
  <c r="K6" i="285"/>
  <c r="K8" i="285"/>
  <c r="K8" i="291"/>
  <c r="P6" i="285"/>
  <c r="P118" i="285" s="1"/>
  <c r="N6" i="285"/>
  <c r="N6" i="291"/>
  <c r="I6" i="285"/>
  <c r="H6" i="291"/>
  <c r="H6" i="285"/>
  <c r="B6" i="285"/>
  <c r="C5" i="291"/>
  <c r="O6" i="285"/>
  <c r="F6" i="291"/>
  <c r="O5" i="285"/>
  <c r="K5" i="285"/>
  <c r="J5" i="285"/>
  <c r="E5" i="285"/>
  <c r="D5" i="285"/>
  <c r="I5" i="285"/>
  <c r="E13" i="291"/>
  <c r="I13" i="291"/>
  <c r="M13" i="291"/>
  <c r="M15" i="291"/>
  <c r="N5" i="285"/>
  <c r="R125" i="289"/>
  <c r="R128" i="289"/>
  <c r="R129" i="289"/>
  <c r="R130" i="289"/>
  <c r="R132" i="289"/>
  <c r="R133" i="289"/>
  <c r="R134" i="289"/>
  <c r="K11" i="291"/>
  <c r="O11" i="291"/>
  <c r="C15" i="291"/>
  <c r="G15" i="291"/>
  <c r="K15" i="291"/>
  <c r="O15" i="291"/>
  <c r="R131" i="289"/>
  <c r="C6" i="291"/>
  <c r="G6" i="291"/>
  <c r="K6" i="291"/>
  <c r="O6" i="291"/>
  <c r="E9" i="291"/>
  <c r="I9" i="291"/>
  <c r="M9" i="291"/>
  <c r="C11" i="291"/>
  <c r="G11" i="291"/>
  <c r="B8" i="285"/>
  <c r="F8" i="285"/>
  <c r="J8" i="285"/>
  <c r="N8" i="285"/>
  <c r="D10" i="285"/>
  <c r="H10" i="285"/>
  <c r="L10" i="285"/>
  <c r="P10" i="285"/>
  <c r="P122" i="285" s="1"/>
  <c r="B12" i="285"/>
  <c r="F12" i="285"/>
  <c r="J12" i="285"/>
  <c r="N12" i="285"/>
  <c r="D14" i="285"/>
  <c r="H14" i="285"/>
  <c r="L14" i="285"/>
  <c r="P14" i="285"/>
  <c r="P126" i="285" s="1"/>
  <c r="R127" i="289"/>
  <c r="B8" i="291"/>
  <c r="F8" i="291"/>
  <c r="J8" i="291"/>
  <c r="N8" i="291"/>
  <c r="D10" i="291"/>
  <c r="H10" i="291"/>
  <c r="L10" i="291"/>
  <c r="P10" i="291"/>
  <c r="P122" i="291" s="1"/>
  <c r="I5" i="291"/>
  <c r="F5" i="291"/>
  <c r="P127" i="285"/>
  <c r="Q67" i="289"/>
  <c r="Q124" i="289" s="1"/>
  <c r="G201" i="289"/>
  <c r="G203" i="289"/>
  <c r="G200" i="289"/>
  <c r="P123" i="289"/>
  <c r="P4" i="285" s="1"/>
  <c r="P116" i="285" s="1"/>
  <c r="O123" i="289"/>
  <c r="N123" i="289"/>
  <c r="M123" i="289"/>
  <c r="M4" i="285" s="1"/>
  <c r="L123" i="289"/>
  <c r="L4" i="285" s="1"/>
  <c r="K123" i="289"/>
  <c r="J123" i="289"/>
  <c r="J4" i="285" s="1"/>
  <c r="I123" i="289"/>
  <c r="I4" i="285" s="1"/>
  <c r="H123" i="289"/>
  <c r="H4" i="285" s="1"/>
  <c r="E123" i="289"/>
  <c r="D123" i="289"/>
  <c r="C123" i="289"/>
  <c r="R77" i="289"/>
  <c r="R76" i="289"/>
  <c r="R75" i="289"/>
  <c r="R74" i="289"/>
  <c r="R73" i="289"/>
  <c r="R72" i="289"/>
  <c r="R71" i="289"/>
  <c r="R70" i="289"/>
  <c r="R69" i="289"/>
  <c r="R68" i="289"/>
  <c r="G67" i="289"/>
  <c r="G124" i="289" s="1"/>
  <c r="B67" i="289"/>
  <c r="B124" i="289" s="1"/>
  <c r="Q123" i="289" l="1"/>
  <c r="D4" i="291"/>
  <c r="N4" i="291"/>
  <c r="O4" i="291"/>
  <c r="D4" i="285"/>
  <c r="B5" i="291"/>
  <c r="E4" i="291"/>
  <c r="K4" i="291"/>
  <c r="H4" i="291"/>
  <c r="L4" i="291"/>
  <c r="P4" i="291"/>
  <c r="P116" i="291" s="1"/>
  <c r="E4" i="285"/>
  <c r="N4" i="285"/>
  <c r="G5" i="291"/>
  <c r="J4" i="291"/>
  <c r="S124" i="289"/>
  <c r="B5" i="285"/>
  <c r="R124" i="289"/>
  <c r="M4" i="291"/>
  <c r="K4" i="285"/>
  <c r="O4" i="285"/>
  <c r="G5" i="285"/>
  <c r="I4" i="291"/>
  <c r="C4" i="291"/>
  <c r="C4" i="285"/>
  <c r="R67" i="289"/>
  <c r="D202" i="289" l="1"/>
  <c r="G123" i="289"/>
  <c r="F123" i="289"/>
  <c r="B7" i="289"/>
  <c r="B123" i="289" s="1"/>
  <c r="G204" i="289"/>
  <c r="G205" i="289"/>
  <c r="D199" i="289"/>
  <c r="G199" i="289" s="1"/>
  <c r="R7" i="289" l="1"/>
  <c r="R123" i="289" s="1"/>
  <c r="F4" i="291"/>
  <c r="F116" i="291" s="1"/>
  <c r="F4" i="285"/>
  <c r="S123" i="289"/>
  <c r="B4" i="291"/>
  <c r="B4" i="285"/>
  <c r="G4" i="291"/>
  <c r="G4" i="285"/>
  <c r="G202" i="289"/>
  <c r="O127" i="291"/>
  <c r="N127" i="291"/>
  <c r="M127" i="291"/>
  <c r="L127" i="291"/>
  <c r="Z127" i="291" s="1"/>
  <c r="K127" i="291"/>
  <c r="X127" i="291" s="1"/>
  <c r="J127" i="291"/>
  <c r="I127" i="291"/>
  <c r="H127" i="291"/>
  <c r="G127" i="291"/>
  <c r="F127" i="291"/>
  <c r="E127" i="291"/>
  <c r="D127" i="291"/>
  <c r="C127" i="291"/>
  <c r="B127" i="291"/>
  <c r="T127" i="291" s="1"/>
  <c r="O126" i="291"/>
  <c r="N126" i="291"/>
  <c r="M126" i="291"/>
  <c r="L126" i="291"/>
  <c r="Z126" i="291" s="1"/>
  <c r="K126" i="291"/>
  <c r="X126" i="291" s="1"/>
  <c r="J126" i="291"/>
  <c r="I126" i="291"/>
  <c r="H126" i="291"/>
  <c r="G126" i="291"/>
  <c r="F126" i="291"/>
  <c r="E126" i="291"/>
  <c r="D126" i="291"/>
  <c r="C126" i="291"/>
  <c r="B126" i="291"/>
  <c r="T126" i="291" s="1"/>
  <c r="O125" i="291"/>
  <c r="N125" i="291"/>
  <c r="M125" i="291"/>
  <c r="L125" i="291"/>
  <c r="Z125" i="291" s="1"/>
  <c r="K125" i="291"/>
  <c r="X125" i="291" s="1"/>
  <c r="J125" i="291"/>
  <c r="I125" i="291"/>
  <c r="H125" i="291"/>
  <c r="G125" i="291"/>
  <c r="F125" i="291"/>
  <c r="E125" i="291"/>
  <c r="D125" i="291"/>
  <c r="C125" i="291"/>
  <c r="B125" i="291"/>
  <c r="T125" i="291" s="1"/>
  <c r="O124" i="291"/>
  <c r="N124" i="291"/>
  <c r="M124" i="291"/>
  <c r="L124" i="291"/>
  <c r="Z124" i="291" s="1"/>
  <c r="K124" i="291"/>
  <c r="X124" i="291" s="1"/>
  <c r="J124" i="291"/>
  <c r="I124" i="291"/>
  <c r="H124" i="291"/>
  <c r="G124" i="291"/>
  <c r="F124" i="291"/>
  <c r="E124" i="291"/>
  <c r="C124" i="291"/>
  <c r="B124" i="291"/>
  <c r="T124" i="291" s="1"/>
  <c r="O123" i="291"/>
  <c r="N123" i="291"/>
  <c r="M123" i="291"/>
  <c r="L123" i="291"/>
  <c r="Z123" i="291" s="1"/>
  <c r="K123" i="291"/>
  <c r="X123" i="291" s="1"/>
  <c r="J123" i="291"/>
  <c r="I123" i="291"/>
  <c r="H123" i="291"/>
  <c r="G123" i="291"/>
  <c r="F123" i="291"/>
  <c r="E123" i="291"/>
  <c r="D123" i="291"/>
  <c r="C123" i="291"/>
  <c r="B123" i="291"/>
  <c r="T123" i="291" s="1"/>
  <c r="O122" i="291"/>
  <c r="N122" i="291"/>
  <c r="M122" i="291"/>
  <c r="L122" i="291"/>
  <c r="Z122" i="291" s="1"/>
  <c r="K122" i="291"/>
  <c r="X122" i="291" s="1"/>
  <c r="J122" i="291"/>
  <c r="I122" i="291"/>
  <c r="H122" i="291"/>
  <c r="G122" i="291"/>
  <c r="F122" i="291"/>
  <c r="E122" i="291"/>
  <c r="D122" i="291"/>
  <c r="C122" i="291"/>
  <c r="B122" i="291"/>
  <c r="T122" i="291" s="1"/>
  <c r="O121" i="291"/>
  <c r="N121" i="291"/>
  <c r="M121" i="291"/>
  <c r="L121" i="291"/>
  <c r="Z121" i="291" s="1"/>
  <c r="K121" i="291"/>
  <c r="X121" i="291" s="1"/>
  <c r="J121" i="291"/>
  <c r="I121" i="291"/>
  <c r="H121" i="291"/>
  <c r="G121" i="291"/>
  <c r="F121" i="291"/>
  <c r="E121" i="291"/>
  <c r="D121" i="291"/>
  <c r="C121" i="291"/>
  <c r="B121" i="291"/>
  <c r="T121" i="291" s="1"/>
  <c r="O120" i="291"/>
  <c r="N120" i="291"/>
  <c r="M120" i="291"/>
  <c r="L120" i="291"/>
  <c r="Z120" i="291" s="1"/>
  <c r="K120" i="291"/>
  <c r="X120" i="291" s="1"/>
  <c r="J120" i="291"/>
  <c r="I120" i="291"/>
  <c r="H120" i="291"/>
  <c r="G120" i="291"/>
  <c r="F120" i="291"/>
  <c r="E120" i="291"/>
  <c r="D120" i="291"/>
  <c r="C120" i="291"/>
  <c r="B120" i="291"/>
  <c r="T120" i="291" s="1"/>
  <c r="O118" i="291"/>
  <c r="N118" i="291"/>
  <c r="M118" i="291"/>
  <c r="L118" i="291"/>
  <c r="Z118" i="291" s="1"/>
  <c r="K118" i="291"/>
  <c r="X118" i="291" s="1"/>
  <c r="J118" i="291"/>
  <c r="I118" i="291"/>
  <c r="H118" i="291"/>
  <c r="G118" i="291"/>
  <c r="F118" i="291"/>
  <c r="E118" i="291"/>
  <c r="D118" i="291"/>
  <c r="C118" i="291"/>
  <c r="B118" i="291"/>
  <c r="T118" i="291" s="1"/>
  <c r="O117" i="291"/>
  <c r="N117" i="291"/>
  <c r="M117" i="291"/>
  <c r="L117" i="291"/>
  <c r="Z117" i="291" s="1"/>
  <c r="K117" i="291"/>
  <c r="X117" i="291" s="1"/>
  <c r="J117" i="291"/>
  <c r="I117" i="291"/>
  <c r="H117" i="291"/>
  <c r="G117" i="291"/>
  <c r="F117" i="291"/>
  <c r="E117" i="291"/>
  <c r="D117" i="291"/>
  <c r="C117" i="291"/>
  <c r="B117" i="291"/>
  <c r="T117" i="291" s="1"/>
  <c r="O116" i="291"/>
  <c r="N116" i="291"/>
  <c r="M116" i="291"/>
  <c r="L116" i="291"/>
  <c r="Z116" i="291" s="1"/>
  <c r="J116" i="291"/>
  <c r="I116" i="291"/>
  <c r="H116" i="291"/>
  <c r="G116" i="291"/>
  <c r="E116" i="291"/>
  <c r="D116" i="291"/>
  <c r="C116" i="291"/>
  <c r="O127" i="285"/>
  <c r="N127" i="285"/>
  <c r="M127" i="285"/>
  <c r="L127" i="285"/>
  <c r="Z127" i="285" s="1"/>
  <c r="K127" i="285"/>
  <c r="X127" i="285" s="1"/>
  <c r="J127" i="285"/>
  <c r="I127" i="285"/>
  <c r="H127" i="285"/>
  <c r="G127" i="285"/>
  <c r="F127" i="285"/>
  <c r="E127" i="285"/>
  <c r="D127" i="285"/>
  <c r="C127" i="285"/>
  <c r="O126" i="285"/>
  <c r="N126" i="285"/>
  <c r="M126" i="285"/>
  <c r="L126" i="285"/>
  <c r="Z126" i="285" s="1"/>
  <c r="K126" i="285"/>
  <c r="X126" i="285" s="1"/>
  <c r="J126" i="285"/>
  <c r="I126" i="285"/>
  <c r="H126" i="285"/>
  <c r="G126" i="285"/>
  <c r="F126" i="285"/>
  <c r="E126" i="285"/>
  <c r="D126" i="285"/>
  <c r="C126" i="285"/>
  <c r="B126" i="285"/>
  <c r="T126" i="285" s="1"/>
  <c r="O125" i="285"/>
  <c r="N125" i="285"/>
  <c r="M125" i="285"/>
  <c r="L125" i="285"/>
  <c r="Z125" i="285" s="1"/>
  <c r="K125" i="285"/>
  <c r="X125" i="285" s="1"/>
  <c r="J125" i="285"/>
  <c r="I125" i="285"/>
  <c r="H125" i="285"/>
  <c r="G125" i="285"/>
  <c r="F125" i="285"/>
  <c r="E125" i="285"/>
  <c r="D125" i="285"/>
  <c r="C125" i="285"/>
  <c r="O124" i="285"/>
  <c r="N124" i="285"/>
  <c r="M124" i="285"/>
  <c r="L124" i="285"/>
  <c r="Z124" i="285" s="1"/>
  <c r="K124" i="285"/>
  <c r="X124" i="285" s="1"/>
  <c r="J124" i="285"/>
  <c r="I124" i="285"/>
  <c r="H124" i="285"/>
  <c r="G124" i="285"/>
  <c r="F124" i="285"/>
  <c r="E124" i="285"/>
  <c r="C124" i="285"/>
  <c r="B124" i="285"/>
  <c r="T124" i="285" s="1"/>
  <c r="O123" i="285"/>
  <c r="N123" i="285"/>
  <c r="M123" i="285"/>
  <c r="L123" i="285"/>
  <c r="Z123" i="285" s="1"/>
  <c r="K123" i="285"/>
  <c r="X123" i="285" s="1"/>
  <c r="J123" i="285"/>
  <c r="I123" i="285"/>
  <c r="H123" i="285"/>
  <c r="G123" i="285"/>
  <c r="F123" i="285"/>
  <c r="E123" i="285"/>
  <c r="D123" i="285"/>
  <c r="C123" i="285"/>
  <c r="O122" i="285"/>
  <c r="N122" i="285"/>
  <c r="M122" i="285"/>
  <c r="L122" i="285"/>
  <c r="Z122" i="285" s="1"/>
  <c r="K122" i="285"/>
  <c r="X122" i="285" s="1"/>
  <c r="J122" i="285"/>
  <c r="I122" i="285"/>
  <c r="H122" i="285"/>
  <c r="G122" i="285"/>
  <c r="F122" i="285"/>
  <c r="E122" i="285"/>
  <c r="D122" i="285"/>
  <c r="C122" i="285"/>
  <c r="B122" i="285"/>
  <c r="T122" i="285" s="1"/>
  <c r="O121" i="285"/>
  <c r="N121" i="285"/>
  <c r="M121" i="285"/>
  <c r="L121" i="285"/>
  <c r="Z121" i="285" s="1"/>
  <c r="K121" i="285"/>
  <c r="X121" i="285" s="1"/>
  <c r="J121" i="285"/>
  <c r="I121" i="285"/>
  <c r="H121" i="285"/>
  <c r="G121" i="285"/>
  <c r="F121" i="285"/>
  <c r="E121" i="285"/>
  <c r="D121" i="285"/>
  <c r="C121" i="285"/>
  <c r="O120" i="285"/>
  <c r="N120" i="285"/>
  <c r="M120" i="285"/>
  <c r="L120" i="285"/>
  <c r="Z120" i="285" s="1"/>
  <c r="K120" i="285"/>
  <c r="X120" i="285" s="1"/>
  <c r="J120" i="285"/>
  <c r="I120" i="285"/>
  <c r="H120" i="285"/>
  <c r="G120" i="285"/>
  <c r="F120" i="285"/>
  <c r="E120" i="285"/>
  <c r="D120" i="285"/>
  <c r="C120" i="285"/>
  <c r="B120" i="285"/>
  <c r="T120" i="285" s="1"/>
  <c r="O118" i="285"/>
  <c r="N118" i="285"/>
  <c r="M118" i="285"/>
  <c r="L118" i="285"/>
  <c r="Z118" i="285" s="1"/>
  <c r="K118" i="285"/>
  <c r="X118" i="285" s="1"/>
  <c r="J118" i="285"/>
  <c r="I118" i="285"/>
  <c r="H118" i="285"/>
  <c r="G118" i="285"/>
  <c r="F118" i="285"/>
  <c r="E118" i="285"/>
  <c r="D118" i="285"/>
  <c r="C118" i="285"/>
  <c r="O117" i="285"/>
  <c r="N117" i="285"/>
  <c r="M117" i="285"/>
  <c r="L117" i="285"/>
  <c r="Z117" i="285" s="1"/>
  <c r="K117" i="285"/>
  <c r="X117" i="285" s="1"/>
  <c r="J117" i="285"/>
  <c r="I117" i="285"/>
  <c r="H117" i="285"/>
  <c r="G117" i="285"/>
  <c r="F117" i="285"/>
  <c r="E117" i="285"/>
  <c r="D117" i="285"/>
  <c r="C117" i="285"/>
  <c r="B117" i="285"/>
  <c r="T117" i="285" s="1"/>
  <c r="I116" i="285"/>
  <c r="E116" i="285"/>
  <c r="D116" i="285"/>
  <c r="C116" i="285"/>
  <c r="AA126" i="291" l="1"/>
  <c r="AB126" i="291" s="1"/>
  <c r="AA124" i="291"/>
  <c r="AB124" i="291" s="1"/>
  <c r="AA125" i="291"/>
  <c r="AB125" i="291" s="1"/>
  <c r="AA127" i="291"/>
  <c r="AB127" i="291" s="1"/>
  <c r="AA118" i="291"/>
  <c r="AB118" i="291" s="1"/>
  <c r="AA117" i="291"/>
  <c r="AB117" i="291" s="1"/>
  <c r="AA120" i="291"/>
  <c r="AB120" i="291" s="1"/>
  <c r="AA123" i="291"/>
  <c r="AB123" i="291" s="1"/>
  <c r="AA122" i="291"/>
  <c r="AB122" i="291" s="1"/>
  <c r="AA121" i="291"/>
  <c r="AB121" i="291" s="1"/>
  <c r="W122" i="285"/>
  <c r="W117" i="291"/>
  <c r="W122" i="291"/>
  <c r="V116" i="291"/>
  <c r="U121" i="291"/>
  <c r="U123" i="291"/>
  <c r="V124" i="291"/>
  <c r="V126" i="291"/>
  <c r="W125" i="291"/>
  <c r="W127" i="291"/>
  <c r="V118" i="285"/>
  <c r="U121" i="285"/>
  <c r="AA122" i="285"/>
  <c r="AB122" i="285" s="1"/>
  <c r="V125" i="285"/>
  <c r="U127" i="285"/>
  <c r="W120" i="285"/>
  <c r="W123" i="285"/>
  <c r="W126" i="285"/>
  <c r="W120" i="291"/>
  <c r="V120" i="285"/>
  <c r="W121" i="285"/>
  <c r="AA121" i="285"/>
  <c r="AB121" i="285" s="1"/>
  <c r="U122" i="285"/>
  <c r="V123" i="285"/>
  <c r="W124" i="285"/>
  <c r="AA124" i="285"/>
  <c r="AB124" i="285" s="1"/>
  <c r="V126" i="285"/>
  <c r="W127" i="285"/>
  <c r="AA127" i="285"/>
  <c r="AB127" i="285" s="1"/>
  <c r="AA116" i="291"/>
  <c r="AB116" i="291" s="1"/>
  <c r="W118" i="291"/>
  <c r="U120" i="291"/>
  <c r="W121" i="291"/>
  <c r="U122" i="291"/>
  <c r="W123" i="291"/>
  <c r="V125" i="291"/>
  <c r="V127" i="291"/>
  <c r="U116" i="285"/>
  <c r="AA117" i="285"/>
  <c r="AB117" i="285" s="1"/>
  <c r="W118" i="285"/>
  <c r="U120" i="285"/>
  <c r="V121" i="285"/>
  <c r="U123" i="285"/>
  <c r="V124" i="285"/>
  <c r="W125" i="285"/>
  <c r="AA125" i="285"/>
  <c r="AB125" i="285" s="1"/>
  <c r="U126" i="285"/>
  <c r="V127" i="285"/>
  <c r="W116" i="291"/>
  <c r="V118" i="291"/>
  <c r="V121" i="291"/>
  <c r="V123" i="291"/>
  <c r="W124" i="291"/>
  <c r="U125" i="291"/>
  <c r="W126" i="291"/>
  <c r="U127" i="291"/>
  <c r="V122" i="285"/>
  <c r="AA123" i="285"/>
  <c r="AB123" i="285" s="1"/>
  <c r="U125" i="285"/>
  <c r="AA126" i="285"/>
  <c r="AB126" i="285" s="1"/>
  <c r="U116" i="291"/>
  <c r="U118" i="291"/>
  <c r="V120" i="291"/>
  <c r="V122" i="291"/>
  <c r="U126" i="291"/>
  <c r="Y126" i="291" s="1"/>
  <c r="AA120" i="285"/>
  <c r="AB120" i="285" s="1"/>
  <c r="U118" i="285"/>
  <c r="U117" i="291"/>
  <c r="AA118" i="285"/>
  <c r="AB118" i="285" s="1"/>
  <c r="W117" i="285"/>
  <c r="V117" i="285"/>
  <c r="V117" i="291"/>
  <c r="U117" i="285"/>
  <c r="R12" i="291"/>
  <c r="C21" i="290" s="1"/>
  <c r="R121" i="291"/>
  <c r="R125" i="291"/>
  <c r="R127" i="291"/>
  <c r="R118" i="291"/>
  <c r="R122" i="291"/>
  <c r="R126" i="291"/>
  <c r="R123" i="291"/>
  <c r="R117" i="291"/>
  <c r="R120" i="291"/>
  <c r="R6" i="291"/>
  <c r="C16" i="290" s="1"/>
  <c r="R5" i="291"/>
  <c r="C15" i="290" s="1"/>
  <c r="R10" i="291"/>
  <c r="C19" i="290" s="1"/>
  <c r="R14" i="291"/>
  <c r="C23" i="290" s="1"/>
  <c r="R9" i="291"/>
  <c r="C18" i="290" s="1"/>
  <c r="R13" i="291"/>
  <c r="C22" i="290" s="1"/>
  <c r="R8" i="291"/>
  <c r="C17" i="290" s="1"/>
  <c r="R11" i="291"/>
  <c r="C20" i="290" s="1"/>
  <c r="R15" i="291"/>
  <c r="C24" i="290" s="1"/>
  <c r="D124" i="291"/>
  <c r="R124" i="291" s="1"/>
  <c r="R6" i="285"/>
  <c r="C16" i="288" s="1"/>
  <c r="R9" i="285"/>
  <c r="C18" i="288" s="1"/>
  <c r="R11" i="285"/>
  <c r="C20" i="288" s="1"/>
  <c r="R13" i="285"/>
  <c r="C22" i="288" s="1"/>
  <c r="R15" i="285"/>
  <c r="C24" i="288" s="1"/>
  <c r="R5" i="285"/>
  <c r="C15" i="288" s="1"/>
  <c r="R8" i="285"/>
  <c r="C17" i="288" s="1"/>
  <c r="R10" i="285"/>
  <c r="C19" i="288" s="1"/>
  <c r="R12" i="285"/>
  <c r="C21" i="288" s="1"/>
  <c r="R14" i="285"/>
  <c r="C23" i="288" s="1"/>
  <c r="B121" i="285"/>
  <c r="T121" i="285" s="1"/>
  <c r="B123" i="285"/>
  <c r="T123" i="285" s="1"/>
  <c r="D124" i="285"/>
  <c r="U124" i="285" s="1"/>
  <c r="B125" i="285"/>
  <c r="T125" i="285" s="1"/>
  <c r="B127" i="285"/>
  <c r="T127" i="285" s="1"/>
  <c r="B118" i="285"/>
  <c r="T118" i="285" s="1"/>
  <c r="E25" i="288"/>
  <c r="O25" i="288" s="1"/>
  <c r="E26" i="288"/>
  <c r="O26" i="288" s="1"/>
  <c r="Y125" i="285" l="1"/>
  <c r="AC125" i="285" s="1"/>
  <c r="Y124" i="285"/>
  <c r="AC124" i="285" s="1"/>
  <c r="Y126" i="285"/>
  <c r="AC126" i="285" s="1"/>
  <c r="Y122" i="291"/>
  <c r="AD122" i="291" s="1"/>
  <c r="Y117" i="291"/>
  <c r="AC117" i="291" s="1"/>
  <c r="Y120" i="285"/>
  <c r="AC120" i="285" s="1"/>
  <c r="Y118" i="291"/>
  <c r="AC118" i="291" s="1"/>
  <c r="Y127" i="285"/>
  <c r="AC127" i="285" s="1"/>
  <c r="Y127" i="291"/>
  <c r="AC127" i="291" s="1"/>
  <c r="AC126" i="291"/>
  <c r="Y117" i="285"/>
  <c r="AC117" i="285" s="1"/>
  <c r="Y125" i="291"/>
  <c r="AC125" i="291" s="1"/>
  <c r="Y120" i="291"/>
  <c r="AC120" i="291" s="1"/>
  <c r="Y118" i="285"/>
  <c r="AC118" i="285" s="1"/>
  <c r="E21" i="290"/>
  <c r="O21" i="290" s="1"/>
  <c r="Y123" i="291"/>
  <c r="AC123" i="291" s="1"/>
  <c r="Y123" i="285"/>
  <c r="E17" i="290"/>
  <c r="O17" i="290" s="1"/>
  <c r="E23" i="290"/>
  <c r="O23" i="290" s="1"/>
  <c r="AD126" i="291"/>
  <c r="E24" i="290"/>
  <c r="O24" i="290" s="1"/>
  <c r="E15" i="290"/>
  <c r="O15" i="290" s="1"/>
  <c r="E16" i="290"/>
  <c r="O16" i="290" s="1"/>
  <c r="E22" i="290"/>
  <c r="O22" i="290" s="1"/>
  <c r="E20" i="290"/>
  <c r="O20" i="290" s="1"/>
  <c r="Y122" i="285"/>
  <c r="E19" i="290"/>
  <c r="O19" i="290" s="1"/>
  <c r="Y121" i="285"/>
  <c r="AC121" i="285" s="1"/>
  <c r="Y121" i="291"/>
  <c r="AC121" i="291" s="1"/>
  <c r="E18" i="290"/>
  <c r="O18" i="290" s="1"/>
  <c r="U124" i="291"/>
  <c r="Y124" i="291" s="1"/>
  <c r="AC124" i="291" s="1"/>
  <c r="K116" i="285"/>
  <c r="X116" i="285" s="1"/>
  <c r="K116" i="291"/>
  <c r="X116" i="291" s="1"/>
  <c r="H13" i="290"/>
  <c r="O116" i="285"/>
  <c r="N116" i="285"/>
  <c r="M116" i="285"/>
  <c r="L116" i="285"/>
  <c r="Z116" i="285" s="1"/>
  <c r="J116" i="285"/>
  <c r="W116" i="285" s="1"/>
  <c r="H116" i="285"/>
  <c r="G116" i="285"/>
  <c r="F116" i="285"/>
  <c r="R18" i="289"/>
  <c r="R17" i="289"/>
  <c r="R16" i="289"/>
  <c r="R15" i="289"/>
  <c r="R14" i="289"/>
  <c r="R13" i="289"/>
  <c r="R12" i="289"/>
  <c r="R11" i="289"/>
  <c r="R9" i="289"/>
  <c r="R8" i="289"/>
  <c r="H13" i="288"/>
  <c r="AC122" i="291" l="1"/>
  <c r="AD120" i="291"/>
  <c r="AD117" i="291"/>
  <c r="AD118" i="291"/>
  <c r="AD127" i="291"/>
  <c r="AD125" i="291"/>
  <c r="AC123" i="285"/>
  <c r="AD123" i="291"/>
  <c r="AC122" i="285"/>
  <c r="AD124" i="291"/>
  <c r="AD121" i="291"/>
  <c r="V116" i="285"/>
  <c r="AA116" i="285"/>
  <c r="AB116" i="285" s="1"/>
  <c r="R4" i="291"/>
  <c r="C14" i="290" s="1"/>
  <c r="B116" i="291"/>
  <c r="B116" i="285"/>
  <c r="T116" i="285" s="1"/>
  <c r="R117" i="285"/>
  <c r="R120" i="285"/>
  <c r="R123" i="285"/>
  <c r="R124" i="285"/>
  <c r="R125" i="285"/>
  <c r="R121" i="285"/>
  <c r="R122" i="285"/>
  <c r="R4" i="285"/>
  <c r="C14" i="288" s="1"/>
  <c r="R126" i="285"/>
  <c r="R118" i="285"/>
  <c r="R127" i="285"/>
  <c r="Y116" i="285" l="1"/>
  <c r="AC116" i="285" s="1"/>
  <c r="E23" i="288"/>
  <c r="O23" i="288" s="1"/>
  <c r="AD126" i="285"/>
  <c r="E17" i="288"/>
  <c r="O17" i="288" s="1"/>
  <c r="AD120" i="285"/>
  <c r="E15" i="288"/>
  <c r="O15" i="288" s="1"/>
  <c r="AD117" i="285"/>
  <c r="E24" i="288"/>
  <c r="O24" i="288" s="1"/>
  <c r="AD127" i="285"/>
  <c r="E22" i="288"/>
  <c r="O22" i="288" s="1"/>
  <c r="AD125" i="285"/>
  <c r="E16" i="288"/>
  <c r="O16" i="288" s="1"/>
  <c r="AD118" i="285"/>
  <c r="E21" i="288"/>
  <c r="O21" i="288" s="1"/>
  <c r="AD124" i="285"/>
  <c r="E20" i="288"/>
  <c r="O20" i="288" s="1"/>
  <c r="AD123" i="285"/>
  <c r="E19" i="288"/>
  <c r="O19" i="288" s="1"/>
  <c r="AD122" i="285"/>
  <c r="E18" i="288"/>
  <c r="O18" i="288" s="1"/>
  <c r="AD121" i="285"/>
  <c r="R116" i="291"/>
  <c r="T116" i="291"/>
  <c r="Y116" i="291" s="1"/>
  <c r="AC116" i="291" s="1"/>
  <c r="R116" i="285"/>
  <c r="E14" i="288" l="1"/>
  <c r="AD116" i="285"/>
  <c r="E14" i="290"/>
  <c r="AD116" i="291"/>
  <c r="H14" i="290" l="1"/>
  <c r="K14" i="290" s="1"/>
  <c r="O14" i="290"/>
  <c r="H14" i="288"/>
  <c r="K14" i="288" s="1"/>
  <c r="O14" i="288"/>
  <c r="B11" i="132" l="1"/>
  <c r="B12" i="132" l="1"/>
  <c r="B14" i="132" s="1"/>
  <c r="B15" i="132" s="1"/>
  <c r="B18" i="132" s="1"/>
  <c r="H15" i="290" l="1"/>
  <c r="H15" i="288"/>
  <c r="B19" i="132"/>
  <c r="H16" i="288" l="1"/>
  <c r="K15" i="288"/>
  <c r="K15" i="290"/>
  <c r="H16" i="290"/>
  <c r="B20" i="132"/>
  <c r="B21" i="132" s="1"/>
  <c r="B22" i="132" s="1"/>
  <c r="B23" i="132" s="1"/>
  <c r="B24" i="132" s="1"/>
  <c r="B25" i="132" s="1"/>
  <c r="B26" i="132" s="1"/>
  <c r="B27" i="132" s="1"/>
  <c r="B28" i="132" s="1"/>
  <c r="B29" i="132" s="1"/>
  <c r="B30" i="132" s="1"/>
  <c r="B31" i="132" s="1"/>
  <c r="B32" i="132" s="1"/>
  <c r="B33" i="132" s="1"/>
  <c r="B34" i="132" s="1"/>
  <c r="B35" i="132" s="1"/>
  <c r="B36" i="132" s="1"/>
  <c r="B37" i="132" s="1"/>
  <c r="B38" i="132" s="1"/>
  <c r="B39" i="132" s="1"/>
  <c r="B40" i="132" s="1"/>
  <c r="B41" i="132" s="1"/>
  <c r="B42" i="132" s="1"/>
  <c r="B43" i="132" s="1"/>
  <c r="B44" i="132" s="1"/>
  <c r="B45" i="132" s="1"/>
  <c r="B46" i="132" s="1"/>
  <c r="B47" i="132" s="1"/>
  <c r="B48" i="132" s="1"/>
  <c r="B49" i="132" s="1"/>
  <c r="B50" i="132" s="1"/>
  <c r="B51" i="132" s="1"/>
  <c r="B52" i="132" s="1"/>
  <c r="B53" i="132" s="1"/>
  <c r="B54" i="132" s="1"/>
  <c r="B55" i="132" s="1"/>
  <c r="B56" i="132" s="1"/>
  <c r="B57" i="132" s="1"/>
  <c r="H17" i="288" l="1"/>
  <c r="H18" i="288" s="1"/>
  <c r="K16" i="290"/>
  <c r="H17" i="290"/>
  <c r="K16" i="288"/>
  <c r="H18" i="290" l="1"/>
  <c r="K17" i="290"/>
  <c r="H19" i="288"/>
  <c r="K17" i="288"/>
  <c r="H19" i="290" l="1"/>
  <c r="K18" i="290"/>
  <c r="H20" i="288"/>
  <c r="K18" i="288"/>
  <c r="H20" i="290" l="1"/>
  <c r="K19" i="290"/>
  <c r="K19" i="288"/>
  <c r="H21" i="288"/>
  <c r="H21" i="290" l="1"/>
  <c r="K20" i="290"/>
  <c r="H22" i="288"/>
  <c r="K20" i="288"/>
  <c r="H22" i="290" l="1"/>
  <c r="K21" i="290"/>
  <c r="H23" i="288"/>
  <c r="K21" i="288"/>
  <c r="H23" i="290" l="1"/>
  <c r="K22" i="290"/>
  <c r="H24" i="288"/>
  <c r="K22" i="288"/>
  <c r="H24" i="290" l="1"/>
  <c r="K23" i="290"/>
  <c r="H25" i="288"/>
  <c r="K23" i="288"/>
  <c r="H25" i="290" l="1"/>
  <c r="K24" i="290"/>
  <c r="H26" i="288"/>
  <c r="H27" i="288" s="1"/>
  <c r="K24" i="288"/>
  <c r="K25" i="290" l="1"/>
  <c r="H26" i="290"/>
  <c r="K27" i="288"/>
  <c r="H28" i="288"/>
  <c r="K25" i="288"/>
  <c r="K26" i="290" l="1"/>
  <c r="H27" i="290"/>
  <c r="H29" i="288"/>
  <c r="K28" i="288"/>
  <c r="K26" i="288"/>
  <c r="K27" i="290" l="1"/>
  <c r="H28" i="290"/>
  <c r="K29" i="288"/>
  <c r="H30" i="288"/>
  <c r="K28" i="290" l="1"/>
  <c r="H29" i="290"/>
  <c r="K30" i="288"/>
  <c r="H31" i="288"/>
  <c r="K29" i="290" l="1"/>
  <c r="H30" i="290"/>
  <c r="H32" i="288"/>
  <c r="K31" i="288"/>
  <c r="K30" i="290" l="1"/>
  <c r="H31" i="290"/>
  <c r="K32" i="288"/>
  <c r="H33" i="288"/>
  <c r="K31" i="290" l="1"/>
  <c r="H32" i="290"/>
  <c r="H34" i="288"/>
  <c r="K33" i="288"/>
  <c r="H33" i="290" l="1"/>
  <c r="K32" i="290"/>
  <c r="H35" i="288"/>
  <c r="K34" i="288"/>
  <c r="H34" i="290" l="1"/>
  <c r="K33" i="290"/>
  <c r="K35" i="288"/>
  <c r="H36" i="288"/>
  <c r="H35" i="290" l="1"/>
  <c r="K34" i="290"/>
  <c r="H37" i="288"/>
  <c r="K36" i="288"/>
  <c r="H36" i="290" l="1"/>
  <c r="K35" i="290"/>
  <c r="K37" i="288"/>
  <c r="H38" i="288"/>
  <c r="H37" i="290" l="1"/>
  <c r="K36" i="290"/>
  <c r="H39" i="288"/>
  <c r="K38" i="288"/>
  <c r="H38" i="290" l="1"/>
  <c r="K37" i="290"/>
  <c r="H40" i="288"/>
  <c r="K39" i="288"/>
  <c r="H39" i="290" l="1"/>
  <c r="K38" i="290"/>
  <c r="K40" i="288"/>
  <c r="H41" i="288"/>
  <c r="H40" i="290" l="1"/>
  <c r="K39" i="290"/>
  <c r="K41" i="288"/>
  <c r="H42" i="288"/>
  <c r="K42" i="288" l="1"/>
  <c r="H43" i="288"/>
  <c r="K40" i="290"/>
  <c r="H41" i="290"/>
  <c r="H44" i="288" l="1"/>
  <c r="K43" i="288"/>
  <c r="H42" i="290"/>
  <c r="K41" i="290"/>
  <c r="K42" i="290" l="1"/>
  <c r="H43" i="290"/>
  <c r="H45" i="288"/>
  <c r="K44" i="288"/>
  <c r="K43" i="290" l="1"/>
  <c r="H44" i="290"/>
  <c r="H46" i="288"/>
  <c r="K45" i="288"/>
  <c r="H45" i="290" l="1"/>
  <c r="K44" i="290"/>
  <c r="H47" i="288"/>
  <c r="K46" i="288"/>
  <c r="K45" i="290" l="1"/>
  <c r="H46" i="290"/>
  <c r="H48" i="288"/>
  <c r="K47" i="288"/>
  <c r="H47" i="290" l="1"/>
  <c r="K46" i="290"/>
  <c r="H49" i="288"/>
  <c r="K48" i="288"/>
  <c r="H48" i="290" l="1"/>
  <c r="K47" i="290"/>
  <c r="H50" i="288"/>
  <c r="K49" i="288"/>
  <c r="H49" i="290" l="1"/>
  <c r="K48" i="290"/>
  <c r="H51" i="288"/>
  <c r="K50" i="288"/>
  <c r="H50" i="290" l="1"/>
  <c r="K49" i="290"/>
  <c r="H52" i="288"/>
  <c r="K51" i="288"/>
  <c r="K52" i="288" l="1"/>
  <c r="H53" i="288"/>
  <c r="H51" i="290"/>
  <c r="K50" i="290"/>
  <c r="K53" i="288" l="1"/>
  <c r="H54" i="288"/>
  <c r="H52" i="290"/>
  <c r="H53" i="290" s="1"/>
  <c r="K51" i="290"/>
  <c r="K53" i="290" l="1"/>
  <c r="H54" i="290"/>
  <c r="K52" i="290"/>
  <c r="K54" i="288"/>
  <c r="K54" i="290" l="1"/>
  <c r="K55" i="288"/>
  <c r="K55" i="290" l="1"/>
  <c r="K56" i="288"/>
  <c r="K56" i="290" l="1"/>
  <c r="K57" i="288"/>
  <c r="K57" i="290" l="1"/>
  <c r="K58" i="288"/>
  <c r="K58" i="290" l="1"/>
  <c r="K59" i="288"/>
  <c r="K59" i="290" l="1"/>
  <c r="K60" i="288"/>
  <c r="K60" i="290" l="1"/>
  <c r="K61" i="288"/>
  <c r="K61" i="290" l="1"/>
  <c r="K62" i="288"/>
  <c r="K62" i="290" l="1"/>
  <c r="K64" i="288"/>
  <c r="K63" i="288"/>
  <c r="K63" i="290" l="1"/>
  <c r="K64" i="29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D.DeCoria</author>
  </authors>
  <commentList>
    <comment ref="D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To define a name:
Formulas ribbon
Highlight area
Define Name
Type in TAX
INTYY
OK
SHOW FORMULAS ON FORMULA RIBBON</t>
        </r>
      </text>
    </comment>
  </commentList>
</comments>
</file>

<file path=xl/sharedStrings.xml><?xml version="1.0" encoding="utf-8"?>
<sst xmlns="http://schemas.openxmlformats.org/spreadsheetml/2006/main" count="408" uniqueCount="76">
  <si>
    <t>Adjustments</t>
  </si>
  <si>
    <t>Deferred Balance</t>
  </si>
  <si>
    <t>Interest</t>
  </si>
  <si>
    <t>Total</t>
  </si>
  <si>
    <t>Rate</t>
  </si>
  <si>
    <t>Therms</t>
  </si>
  <si>
    <t>State:</t>
  </si>
  <si>
    <t>Washington</t>
  </si>
  <si>
    <t>Description:</t>
  </si>
  <si>
    <t>Account number:</t>
  </si>
  <si>
    <t>Class of customers:</t>
  </si>
  <si>
    <t>Deferral period:</t>
  </si>
  <si>
    <t>Amortization period:</t>
  </si>
  <si>
    <t>Narrative:</t>
  </si>
  <si>
    <t>Deferral</t>
  </si>
  <si>
    <t>Amortization</t>
  </si>
  <si>
    <t>Reconciled By</t>
  </si>
  <si>
    <t>Date Reconciled</t>
  </si>
  <si>
    <t>N/A</t>
  </si>
  <si>
    <t>Debit (Credit)</t>
  </si>
  <si>
    <t>Month/ Year</t>
  </si>
  <si>
    <t>General Ledger Balance</t>
  </si>
  <si>
    <t>Difference to G/L Balance</t>
  </si>
  <si>
    <t>CASCADE NATURAL GAS CORPORATION</t>
  </si>
  <si>
    <t>STATE OF WASHINGTON</t>
  </si>
  <si>
    <t>Interest Rate</t>
  </si>
  <si>
    <t xml:space="preserve"> # of Days in Month</t>
  </si>
  <si>
    <t>Rates can be found at:</t>
  </si>
  <si>
    <t>9XX</t>
  </si>
  <si>
    <t>http://www.ferc.gov/enforcement/acct-matts/interest-rates.asp</t>
  </si>
  <si>
    <t>04LV</t>
  </si>
  <si>
    <t>05LV</t>
  </si>
  <si>
    <t>Various</t>
  </si>
  <si>
    <t>47WA.2540.20481</t>
  </si>
  <si>
    <t>Protected Excess Deferred Income Taxes-Base</t>
  </si>
  <si>
    <t>Amortization of previously deferred Proteccted Excess Deferred Income Taxes</t>
  </si>
  <si>
    <t>TAXINT18</t>
  </si>
  <si>
    <t>TAXINT19</t>
  </si>
  <si>
    <t xml:space="preserve">Therms for </t>
  </si>
  <si>
    <t>Balance transferred from 47WA.2292</t>
  </si>
  <si>
    <t>TAX Interest Rates</t>
  </si>
  <si>
    <t>Rate of 0% per OPUC Docket UG-170929 Order 06</t>
  </si>
  <si>
    <t>47WA.2540.20482</t>
  </si>
  <si>
    <t>Protected Excess Deferred Income Taxes-Gross up</t>
  </si>
  <si>
    <t>Cascade Natural Gas</t>
  </si>
  <si>
    <t>WA Tax Amorization-Therm Sales Master</t>
  </si>
  <si>
    <t>Core</t>
  </si>
  <si>
    <t>Non-Core</t>
  </si>
  <si>
    <t>CA1501</t>
  </si>
  <si>
    <t>CA1501A</t>
  </si>
  <si>
    <t>Net Therms</t>
  </si>
  <si>
    <t>Aug CA1501-Jul vs Aug Terms</t>
  </si>
  <si>
    <t>July</t>
  </si>
  <si>
    <t>Aug</t>
  </si>
  <si>
    <t>Therms input to wrong Sales Class - to be corrected in September</t>
  </si>
  <si>
    <t>T Durado</t>
  </si>
  <si>
    <t>Old Rate</t>
  </si>
  <si>
    <t>New Rate</t>
  </si>
  <si>
    <t>New Rates</t>
  </si>
  <si>
    <t>PGA</t>
  </si>
  <si>
    <t>Prorated</t>
  </si>
  <si>
    <t>Therms input to wrong Sales Class - to be corrected in December</t>
  </si>
  <si>
    <t>TAXINT20</t>
  </si>
  <si>
    <t>Leap Year</t>
  </si>
  <si>
    <t>511/11LV</t>
  </si>
  <si>
    <t>AA</t>
  </si>
  <si>
    <t>A</t>
  </si>
  <si>
    <t>BB</t>
  </si>
  <si>
    <t>B</t>
  </si>
  <si>
    <t>CC</t>
  </si>
  <si>
    <t>6631/6632</t>
  </si>
  <si>
    <t>TAXINT21</t>
  </si>
  <si>
    <t>8/1/18 to Life of Assets</t>
  </si>
  <si>
    <t>True-up of GU caused by 8/1/20 WA Rate Case</t>
  </si>
  <si>
    <t>TAXINT22</t>
  </si>
  <si>
    <t>Annual Amortization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</si>
</sst>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_(* #,##0_);_(* \(#,##0\);_(* &quot;-&quot;??_);_(@_)"/>
    <numFmt numFmtId="166" formatCode="[$-409]mmm\-yy;@"/>
    <numFmt numFmtId="167" formatCode="m/d/yy;@"/>
    <numFmt numFmtId="168" formatCode="0_);\(0\)"/>
    <numFmt numFmtId="169" formatCode="#,##0.000000_);\(#,##0.000000\)"/>
  </numFmts>
  <fonts count="19" x14ac:knownFonts="1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8"/>
      <color indexed="81"/>
      <name val="Tahoma"/>
      <family val="2"/>
    </font>
    <font>
      <sz val="12"/>
      <name val="Helv"/>
    </font>
    <font>
      <u/>
      <sz val="9.6"/>
      <color indexed="12"/>
      <name val="Helv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39" fontId="0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39" fontId="6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39">
    <xf numFmtId="39" fontId="0" fillId="0" borderId="0" xfId="0"/>
    <xf numFmtId="39" fontId="9" fillId="0" borderId="0" xfId="0" applyFont="1"/>
    <xf numFmtId="39" fontId="9" fillId="0" borderId="0" xfId="0" applyFont="1" applyAlignment="1">
      <alignment horizontal="left"/>
    </xf>
    <xf numFmtId="39" fontId="10" fillId="0" borderId="1" xfId="0" applyFont="1" applyBorder="1" applyAlignment="1">
      <alignment horizontal="center" wrapText="1"/>
    </xf>
    <xf numFmtId="39" fontId="12" fillId="0" borderId="0" xfId="0" applyFont="1"/>
    <xf numFmtId="39" fontId="9" fillId="0" borderId="0" xfId="0" applyFont="1" applyAlignment="1">
      <alignment horizontal="right"/>
    </xf>
    <xf numFmtId="10" fontId="9" fillId="0" borderId="0" xfId="12" applyNumberFormat="1" applyFont="1" applyAlignment="1">
      <alignment horizontal="center"/>
    </xf>
    <xf numFmtId="10" fontId="9" fillId="0" borderId="1" xfId="12" applyNumberFormat="1" applyFont="1" applyBorder="1" applyAlignment="1">
      <alignment horizontal="center"/>
    </xf>
    <xf numFmtId="39" fontId="13" fillId="0" borderId="0" xfId="0" applyFont="1" applyAlignment="1">
      <alignment horizontal="left"/>
    </xf>
    <xf numFmtId="39" fontId="14" fillId="0" borderId="0" xfId="7" applyNumberFormat="1" applyFont="1" applyAlignment="1" applyProtection="1">
      <alignment horizontal="left"/>
    </xf>
    <xf numFmtId="37" fontId="9" fillId="0" borderId="1" xfId="0" applyNumberFormat="1" applyFont="1" applyBorder="1" applyAlignment="1">
      <alignment horizontal="center"/>
    </xf>
    <xf numFmtId="37" fontId="9" fillId="0" borderId="0" xfId="0" applyNumberFormat="1" applyFont="1" applyAlignment="1">
      <alignment horizontal="center"/>
    </xf>
    <xf numFmtId="37" fontId="9" fillId="0" borderId="2" xfId="0" applyNumberFormat="1" applyFont="1" applyBorder="1" applyAlignment="1">
      <alignment horizontal="center"/>
    </xf>
    <xf numFmtId="39" fontId="10" fillId="0" borderId="1" xfId="0" applyFont="1" applyBorder="1" applyAlignment="1">
      <alignment horizontal="center"/>
    </xf>
    <xf numFmtId="43" fontId="9" fillId="0" borderId="0" xfId="1" applyFont="1"/>
    <xf numFmtId="39" fontId="9" fillId="0" borderId="0" xfId="0" applyFont="1" applyAlignment="1">
      <alignment horizontal="center"/>
    </xf>
    <xf numFmtId="0" fontId="9" fillId="0" borderId="0" xfId="9" applyFont="1"/>
    <xf numFmtId="17" fontId="9" fillId="0" borderId="0" xfId="9" applyNumberFormat="1" applyFont="1"/>
    <xf numFmtId="39" fontId="9" fillId="0" borderId="0" xfId="9" applyNumberFormat="1" applyFont="1"/>
    <xf numFmtId="0" fontId="11" fillId="0" borderId="0" xfId="9" applyFont="1"/>
    <xf numFmtId="39" fontId="9" fillId="0" borderId="0" xfId="9" applyNumberFormat="1" applyFont="1" applyAlignment="1">
      <alignment horizontal="fill"/>
    </xf>
    <xf numFmtId="39" fontId="11" fillId="0" borderId="0" xfId="9" applyNumberFormat="1" applyFont="1"/>
    <xf numFmtId="39" fontId="7" fillId="0" borderId="0" xfId="7" applyNumberFormat="1" applyAlignment="1" applyProtection="1">
      <alignment horizontal="left"/>
    </xf>
    <xf numFmtId="39" fontId="9" fillId="0" borderId="0" xfId="0" applyFont="1" applyAlignment="1">
      <alignment horizontal="left" vertical="top"/>
    </xf>
    <xf numFmtId="39" fontId="9" fillId="0" borderId="0" xfId="0" applyFont="1" applyAlignment="1">
      <alignment horizontal="left" wrapText="1"/>
    </xf>
    <xf numFmtId="39" fontId="9" fillId="0" borderId="0" xfId="0" applyFont="1" applyAlignment="1" applyProtection="1">
      <alignment horizontal="left"/>
      <protection locked="0"/>
    </xf>
    <xf numFmtId="43" fontId="11" fillId="0" borderId="0" xfId="1" applyFont="1"/>
    <xf numFmtId="39" fontId="16" fillId="0" borderId="0" xfId="0" applyFont="1"/>
    <xf numFmtId="166" fontId="16" fillId="0" borderId="0" xfId="0" applyNumberFormat="1" applyFont="1"/>
    <xf numFmtId="37" fontId="16" fillId="0" borderId="13" xfId="0" applyNumberFormat="1" applyFont="1" applyBorder="1" applyAlignment="1">
      <alignment horizontal="center"/>
    </xf>
    <xf numFmtId="165" fontId="16" fillId="0" borderId="0" xfId="1" applyNumberFormat="1" applyFont="1"/>
    <xf numFmtId="37" fontId="9" fillId="0" borderId="0" xfId="9" applyNumberFormat="1" applyFont="1"/>
    <xf numFmtId="39" fontId="9" fillId="0" borderId="0" xfId="9" applyNumberFormat="1" applyFont="1" applyAlignment="1">
      <alignment horizontal="center"/>
    </xf>
    <xf numFmtId="37" fontId="16" fillId="0" borderId="0" xfId="0" applyNumberFormat="1" applyFont="1"/>
    <xf numFmtId="39" fontId="16" fillId="0" borderId="0" xfId="0" applyFont="1" applyAlignment="1">
      <alignment horizontal="center"/>
    </xf>
    <xf numFmtId="168" fontId="16" fillId="0" borderId="13" xfId="0" applyNumberFormat="1" applyFont="1" applyBorder="1" applyAlignment="1">
      <alignment horizontal="center"/>
    </xf>
    <xf numFmtId="39" fontId="16" fillId="0" borderId="2" xfId="0" applyFont="1" applyBorder="1" applyAlignment="1">
      <alignment horizontal="center"/>
    </xf>
    <xf numFmtId="39" fontId="16" fillId="0" borderId="1" xfId="0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166" fontId="9" fillId="0" borderId="7" xfId="11" applyNumberFormat="1" applyFont="1" applyBorder="1" applyAlignment="1">
      <alignment horizontal="center" vertical="top"/>
    </xf>
    <xf numFmtId="166" fontId="9" fillId="0" borderId="9" xfId="11" applyNumberFormat="1" applyFont="1" applyBorder="1" applyAlignment="1">
      <alignment horizontal="center" vertical="top"/>
    </xf>
    <xf numFmtId="165" fontId="16" fillId="2" borderId="0" xfId="1" applyNumberFormat="1" applyFont="1" applyFill="1"/>
    <xf numFmtId="37" fontId="16" fillId="0" borderId="0" xfId="0" applyNumberFormat="1" applyFont="1" applyAlignment="1">
      <alignment horizontal="center"/>
    </xf>
    <xf numFmtId="39" fontId="16" fillId="3" borderId="0" xfId="0" applyFont="1" applyFill="1"/>
    <xf numFmtId="168" fontId="16" fillId="0" borderId="0" xfId="0" applyNumberFormat="1" applyFont="1" applyAlignment="1">
      <alignment horizontal="center"/>
    </xf>
    <xf numFmtId="37" fontId="16" fillId="0" borderId="23" xfId="0" applyNumberFormat="1" applyFont="1" applyBorder="1" applyAlignment="1">
      <alignment horizontal="center"/>
    </xf>
    <xf numFmtId="165" fontId="16" fillId="0" borderId="7" xfId="1" applyNumberFormat="1" applyFont="1" applyBorder="1"/>
    <xf numFmtId="165" fontId="16" fillId="3" borderId="7" xfId="1" applyNumberFormat="1" applyFont="1" applyFill="1" applyBorder="1"/>
    <xf numFmtId="0" fontId="16" fillId="0" borderId="7" xfId="0" applyNumberFormat="1" applyFont="1" applyBorder="1" applyAlignment="1">
      <alignment horizontal="center"/>
    </xf>
    <xf numFmtId="165" fontId="16" fillId="2" borderId="7" xfId="1" applyNumberFormat="1" applyFont="1" applyFill="1" applyBorder="1"/>
    <xf numFmtId="168" fontId="16" fillId="0" borderId="23" xfId="0" applyNumberFormat="1" applyFont="1" applyBorder="1" applyAlignment="1">
      <alignment horizontal="center"/>
    </xf>
    <xf numFmtId="39" fontId="16" fillId="0" borderId="7" xfId="0" applyFont="1" applyBorder="1"/>
    <xf numFmtId="39" fontId="16" fillId="0" borderId="23" xfId="0" applyFont="1" applyBorder="1" applyAlignment="1">
      <alignment horizontal="center"/>
    </xf>
    <xf numFmtId="39" fontId="16" fillId="4" borderId="0" xfId="0" applyFont="1" applyFill="1"/>
    <xf numFmtId="165" fontId="16" fillId="4" borderId="7" xfId="1" applyNumberFormat="1" applyFont="1" applyFill="1" applyBorder="1"/>
    <xf numFmtId="43" fontId="16" fillId="0" borderId="0" xfId="1" applyFont="1"/>
    <xf numFmtId="43" fontId="16" fillId="0" borderId="7" xfId="1" applyFont="1" applyBorder="1"/>
    <xf numFmtId="39" fontId="10" fillId="0" borderId="0" xfId="0" applyFont="1" applyBorder="1" applyAlignment="1">
      <alignment horizontal="center" wrapText="1"/>
    </xf>
    <xf numFmtId="166" fontId="9" fillId="0" borderId="5" xfId="11" applyNumberFormat="1" applyFont="1" applyBorder="1" applyAlignment="1">
      <alignment horizontal="center" vertical="top"/>
    </xf>
    <xf numFmtId="10" fontId="9" fillId="0" borderId="2" xfId="12" applyNumberFormat="1" applyFont="1" applyBorder="1" applyAlignment="1">
      <alignment horizontal="center"/>
    </xf>
    <xf numFmtId="37" fontId="9" fillId="0" borderId="6" xfId="0" applyNumberFormat="1" applyFont="1" applyBorder="1" applyAlignment="1">
      <alignment horizontal="center"/>
    </xf>
    <xf numFmtId="10" fontId="9" fillId="0" borderId="0" xfId="12" applyNumberFormat="1" applyFont="1" applyBorder="1" applyAlignment="1">
      <alignment horizontal="center"/>
    </xf>
    <xf numFmtId="37" fontId="9" fillId="0" borderId="8" xfId="0" applyNumberFormat="1" applyFont="1" applyBorder="1" applyAlignment="1">
      <alignment horizontal="center"/>
    </xf>
    <xf numFmtId="37" fontId="9" fillId="0" borderId="22" xfId="0" applyNumberFormat="1" applyFont="1" applyBorder="1" applyAlignment="1">
      <alignment horizontal="center"/>
    </xf>
    <xf numFmtId="37" fontId="9" fillId="2" borderId="8" xfId="0" applyNumberFormat="1" applyFont="1" applyFill="1" applyBorder="1" applyAlignment="1">
      <alignment horizontal="center"/>
    </xf>
    <xf numFmtId="165" fontId="16" fillId="0" borderId="0" xfId="1" applyNumberFormat="1" applyFont="1" applyAlignment="1">
      <alignment horizontal="center"/>
    </xf>
    <xf numFmtId="165" fontId="16" fillId="0" borderId="7" xfId="1" applyNumberFormat="1" applyFont="1" applyBorder="1" applyAlignment="1">
      <alignment horizontal="center"/>
    </xf>
    <xf numFmtId="165" fontId="16" fillId="0" borderId="0" xfId="1" applyNumberFormat="1" applyFont="1" applyAlignment="1">
      <alignment horizontal="center"/>
    </xf>
    <xf numFmtId="166" fontId="18" fillId="0" borderId="0" xfId="0" applyNumberFormat="1" applyFont="1"/>
    <xf numFmtId="165" fontId="18" fillId="0" borderId="0" xfId="1" applyNumberFormat="1" applyFont="1" applyAlignment="1">
      <alignment horizontal="center"/>
    </xf>
    <xf numFmtId="165" fontId="18" fillId="0" borderId="0" xfId="1" applyNumberFormat="1" applyFont="1"/>
    <xf numFmtId="39" fontId="18" fillId="0" borderId="0" xfId="0" applyFont="1"/>
    <xf numFmtId="168" fontId="16" fillId="0" borderId="23" xfId="0" quotePrefix="1" applyNumberFormat="1" applyFont="1" applyBorder="1" applyAlignment="1">
      <alignment horizontal="center"/>
    </xf>
    <xf numFmtId="37" fontId="9" fillId="0" borderId="8" xfId="0" applyNumberFormat="1" applyFont="1" applyFill="1" applyBorder="1" applyAlignment="1">
      <alignment horizontal="center"/>
    </xf>
    <xf numFmtId="166" fontId="9" fillId="0" borderId="0" xfId="11" applyNumberFormat="1" applyFont="1" applyBorder="1" applyAlignment="1">
      <alignment horizontal="center" vertical="top"/>
    </xf>
    <xf numFmtId="165" fontId="18" fillId="0" borderId="0" xfId="1" applyNumberFormat="1" applyFont="1" applyAlignment="1">
      <alignment vertical="center"/>
    </xf>
    <xf numFmtId="167" fontId="9" fillId="0" borderId="0" xfId="0" applyNumberFormat="1" applyFont="1" applyAlignment="1">
      <alignment horizontal="center"/>
    </xf>
    <xf numFmtId="43" fontId="9" fillId="2" borderId="0" xfId="1" applyFont="1" applyFill="1"/>
    <xf numFmtId="39" fontId="9" fillId="2" borderId="0" xfId="0" applyFont="1" applyFill="1"/>
    <xf numFmtId="39" fontId="9" fillId="0" borderId="0" xfId="9" applyNumberFormat="1" applyFont="1" applyBorder="1" applyAlignment="1" applyProtection="1">
      <alignment horizontal="left"/>
      <protection locked="0"/>
    </xf>
    <xf numFmtId="39" fontId="9" fillId="0" borderId="0" xfId="9" applyNumberFormat="1" applyFont="1" applyBorder="1" applyAlignment="1">
      <alignment horizontal="left" vertical="top" wrapText="1"/>
    </xf>
    <xf numFmtId="39" fontId="10" fillId="5" borderId="1" xfId="0" applyFont="1" applyFill="1" applyBorder="1" applyAlignment="1">
      <alignment horizontal="center" wrapText="1"/>
    </xf>
    <xf numFmtId="39" fontId="9" fillId="5" borderId="0" xfId="9" applyNumberFormat="1" applyFont="1" applyFill="1"/>
    <xf numFmtId="39" fontId="11" fillId="5" borderId="0" xfId="9" applyNumberFormat="1" applyFont="1" applyFill="1"/>
    <xf numFmtId="39" fontId="16" fillId="0" borderId="0" xfId="0" applyFont="1" applyAlignment="1">
      <alignment horizontal="center"/>
    </xf>
    <xf numFmtId="165" fontId="16" fillId="0" borderId="0" xfId="1" applyNumberFormat="1" applyFont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37" fontId="9" fillId="0" borderId="21" xfId="0" applyNumberFormat="1" applyFont="1" applyBorder="1" applyAlignment="1">
      <alignment horizontal="center"/>
    </xf>
    <xf numFmtId="37" fontId="9" fillId="0" borderId="13" xfId="0" applyNumberFormat="1" applyFont="1" applyBorder="1" applyAlignment="1">
      <alignment horizontal="center"/>
    </xf>
    <xf numFmtId="37" fontId="9" fillId="0" borderId="20" xfId="0" applyNumberFormat="1" applyFont="1" applyBorder="1" applyAlignment="1">
      <alignment horizontal="center"/>
    </xf>
    <xf numFmtId="168" fontId="9" fillId="0" borderId="21" xfId="0" quotePrefix="1" applyNumberFormat="1" applyFont="1" applyBorder="1" applyAlignment="1">
      <alignment horizontal="center"/>
    </xf>
    <xf numFmtId="168" fontId="9" fillId="0" borderId="13" xfId="0" applyNumberFormat="1" applyFont="1" applyBorder="1" applyAlignment="1">
      <alignment horizontal="center"/>
    </xf>
    <xf numFmtId="168" fontId="9" fillId="0" borderId="20" xfId="0" applyNumberFormat="1" applyFont="1" applyBorder="1" applyAlignment="1">
      <alignment horizontal="center"/>
    </xf>
    <xf numFmtId="39" fontId="9" fillId="0" borderId="13" xfId="0" applyFont="1" applyBorder="1" applyAlignment="1">
      <alignment horizontal="center"/>
    </xf>
    <xf numFmtId="166" fontId="9" fillId="0" borderId="0" xfId="0" applyNumberFormat="1" applyFont="1"/>
    <xf numFmtId="165" fontId="9" fillId="0" borderId="11" xfId="1" applyNumberFormat="1" applyFont="1" applyBorder="1"/>
    <xf numFmtId="165" fontId="9" fillId="0" borderId="0" xfId="1" applyNumberFormat="1" applyFont="1"/>
    <xf numFmtId="165" fontId="9" fillId="0" borderId="8" xfId="1" applyNumberFormat="1" applyFont="1" applyBorder="1"/>
    <xf numFmtId="37" fontId="9" fillId="0" borderId="0" xfId="0" applyNumberFormat="1" applyFont="1"/>
    <xf numFmtId="39" fontId="9" fillId="0" borderId="1" xfId="0" applyFont="1" applyBorder="1"/>
    <xf numFmtId="169" fontId="9" fillId="0" borderId="0" xfId="0" applyNumberFormat="1" applyFont="1"/>
    <xf numFmtId="164" fontId="9" fillId="0" borderId="0" xfId="0" applyNumberFormat="1" applyFont="1"/>
    <xf numFmtId="169" fontId="9" fillId="0" borderId="0" xfId="0" applyNumberFormat="1" applyFont="1" applyFill="1"/>
    <xf numFmtId="43" fontId="9" fillId="0" borderId="0" xfId="1" applyFont="1" applyAlignment="1">
      <alignment horizontal="center"/>
    </xf>
    <xf numFmtId="168" fontId="9" fillId="0" borderId="21" xfId="0" applyNumberFormat="1" applyFont="1" applyBorder="1" applyAlignment="1">
      <alignment horizontal="center"/>
    </xf>
    <xf numFmtId="165" fontId="9" fillId="0" borderId="0" xfId="1" applyNumberFormat="1" applyFont="1" applyBorder="1"/>
    <xf numFmtId="39" fontId="9" fillId="0" borderId="10" xfId="0" applyFont="1" applyBorder="1" applyAlignment="1">
      <alignment horizontal="center" vertical="center" textRotation="90"/>
    </xf>
    <xf numFmtId="39" fontId="9" fillId="0" borderId="11" xfId="0" applyFont="1" applyBorder="1" applyAlignment="1">
      <alignment horizontal="center" vertical="center" textRotation="90"/>
    </xf>
    <xf numFmtId="39" fontId="9" fillId="0" borderId="12" xfId="0" applyFont="1" applyBorder="1" applyAlignment="1">
      <alignment horizontal="center" vertical="center" textRotation="90"/>
    </xf>
    <xf numFmtId="0" fontId="16" fillId="0" borderId="9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39" fontId="17" fillId="0" borderId="0" xfId="0" applyFont="1" applyAlignment="1">
      <alignment horizontal="left"/>
    </xf>
    <xf numFmtId="39" fontId="16" fillId="0" borderId="0" xfId="0" applyFont="1" applyAlignment="1">
      <alignment horizontal="center"/>
    </xf>
    <xf numFmtId="165" fontId="16" fillId="0" borderId="13" xfId="1" applyNumberFormat="1" applyFont="1" applyBorder="1" applyAlignment="1">
      <alignment horizontal="center"/>
    </xf>
    <xf numFmtId="165" fontId="16" fillId="0" borderId="0" xfId="1" applyNumberFormat="1" applyFont="1" applyAlignment="1">
      <alignment horizontal="center"/>
    </xf>
    <xf numFmtId="39" fontId="9" fillId="0" borderId="17" xfId="0" applyFont="1" applyBorder="1" applyAlignment="1">
      <alignment horizontal="left" vertical="top"/>
    </xf>
    <xf numFmtId="39" fontId="9" fillId="0" borderId="18" xfId="0" applyFont="1" applyBorder="1" applyAlignment="1">
      <alignment horizontal="left" vertical="top"/>
    </xf>
    <xf numFmtId="39" fontId="9" fillId="0" borderId="18" xfId="9" applyNumberFormat="1" applyFont="1" applyBorder="1" applyAlignment="1">
      <alignment horizontal="left" vertical="top" wrapText="1"/>
    </xf>
    <xf numFmtId="39" fontId="9" fillId="0" borderId="19" xfId="9" applyNumberFormat="1" applyFont="1" applyBorder="1" applyAlignment="1">
      <alignment horizontal="left" vertical="top" wrapText="1"/>
    </xf>
    <xf numFmtId="39" fontId="15" fillId="0" borderId="0" xfId="0" applyFont="1" applyAlignment="1">
      <alignment horizontal="center"/>
    </xf>
    <xf numFmtId="39" fontId="9" fillId="0" borderId="0" xfId="9" applyNumberFormat="1" applyFont="1" applyAlignment="1">
      <alignment horizontal="right"/>
    </xf>
    <xf numFmtId="39" fontId="9" fillId="0" borderId="16" xfId="0" applyFont="1" applyBorder="1" applyAlignment="1">
      <alignment horizontal="left"/>
    </xf>
    <xf numFmtId="39" fontId="9" fillId="0" borderId="0" xfId="0" applyFont="1" applyAlignment="1">
      <alignment horizontal="left"/>
    </xf>
    <xf numFmtId="39" fontId="9" fillId="0" borderId="0" xfId="9" applyNumberFormat="1" applyFont="1" applyAlignment="1" applyProtection="1">
      <alignment horizontal="left"/>
      <protection locked="0"/>
    </xf>
    <xf numFmtId="39" fontId="9" fillId="0" borderId="3" xfId="9" applyNumberFormat="1" applyFont="1" applyBorder="1" applyAlignment="1" applyProtection="1">
      <alignment horizontal="left"/>
      <protection locked="0"/>
    </xf>
    <xf numFmtId="39" fontId="9" fillId="0" borderId="14" xfId="0" applyFont="1" applyBorder="1" applyAlignment="1">
      <alignment horizontal="left"/>
    </xf>
    <xf numFmtId="39" fontId="9" fillId="0" borderId="4" xfId="0" applyFont="1" applyBorder="1" applyAlignment="1">
      <alignment horizontal="left"/>
    </xf>
    <xf numFmtId="39" fontId="9" fillId="0" borderId="4" xfId="9" applyNumberFormat="1" applyFont="1" applyBorder="1" applyAlignment="1" applyProtection="1">
      <alignment horizontal="left"/>
      <protection locked="0"/>
    </xf>
    <xf numFmtId="39" fontId="9" fillId="0" borderId="15" xfId="9" applyNumberFormat="1" applyFont="1" applyBorder="1" applyAlignment="1" applyProtection="1">
      <alignment horizontal="left"/>
      <protection locked="0"/>
    </xf>
    <xf numFmtId="0" fontId="9" fillId="0" borderId="9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22" xfId="0" applyNumberFormat="1" applyFont="1" applyBorder="1" applyAlignment="1">
      <alignment horizontal="center"/>
    </xf>
    <xf numFmtId="39" fontId="9" fillId="0" borderId="0" xfId="0" applyFont="1" applyBorder="1"/>
    <xf numFmtId="37" fontId="9" fillId="0" borderId="0" xfId="0" applyNumberFormat="1" applyFont="1" applyBorder="1" applyAlignment="1">
      <alignment horizontal="center"/>
    </xf>
    <xf numFmtId="168" fontId="9" fillId="0" borderId="0" xfId="0" quotePrefix="1" applyNumberFormat="1" applyFont="1" applyBorder="1" applyAlignment="1">
      <alignment horizontal="center"/>
    </xf>
    <xf numFmtId="168" fontId="9" fillId="0" borderId="0" xfId="0" applyNumberFormat="1" applyFont="1" applyBorder="1" applyAlignment="1">
      <alignment horizontal="center"/>
    </xf>
    <xf numFmtId="39" fontId="9" fillId="0" borderId="0" xfId="0" applyFont="1" applyBorder="1" applyAlignment="1">
      <alignment horizontal="center"/>
    </xf>
    <xf numFmtId="166" fontId="9" fillId="0" borderId="0" xfId="0" applyNumberFormat="1" applyFont="1" applyBorder="1"/>
  </cellXfs>
  <cellStyles count="20">
    <cellStyle name="Comma" xfId="1" builtinId="3"/>
    <cellStyle name="Comma 2" xfId="2" xr:uid="{00000000-0005-0000-0000-000001000000}"/>
    <cellStyle name="Comma 2 2" xfId="3" xr:uid="{00000000-0005-0000-0000-000002000000}"/>
    <cellStyle name="Comma 2 3" xfId="14" xr:uid="{00000000-0005-0000-0000-000003000000}"/>
    <cellStyle name="Comma 2 3 2" xfId="18" xr:uid="{00000000-0005-0000-0000-000004000000}"/>
    <cellStyle name="Comma 2 4" xfId="16" xr:uid="{00000000-0005-0000-0000-000005000000}"/>
    <cellStyle name="Comma 3" xfId="4" xr:uid="{00000000-0005-0000-0000-000006000000}"/>
    <cellStyle name="Currency 2" xfId="5" xr:uid="{00000000-0005-0000-0000-000007000000}"/>
    <cellStyle name="Currency 3" xfId="6" xr:uid="{00000000-0005-0000-0000-000008000000}"/>
    <cellStyle name="Hyperlink" xfId="7" builtinId="8"/>
    <cellStyle name="Hyperlink 2" xfId="8" xr:uid="{00000000-0005-0000-0000-00000A000000}"/>
    <cellStyle name="Normal" xfId="0" builtinId="0"/>
    <cellStyle name="Normal 2" xfId="9" xr:uid="{00000000-0005-0000-0000-00000C000000}"/>
    <cellStyle name="Normal 2 2" xfId="10" xr:uid="{00000000-0005-0000-0000-00000D000000}"/>
    <cellStyle name="Normal 2 3" xfId="15" xr:uid="{00000000-0005-0000-0000-00000E000000}"/>
    <cellStyle name="Normal 2 3 2" xfId="19" xr:uid="{00000000-0005-0000-0000-00000F000000}"/>
    <cellStyle name="Normal 2 4" xfId="17" xr:uid="{00000000-0005-0000-0000-000010000000}"/>
    <cellStyle name="Normal 3" xfId="11" xr:uid="{00000000-0005-0000-0000-000011000000}"/>
    <cellStyle name="Percent" xfId="12" builtinId="5"/>
    <cellStyle name="Percent 2" xfId="13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rc.gov/enforcement/acct-matts/interest-rates.as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 codeName="Sheet210"/>
  <dimension ref="A1:E69"/>
  <sheetViews>
    <sheetView showGridLines="0" view="pageBreakPreview" topLeftCell="A34" zoomScaleNormal="60" zoomScaleSheetLayoutView="100" workbookViewId="0">
      <selection activeCell="G61" sqref="G61"/>
    </sheetView>
  </sheetViews>
  <sheetFormatPr defaultColWidth="12.77734375" defaultRowHeight="12.75" x14ac:dyDescent="0.2"/>
  <cols>
    <col min="1" max="3" width="13.77734375" style="1" customWidth="1"/>
    <col min="4" max="4" width="2.6640625" style="1" bestFit="1" customWidth="1"/>
    <col min="5" max="22" width="12.77734375" style="1"/>
    <col min="23" max="23" width="12.77734375" style="1" customWidth="1"/>
    <col min="24" max="85" width="12.77734375" style="1"/>
    <col min="86" max="86" width="13.77734375" style="1" customWidth="1"/>
    <col min="87" max="16384" width="12.77734375" style="1"/>
  </cols>
  <sheetData>
    <row r="1" spans="1:5" s="4" customFormat="1" ht="15.75" x14ac:dyDescent="0.25">
      <c r="A1" s="8" t="s">
        <v>23</v>
      </c>
      <c r="B1" s="8"/>
      <c r="C1" s="8"/>
      <c r="D1" s="8"/>
    </row>
    <row r="2" spans="1:5" s="4" customFormat="1" ht="15.75" x14ac:dyDescent="0.25">
      <c r="A2" s="8" t="s">
        <v>24</v>
      </c>
      <c r="B2" s="8"/>
      <c r="C2" s="8"/>
      <c r="D2" s="8"/>
    </row>
    <row r="3" spans="1:5" s="4" customFormat="1" ht="15.75" x14ac:dyDescent="0.25">
      <c r="A3" s="8" t="s">
        <v>40</v>
      </c>
      <c r="B3" s="8"/>
      <c r="C3" s="8"/>
      <c r="D3" s="8"/>
    </row>
    <row r="4" spans="1:5" x14ac:dyDescent="0.2">
      <c r="A4" s="2"/>
      <c r="B4" s="2"/>
      <c r="C4" s="2"/>
      <c r="D4" s="2"/>
    </row>
    <row r="5" spans="1:5" ht="15.75" customHeight="1" x14ac:dyDescent="0.2">
      <c r="A5" s="2" t="s">
        <v>41</v>
      </c>
      <c r="B5" s="2"/>
      <c r="C5" s="2"/>
      <c r="D5" s="2"/>
    </row>
    <row r="6" spans="1:5" ht="15.75" customHeight="1" x14ac:dyDescent="0.2">
      <c r="A6" s="2" t="s">
        <v>27</v>
      </c>
      <c r="B6" s="2"/>
      <c r="C6" s="2"/>
      <c r="D6" s="2"/>
    </row>
    <row r="7" spans="1:5" ht="15.75" customHeight="1" x14ac:dyDescent="0.2">
      <c r="A7" s="22" t="s">
        <v>29</v>
      </c>
      <c r="B7" s="9"/>
      <c r="C7" s="9"/>
      <c r="D7" s="9"/>
    </row>
    <row r="8" spans="1:5" x14ac:dyDescent="0.2">
      <c r="A8" s="2"/>
      <c r="B8" s="2"/>
      <c r="C8" s="2"/>
      <c r="D8" s="2"/>
    </row>
    <row r="9" spans="1:5" x14ac:dyDescent="0.2">
      <c r="A9" s="3" t="s">
        <v>20</v>
      </c>
      <c r="B9" s="3" t="s">
        <v>25</v>
      </c>
      <c r="C9" s="3" t="s">
        <v>26</v>
      </c>
      <c r="D9" s="3"/>
      <c r="E9" s="5"/>
    </row>
    <row r="10" spans="1:5" ht="12.75" customHeight="1" x14ac:dyDescent="0.2">
      <c r="A10" s="39">
        <v>43131</v>
      </c>
      <c r="B10" s="6">
        <v>0</v>
      </c>
      <c r="C10" s="12">
        <v>31</v>
      </c>
      <c r="D10" s="107" t="s">
        <v>36</v>
      </c>
    </row>
    <row r="11" spans="1:5" x14ac:dyDescent="0.2">
      <c r="A11" s="39">
        <v>43159</v>
      </c>
      <c r="B11" s="6">
        <f t="shared" ref="B11:B69" si="0">B10</f>
        <v>0</v>
      </c>
      <c r="C11" s="11">
        <v>28</v>
      </c>
      <c r="D11" s="108"/>
    </row>
    <row r="12" spans="1:5" x14ac:dyDescent="0.2">
      <c r="A12" s="39">
        <v>43190</v>
      </c>
      <c r="B12" s="6">
        <f t="shared" si="0"/>
        <v>0</v>
      </c>
      <c r="C12" s="11">
        <v>31</v>
      </c>
      <c r="D12" s="108"/>
    </row>
    <row r="13" spans="1:5" x14ac:dyDescent="0.2">
      <c r="A13" s="39">
        <v>43220</v>
      </c>
      <c r="B13" s="6">
        <v>0</v>
      </c>
      <c r="C13" s="11">
        <v>30</v>
      </c>
      <c r="D13" s="108"/>
    </row>
    <row r="14" spans="1:5" x14ac:dyDescent="0.2">
      <c r="A14" s="39">
        <v>43251</v>
      </c>
      <c r="B14" s="6">
        <f t="shared" si="0"/>
        <v>0</v>
      </c>
      <c r="C14" s="11">
        <v>31</v>
      </c>
      <c r="D14" s="108"/>
    </row>
    <row r="15" spans="1:5" x14ac:dyDescent="0.2">
      <c r="A15" s="39">
        <v>43281</v>
      </c>
      <c r="B15" s="6">
        <f t="shared" si="0"/>
        <v>0</v>
      </c>
      <c r="C15" s="11">
        <v>30</v>
      </c>
      <c r="D15" s="108"/>
    </row>
    <row r="16" spans="1:5" x14ac:dyDescent="0.2">
      <c r="A16" s="39">
        <v>43312</v>
      </c>
      <c r="B16" s="6">
        <v>0</v>
      </c>
      <c r="C16" s="11">
        <v>31</v>
      </c>
      <c r="D16" s="108"/>
    </row>
    <row r="17" spans="1:4" x14ac:dyDescent="0.2">
      <c r="A17" s="39">
        <v>43343</v>
      </c>
      <c r="B17" s="6">
        <v>0</v>
      </c>
      <c r="C17" s="11">
        <v>31</v>
      </c>
      <c r="D17" s="108"/>
    </row>
    <row r="18" spans="1:4" x14ac:dyDescent="0.2">
      <c r="A18" s="39">
        <v>43373</v>
      </c>
      <c r="B18" s="6">
        <f t="shared" si="0"/>
        <v>0</v>
      </c>
      <c r="C18" s="11">
        <v>30</v>
      </c>
      <c r="D18" s="108"/>
    </row>
    <row r="19" spans="1:4" x14ac:dyDescent="0.2">
      <c r="A19" s="39">
        <v>43404</v>
      </c>
      <c r="B19" s="6">
        <f t="shared" si="0"/>
        <v>0</v>
      </c>
      <c r="C19" s="11">
        <v>31</v>
      </c>
      <c r="D19" s="108"/>
    </row>
    <row r="20" spans="1:4" x14ac:dyDescent="0.2">
      <c r="A20" s="39">
        <v>43434</v>
      </c>
      <c r="B20" s="6">
        <f t="shared" si="0"/>
        <v>0</v>
      </c>
      <c r="C20" s="11">
        <v>30</v>
      </c>
      <c r="D20" s="108"/>
    </row>
    <row r="21" spans="1:4" x14ac:dyDescent="0.2">
      <c r="A21" s="40">
        <v>43465</v>
      </c>
      <c r="B21" s="7">
        <f t="shared" si="0"/>
        <v>0</v>
      </c>
      <c r="C21" s="10">
        <v>31</v>
      </c>
      <c r="D21" s="109"/>
    </row>
    <row r="22" spans="1:4" ht="12.75" customHeight="1" x14ac:dyDescent="0.2">
      <c r="A22" s="39">
        <v>43496</v>
      </c>
      <c r="B22" s="6">
        <f t="shared" si="0"/>
        <v>0</v>
      </c>
      <c r="C22" s="12">
        <v>31</v>
      </c>
      <c r="D22" s="107" t="s">
        <v>37</v>
      </c>
    </row>
    <row r="23" spans="1:4" x14ac:dyDescent="0.2">
      <c r="A23" s="39">
        <v>43524</v>
      </c>
      <c r="B23" s="6">
        <f t="shared" si="0"/>
        <v>0</v>
      </c>
      <c r="C23" s="11">
        <v>28</v>
      </c>
      <c r="D23" s="108"/>
    </row>
    <row r="24" spans="1:4" x14ac:dyDescent="0.2">
      <c r="A24" s="39">
        <v>43555</v>
      </c>
      <c r="B24" s="6">
        <f t="shared" si="0"/>
        <v>0</v>
      </c>
      <c r="C24" s="11">
        <v>31</v>
      </c>
      <c r="D24" s="108"/>
    </row>
    <row r="25" spans="1:4" x14ac:dyDescent="0.2">
      <c r="A25" s="39">
        <v>43585</v>
      </c>
      <c r="B25" s="6">
        <f t="shared" si="0"/>
        <v>0</v>
      </c>
      <c r="C25" s="11">
        <v>30</v>
      </c>
      <c r="D25" s="108"/>
    </row>
    <row r="26" spans="1:4" x14ac:dyDescent="0.2">
      <c r="A26" s="39">
        <v>43616</v>
      </c>
      <c r="B26" s="6">
        <f>B25</f>
        <v>0</v>
      </c>
      <c r="C26" s="11">
        <v>31</v>
      </c>
      <c r="D26" s="108"/>
    </row>
    <row r="27" spans="1:4" x14ac:dyDescent="0.2">
      <c r="A27" s="39">
        <v>43646</v>
      </c>
      <c r="B27" s="6">
        <f t="shared" si="0"/>
        <v>0</v>
      </c>
      <c r="C27" s="11">
        <v>30</v>
      </c>
      <c r="D27" s="108"/>
    </row>
    <row r="28" spans="1:4" x14ac:dyDescent="0.2">
      <c r="A28" s="39">
        <v>43677</v>
      </c>
      <c r="B28" s="6">
        <f t="shared" si="0"/>
        <v>0</v>
      </c>
      <c r="C28" s="11">
        <v>31</v>
      </c>
      <c r="D28" s="108"/>
    </row>
    <row r="29" spans="1:4" x14ac:dyDescent="0.2">
      <c r="A29" s="39">
        <v>43708</v>
      </c>
      <c r="B29" s="6">
        <f t="shared" si="0"/>
        <v>0</v>
      </c>
      <c r="C29" s="11">
        <v>31</v>
      </c>
      <c r="D29" s="108"/>
    </row>
    <row r="30" spans="1:4" x14ac:dyDescent="0.2">
      <c r="A30" s="39">
        <v>43738</v>
      </c>
      <c r="B30" s="6">
        <f t="shared" si="0"/>
        <v>0</v>
      </c>
      <c r="C30" s="11">
        <v>30</v>
      </c>
      <c r="D30" s="108"/>
    </row>
    <row r="31" spans="1:4" x14ac:dyDescent="0.2">
      <c r="A31" s="39">
        <v>43769</v>
      </c>
      <c r="B31" s="6">
        <f t="shared" si="0"/>
        <v>0</v>
      </c>
      <c r="C31" s="11">
        <v>31</v>
      </c>
      <c r="D31" s="108"/>
    </row>
    <row r="32" spans="1:4" x14ac:dyDescent="0.2">
      <c r="A32" s="39">
        <v>43799</v>
      </c>
      <c r="B32" s="6">
        <f t="shared" si="0"/>
        <v>0</v>
      </c>
      <c r="C32" s="11">
        <v>30</v>
      </c>
      <c r="D32" s="108"/>
    </row>
    <row r="33" spans="1:5" x14ac:dyDescent="0.2">
      <c r="A33" s="40">
        <v>43830</v>
      </c>
      <c r="B33" s="7">
        <f t="shared" si="0"/>
        <v>0</v>
      </c>
      <c r="C33" s="10">
        <v>31</v>
      </c>
      <c r="D33" s="109"/>
    </row>
    <row r="34" spans="1:5" x14ac:dyDescent="0.2">
      <c r="A34" s="58">
        <v>43861</v>
      </c>
      <c r="B34" s="59">
        <f t="shared" si="0"/>
        <v>0</v>
      </c>
      <c r="C34" s="60">
        <v>31</v>
      </c>
      <c r="D34" s="107" t="s">
        <v>62</v>
      </c>
    </row>
    <row r="35" spans="1:5" x14ac:dyDescent="0.2">
      <c r="A35" s="39">
        <v>43890</v>
      </c>
      <c r="B35" s="61">
        <f t="shared" si="0"/>
        <v>0</v>
      </c>
      <c r="C35" s="64">
        <v>29</v>
      </c>
      <c r="D35" s="108"/>
      <c r="E35" s="1" t="s">
        <v>63</v>
      </c>
    </row>
    <row r="36" spans="1:5" x14ac:dyDescent="0.2">
      <c r="A36" s="39">
        <v>43921</v>
      </c>
      <c r="B36" s="61">
        <f t="shared" si="0"/>
        <v>0</v>
      </c>
      <c r="C36" s="62">
        <v>31</v>
      </c>
      <c r="D36" s="108"/>
    </row>
    <row r="37" spans="1:5" x14ac:dyDescent="0.2">
      <c r="A37" s="39">
        <v>43951</v>
      </c>
      <c r="B37" s="61">
        <f t="shared" si="0"/>
        <v>0</v>
      </c>
      <c r="C37" s="62">
        <v>30</v>
      </c>
      <c r="D37" s="108"/>
    </row>
    <row r="38" spans="1:5" x14ac:dyDescent="0.2">
      <c r="A38" s="39">
        <v>43982</v>
      </c>
      <c r="B38" s="61">
        <f>B37</f>
        <v>0</v>
      </c>
      <c r="C38" s="62">
        <v>31</v>
      </c>
      <c r="D38" s="108"/>
    </row>
    <row r="39" spans="1:5" x14ac:dyDescent="0.2">
      <c r="A39" s="39">
        <v>44012</v>
      </c>
      <c r="B39" s="61">
        <f t="shared" si="0"/>
        <v>0</v>
      </c>
      <c r="C39" s="62">
        <v>30</v>
      </c>
      <c r="D39" s="108"/>
    </row>
    <row r="40" spans="1:5" x14ac:dyDescent="0.2">
      <c r="A40" s="39">
        <v>44043</v>
      </c>
      <c r="B40" s="61">
        <f t="shared" si="0"/>
        <v>0</v>
      </c>
      <c r="C40" s="62">
        <v>31</v>
      </c>
      <c r="D40" s="108"/>
    </row>
    <row r="41" spans="1:5" x14ac:dyDescent="0.2">
      <c r="A41" s="39">
        <v>44074</v>
      </c>
      <c r="B41" s="61">
        <f t="shared" si="0"/>
        <v>0</v>
      </c>
      <c r="C41" s="62">
        <v>31</v>
      </c>
      <c r="D41" s="108"/>
    </row>
    <row r="42" spans="1:5" x14ac:dyDescent="0.2">
      <c r="A42" s="39">
        <v>44104</v>
      </c>
      <c r="B42" s="61">
        <f t="shared" si="0"/>
        <v>0</v>
      </c>
      <c r="C42" s="62">
        <v>30</v>
      </c>
      <c r="D42" s="108"/>
    </row>
    <row r="43" spans="1:5" x14ac:dyDescent="0.2">
      <c r="A43" s="39">
        <v>44135</v>
      </c>
      <c r="B43" s="61">
        <f t="shared" si="0"/>
        <v>0</v>
      </c>
      <c r="C43" s="62">
        <v>31</v>
      </c>
      <c r="D43" s="108"/>
    </row>
    <row r="44" spans="1:5" x14ac:dyDescent="0.2">
      <c r="A44" s="39">
        <v>44165</v>
      </c>
      <c r="B44" s="61">
        <f t="shared" si="0"/>
        <v>0</v>
      </c>
      <c r="C44" s="62">
        <v>30</v>
      </c>
      <c r="D44" s="108"/>
    </row>
    <row r="45" spans="1:5" x14ac:dyDescent="0.2">
      <c r="A45" s="40">
        <v>44196</v>
      </c>
      <c r="B45" s="7">
        <f t="shared" si="0"/>
        <v>0</v>
      </c>
      <c r="C45" s="63">
        <v>31</v>
      </c>
      <c r="D45" s="109"/>
    </row>
    <row r="46" spans="1:5" x14ac:dyDescent="0.2">
      <c r="A46" s="39">
        <v>44227</v>
      </c>
      <c r="B46" s="59">
        <f t="shared" si="0"/>
        <v>0</v>
      </c>
      <c r="C46" s="60">
        <v>31</v>
      </c>
      <c r="D46" s="107" t="s">
        <v>71</v>
      </c>
    </row>
    <row r="47" spans="1:5" x14ac:dyDescent="0.2">
      <c r="A47" s="39">
        <v>44255</v>
      </c>
      <c r="B47" s="61">
        <f t="shared" si="0"/>
        <v>0</v>
      </c>
      <c r="C47" s="73">
        <v>28</v>
      </c>
      <c r="D47" s="108"/>
    </row>
    <row r="48" spans="1:5" x14ac:dyDescent="0.2">
      <c r="A48" s="39">
        <v>44286</v>
      </c>
      <c r="B48" s="61">
        <f t="shared" si="0"/>
        <v>0</v>
      </c>
      <c r="C48" s="62">
        <v>31</v>
      </c>
      <c r="D48" s="108"/>
    </row>
    <row r="49" spans="1:4" x14ac:dyDescent="0.2">
      <c r="A49" s="39">
        <v>44316</v>
      </c>
      <c r="B49" s="61">
        <f t="shared" si="0"/>
        <v>0</v>
      </c>
      <c r="C49" s="62">
        <v>30</v>
      </c>
      <c r="D49" s="108"/>
    </row>
    <row r="50" spans="1:4" x14ac:dyDescent="0.2">
      <c r="A50" s="39">
        <v>44347</v>
      </c>
      <c r="B50" s="61">
        <f>B49</f>
        <v>0</v>
      </c>
      <c r="C50" s="62">
        <v>31</v>
      </c>
      <c r="D50" s="108"/>
    </row>
    <row r="51" spans="1:4" x14ac:dyDescent="0.2">
      <c r="A51" s="74">
        <v>44377</v>
      </c>
      <c r="B51" s="61">
        <f t="shared" si="0"/>
        <v>0</v>
      </c>
      <c r="C51" s="62">
        <v>30</v>
      </c>
      <c r="D51" s="108"/>
    </row>
    <row r="52" spans="1:4" x14ac:dyDescent="0.2">
      <c r="A52" s="39">
        <v>44408</v>
      </c>
      <c r="B52" s="61">
        <f t="shared" si="0"/>
        <v>0</v>
      </c>
      <c r="C52" s="62">
        <v>31</v>
      </c>
      <c r="D52" s="108"/>
    </row>
    <row r="53" spans="1:4" x14ac:dyDescent="0.2">
      <c r="A53" s="39">
        <v>44439</v>
      </c>
      <c r="B53" s="61">
        <f t="shared" si="0"/>
        <v>0</v>
      </c>
      <c r="C53" s="62">
        <v>31</v>
      </c>
      <c r="D53" s="108"/>
    </row>
    <row r="54" spans="1:4" x14ac:dyDescent="0.2">
      <c r="A54" s="39">
        <v>44469</v>
      </c>
      <c r="B54" s="61">
        <f t="shared" si="0"/>
        <v>0</v>
      </c>
      <c r="C54" s="62">
        <v>30</v>
      </c>
      <c r="D54" s="108"/>
    </row>
    <row r="55" spans="1:4" x14ac:dyDescent="0.2">
      <c r="A55" s="39">
        <v>44500</v>
      </c>
      <c r="B55" s="61">
        <f t="shared" si="0"/>
        <v>0</v>
      </c>
      <c r="C55" s="62">
        <v>31</v>
      </c>
      <c r="D55" s="108"/>
    </row>
    <row r="56" spans="1:4" x14ac:dyDescent="0.2">
      <c r="A56" s="39">
        <v>44530</v>
      </c>
      <c r="B56" s="61">
        <f t="shared" si="0"/>
        <v>0</v>
      </c>
      <c r="C56" s="62">
        <v>30</v>
      </c>
      <c r="D56" s="108"/>
    </row>
    <row r="57" spans="1:4" x14ac:dyDescent="0.2">
      <c r="A57" s="40">
        <v>44561</v>
      </c>
      <c r="B57" s="7">
        <f t="shared" si="0"/>
        <v>0</v>
      </c>
      <c r="C57" s="63">
        <v>31</v>
      </c>
      <c r="D57" s="109"/>
    </row>
    <row r="58" spans="1:4" x14ac:dyDescent="0.2">
      <c r="A58" s="39">
        <v>44592</v>
      </c>
      <c r="B58" s="59">
        <f t="shared" si="0"/>
        <v>0</v>
      </c>
      <c r="C58" s="60">
        <v>31</v>
      </c>
      <c r="D58" s="107" t="s">
        <v>74</v>
      </c>
    </row>
    <row r="59" spans="1:4" x14ac:dyDescent="0.2">
      <c r="A59" s="39">
        <v>44620</v>
      </c>
      <c r="B59" s="61">
        <f t="shared" si="0"/>
        <v>0</v>
      </c>
      <c r="C59" s="73">
        <v>28</v>
      </c>
      <c r="D59" s="108"/>
    </row>
    <row r="60" spans="1:4" x14ac:dyDescent="0.2">
      <c r="A60" s="39">
        <v>44651</v>
      </c>
      <c r="B60" s="61">
        <f t="shared" si="0"/>
        <v>0</v>
      </c>
      <c r="C60" s="62">
        <v>31</v>
      </c>
      <c r="D60" s="108"/>
    </row>
    <row r="61" spans="1:4" x14ac:dyDescent="0.2">
      <c r="A61" s="39">
        <v>44681</v>
      </c>
      <c r="B61" s="61">
        <f t="shared" si="0"/>
        <v>0</v>
      </c>
      <c r="C61" s="62">
        <v>30</v>
      </c>
      <c r="D61" s="108"/>
    </row>
    <row r="62" spans="1:4" x14ac:dyDescent="0.2">
      <c r="A62" s="39">
        <v>44712</v>
      </c>
      <c r="B62" s="61">
        <f>B61</f>
        <v>0</v>
      </c>
      <c r="C62" s="62">
        <v>31</v>
      </c>
      <c r="D62" s="108"/>
    </row>
    <row r="63" spans="1:4" x14ac:dyDescent="0.2">
      <c r="A63" s="74">
        <v>44742</v>
      </c>
      <c r="B63" s="61">
        <f t="shared" si="0"/>
        <v>0</v>
      </c>
      <c r="C63" s="62">
        <v>30</v>
      </c>
      <c r="D63" s="108"/>
    </row>
    <row r="64" spans="1:4" x14ac:dyDescent="0.2">
      <c r="A64" s="39">
        <v>44773</v>
      </c>
      <c r="B64" s="61">
        <f t="shared" si="0"/>
        <v>0</v>
      </c>
      <c r="C64" s="62">
        <v>31</v>
      </c>
      <c r="D64" s="108"/>
    </row>
    <row r="65" spans="1:4" x14ac:dyDescent="0.2">
      <c r="A65" s="39">
        <v>44804</v>
      </c>
      <c r="B65" s="61">
        <f t="shared" si="0"/>
        <v>0</v>
      </c>
      <c r="C65" s="62">
        <v>31</v>
      </c>
      <c r="D65" s="108"/>
    </row>
    <row r="66" spans="1:4" x14ac:dyDescent="0.2">
      <c r="A66" s="39">
        <v>44834</v>
      </c>
      <c r="B66" s="61">
        <f t="shared" si="0"/>
        <v>0</v>
      </c>
      <c r="C66" s="62">
        <v>30</v>
      </c>
      <c r="D66" s="108"/>
    </row>
    <row r="67" spans="1:4" x14ac:dyDescent="0.2">
      <c r="A67" s="39">
        <v>44865</v>
      </c>
      <c r="B67" s="61">
        <f t="shared" si="0"/>
        <v>0</v>
      </c>
      <c r="C67" s="62">
        <v>31</v>
      </c>
      <c r="D67" s="108"/>
    </row>
    <row r="68" spans="1:4" x14ac:dyDescent="0.2">
      <c r="A68" s="39">
        <v>44895</v>
      </c>
      <c r="B68" s="61">
        <f t="shared" si="0"/>
        <v>0</v>
      </c>
      <c r="C68" s="62">
        <v>30</v>
      </c>
      <c r="D68" s="108"/>
    </row>
    <row r="69" spans="1:4" x14ac:dyDescent="0.2">
      <c r="A69" s="40">
        <v>44926</v>
      </c>
      <c r="B69" s="7">
        <f t="shared" si="0"/>
        <v>0</v>
      </c>
      <c r="C69" s="63">
        <v>31</v>
      </c>
      <c r="D69" s="109"/>
    </row>
  </sheetData>
  <mergeCells count="5">
    <mergeCell ref="D22:D33"/>
    <mergeCell ref="D10:D21"/>
    <mergeCell ref="D34:D45"/>
    <mergeCell ref="D46:D57"/>
    <mergeCell ref="D58:D69"/>
  </mergeCells>
  <phoneticPr fontId="0" type="noConversion"/>
  <hyperlinks>
    <hyperlink ref="A7" r:id="rId1" xr:uid="{00000000-0004-0000-0100-000000000000}"/>
  </hyperlinks>
  <printOptions gridLinesSet="0"/>
  <pageMargins left="0.5" right="0.25" top="0.5" bottom="0.25" header="0.5" footer="0.5"/>
  <pageSetup scale="85" orientation="portrait" horizontalDpi="4294967292" verticalDpi="4294967292" r:id="rId2"/>
  <headerFooter alignWithMargins="0">
    <oddFooter>&amp;L&amp;"-,Bold"&amp;10Cascade Natural Gas Corporation&amp;C&amp;"-,Bold"&amp;10Washington Deferral Accounts&amp;R&amp;"-,Bold"&amp;10&amp;A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05"/>
  <sheetViews>
    <sheetView topLeftCell="A3" zoomScaleNormal="100" workbookViewId="0">
      <selection activeCell="I183" sqref="I183"/>
    </sheetView>
  </sheetViews>
  <sheetFormatPr defaultColWidth="8.88671875" defaultRowHeight="15" x14ac:dyDescent="0.25"/>
  <cols>
    <col min="1" max="1" width="6.5546875" style="27" customWidth="1"/>
    <col min="2" max="2" width="9.88671875" style="27" customWidth="1"/>
    <col min="3" max="3" width="4.5546875" style="27" customWidth="1"/>
    <col min="4" max="4" width="8.77734375" style="27" customWidth="1"/>
    <col min="5" max="5" width="9" style="27" bestFit="1" customWidth="1"/>
    <col min="6" max="6" width="6.44140625" style="27" customWidth="1"/>
    <col min="7" max="7" width="9.6640625" style="27" customWidth="1"/>
    <col min="8" max="8" width="10.109375" style="27" customWidth="1"/>
    <col min="9" max="9" width="5.44140625" style="27" customWidth="1"/>
    <col min="10" max="10" width="3.77734375" style="27" customWidth="1"/>
    <col min="11" max="11" width="8.44140625" style="27" customWidth="1"/>
    <col min="12" max="12" width="11" style="27" bestFit="1" customWidth="1"/>
    <col min="13" max="14" width="9.6640625" style="27" customWidth="1"/>
    <col min="15" max="15" width="8.77734375" style="27" customWidth="1"/>
    <col min="16" max="16" width="3.88671875" style="27" customWidth="1"/>
    <col min="17" max="17" width="9.88671875" style="27" customWidth="1"/>
    <col min="18" max="18" width="10.5546875" style="27" customWidth="1"/>
    <col min="19" max="19" width="11" style="27" bestFit="1" customWidth="1"/>
    <col min="20" max="16384" width="8.88671875" style="27"/>
  </cols>
  <sheetData>
    <row r="1" spans="1:19" x14ac:dyDescent="0.25">
      <c r="A1" s="112" t="s">
        <v>44</v>
      </c>
      <c r="B1" s="112"/>
      <c r="C1" s="112"/>
      <c r="D1" s="112"/>
      <c r="E1" s="112"/>
    </row>
    <row r="2" spans="1:19" x14ac:dyDescent="0.25">
      <c r="A2" s="112" t="s">
        <v>45</v>
      </c>
      <c r="B2" s="112"/>
      <c r="C2" s="112"/>
      <c r="D2" s="112"/>
      <c r="E2" s="112"/>
    </row>
    <row r="4" spans="1:19" x14ac:dyDescent="0.25">
      <c r="B4" s="113" t="s">
        <v>48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1:19" x14ac:dyDescent="0.25">
      <c r="B5" s="38">
        <v>4800</v>
      </c>
      <c r="C5" s="110">
        <v>4809</v>
      </c>
      <c r="D5" s="111"/>
      <c r="E5" s="111"/>
      <c r="F5" s="110">
        <v>4810</v>
      </c>
      <c r="G5" s="111"/>
      <c r="H5" s="111"/>
      <c r="I5" s="110">
        <v>4811</v>
      </c>
      <c r="J5" s="111"/>
      <c r="K5" s="48">
        <v>4813</v>
      </c>
      <c r="L5" s="48">
        <v>4861</v>
      </c>
      <c r="M5" s="110">
        <v>4863</v>
      </c>
      <c r="N5" s="111"/>
      <c r="O5" s="111"/>
      <c r="P5" s="38"/>
      <c r="Q5" s="48"/>
      <c r="R5" s="51"/>
      <c r="S5" s="34"/>
    </row>
    <row r="6" spans="1:19" x14ac:dyDescent="0.25">
      <c r="B6" s="29">
        <v>503</v>
      </c>
      <c r="C6" s="45" t="s">
        <v>31</v>
      </c>
      <c r="D6" s="29">
        <v>505</v>
      </c>
      <c r="E6" s="29">
        <v>511</v>
      </c>
      <c r="F6" s="45" t="s">
        <v>30</v>
      </c>
      <c r="G6" s="29">
        <v>504</v>
      </c>
      <c r="H6" s="29" t="s">
        <v>64</v>
      </c>
      <c r="I6" s="45" t="s">
        <v>31</v>
      </c>
      <c r="J6" s="29">
        <v>570</v>
      </c>
      <c r="K6" s="45">
        <v>570</v>
      </c>
      <c r="L6" s="72" t="s">
        <v>70</v>
      </c>
      <c r="M6" s="50">
        <v>6631</v>
      </c>
      <c r="N6" s="35">
        <v>6633</v>
      </c>
      <c r="O6" s="35">
        <v>6635</v>
      </c>
      <c r="P6" s="35">
        <v>916</v>
      </c>
      <c r="Q6" s="50" t="s">
        <v>28</v>
      </c>
      <c r="R6" s="52" t="s">
        <v>3</v>
      </c>
      <c r="S6" s="34"/>
    </row>
    <row r="7" spans="1:19" hidden="1" x14ac:dyDescent="0.25">
      <c r="A7" s="28">
        <v>43343</v>
      </c>
      <c r="B7" s="41">
        <f>+E199</f>
        <v>996895</v>
      </c>
      <c r="C7" s="46">
        <v>0</v>
      </c>
      <c r="D7" s="41">
        <v>160070</v>
      </c>
      <c r="E7" s="41">
        <v>88492</v>
      </c>
      <c r="F7" s="46">
        <v>0</v>
      </c>
      <c r="G7" s="41">
        <v>986030</v>
      </c>
      <c r="H7" s="41">
        <v>137321</v>
      </c>
      <c r="I7" s="56">
        <v>0</v>
      </c>
      <c r="J7" s="55">
        <v>0</v>
      </c>
      <c r="K7" s="49">
        <v>0</v>
      </c>
      <c r="L7" s="46">
        <v>0</v>
      </c>
      <c r="M7" s="46">
        <v>0</v>
      </c>
      <c r="N7" s="30">
        <v>0</v>
      </c>
      <c r="O7" s="30">
        <v>0</v>
      </c>
      <c r="P7" s="30">
        <v>0</v>
      </c>
      <c r="Q7" s="46">
        <v>0</v>
      </c>
      <c r="R7" s="46">
        <f>SUM(B7:Q7)+D199+D200+D201+D202</f>
        <v>6454626</v>
      </c>
      <c r="S7" s="30"/>
    </row>
    <row r="8" spans="1:19" hidden="1" x14ac:dyDescent="0.25">
      <c r="A8" s="28">
        <v>43373</v>
      </c>
      <c r="B8" s="30">
        <v>2809188</v>
      </c>
      <c r="C8" s="47">
        <v>-359</v>
      </c>
      <c r="D8" s="30">
        <v>648016</v>
      </c>
      <c r="E8" s="30">
        <v>241009</v>
      </c>
      <c r="F8" s="46">
        <v>158</v>
      </c>
      <c r="G8" s="30">
        <v>2784183</v>
      </c>
      <c r="H8" s="30">
        <v>384208</v>
      </c>
      <c r="I8" s="47">
        <f>359+359</f>
        <v>718</v>
      </c>
      <c r="J8" s="30">
        <v>0</v>
      </c>
      <c r="K8" s="46">
        <v>93391</v>
      </c>
      <c r="L8" s="46">
        <v>26924983</v>
      </c>
      <c r="M8" s="46"/>
      <c r="N8" s="30">
        <v>12762544</v>
      </c>
      <c r="O8" s="30">
        <v>5293486</v>
      </c>
      <c r="P8" s="30">
        <v>14392902</v>
      </c>
      <c r="Q8" s="46">
        <v>17937726</v>
      </c>
      <c r="R8" s="46">
        <f t="shared" ref="R8:R25" si="0">SUM(B8:Q8)</f>
        <v>84272153</v>
      </c>
      <c r="S8" s="30"/>
    </row>
    <row r="9" spans="1:19" hidden="1" x14ac:dyDescent="0.25">
      <c r="A9" s="28">
        <v>43404</v>
      </c>
      <c r="B9" s="30">
        <v>5307116</v>
      </c>
      <c r="C9" s="46"/>
      <c r="D9" s="30">
        <v>1031586</v>
      </c>
      <c r="E9" s="30">
        <v>447130</v>
      </c>
      <c r="F9" s="46">
        <v>501</v>
      </c>
      <c r="G9" s="30">
        <v>4259766</v>
      </c>
      <c r="H9" s="30">
        <v>674628</v>
      </c>
      <c r="I9" s="46">
        <v>188</v>
      </c>
      <c r="J9" s="30">
        <v>0</v>
      </c>
      <c r="K9" s="46">
        <v>118645</v>
      </c>
      <c r="L9" s="46">
        <v>30461110</v>
      </c>
      <c r="M9" s="46">
        <v>15312916</v>
      </c>
      <c r="N9" s="30">
        <v>14381027</v>
      </c>
      <c r="O9" s="30">
        <v>2080893</v>
      </c>
      <c r="P9" s="30">
        <v>0</v>
      </c>
      <c r="Q9" s="46">
        <v>9407603</v>
      </c>
      <c r="R9" s="46">
        <f t="shared" si="0"/>
        <v>83483109</v>
      </c>
      <c r="S9" s="30"/>
    </row>
    <row r="10" spans="1:19" hidden="1" x14ac:dyDescent="0.25">
      <c r="A10" s="28">
        <v>43434</v>
      </c>
      <c r="B10" s="30">
        <v>5727490</v>
      </c>
      <c r="C10" s="46"/>
      <c r="D10" s="30">
        <v>691277</v>
      </c>
      <c r="E10" s="30">
        <v>107458</v>
      </c>
      <c r="F10" s="46">
        <v>2079</v>
      </c>
      <c r="G10" s="30">
        <v>4031349</v>
      </c>
      <c r="H10" s="30">
        <v>459820</v>
      </c>
      <c r="I10" s="46">
        <v>21</v>
      </c>
      <c r="J10" s="30">
        <v>0</v>
      </c>
      <c r="K10" s="46">
        <v>197742</v>
      </c>
      <c r="L10" s="46">
        <v>32448578</v>
      </c>
      <c r="M10" s="46">
        <v>7714309</v>
      </c>
      <c r="N10" s="30">
        <v>4034082</v>
      </c>
      <c r="O10" s="30">
        <v>2001543</v>
      </c>
      <c r="P10" s="30">
        <v>0</v>
      </c>
      <c r="Q10" s="46">
        <v>12455009</v>
      </c>
      <c r="R10" s="46">
        <f t="shared" si="0"/>
        <v>69870757</v>
      </c>
      <c r="S10" s="30" t="s">
        <v>56</v>
      </c>
    </row>
    <row r="11" spans="1:19" hidden="1" x14ac:dyDescent="0.25">
      <c r="A11" s="28">
        <v>43434</v>
      </c>
      <c r="B11" s="30">
        <v>3233440</v>
      </c>
      <c r="C11" s="46"/>
      <c r="D11" s="30">
        <v>298083</v>
      </c>
      <c r="E11" s="30">
        <v>77569</v>
      </c>
      <c r="F11" s="46">
        <v>0</v>
      </c>
      <c r="G11" s="30">
        <v>2122532</v>
      </c>
      <c r="H11" s="30">
        <v>331925</v>
      </c>
      <c r="I11" s="46">
        <v>0</v>
      </c>
      <c r="J11" s="30">
        <v>0</v>
      </c>
      <c r="K11" s="46">
        <v>0</v>
      </c>
      <c r="L11" s="46">
        <v>0</v>
      </c>
      <c r="M11" s="46">
        <v>0</v>
      </c>
      <c r="N11" s="30">
        <v>0</v>
      </c>
      <c r="O11" s="30">
        <v>0</v>
      </c>
      <c r="P11" s="30">
        <v>0</v>
      </c>
      <c r="Q11" s="46">
        <v>0</v>
      </c>
      <c r="R11" s="46">
        <f t="shared" si="0"/>
        <v>6063549</v>
      </c>
      <c r="S11" s="30" t="s">
        <v>57</v>
      </c>
    </row>
    <row r="12" spans="1:19" hidden="1" x14ac:dyDescent="0.25">
      <c r="A12" s="28">
        <v>43465</v>
      </c>
      <c r="B12" s="30">
        <v>17031202</v>
      </c>
      <c r="C12" s="46"/>
      <c r="D12" s="30">
        <v>1475293</v>
      </c>
      <c r="E12" s="30">
        <v>305292</v>
      </c>
      <c r="F12" s="46">
        <v>3464</v>
      </c>
      <c r="G12" s="30">
        <v>11460190</v>
      </c>
      <c r="H12" s="30">
        <v>1383646</v>
      </c>
      <c r="I12" s="46">
        <v>63</v>
      </c>
      <c r="J12" s="30">
        <v>0</v>
      </c>
      <c r="K12" s="46">
        <v>217688</v>
      </c>
      <c r="L12" s="46">
        <v>25948738</v>
      </c>
      <c r="M12" s="46">
        <v>76766</v>
      </c>
      <c r="N12" s="30">
        <v>28205</v>
      </c>
      <c r="O12" s="30">
        <v>33898</v>
      </c>
      <c r="P12" s="30">
        <v>0</v>
      </c>
      <c r="Q12" s="46">
        <v>12530783</v>
      </c>
      <c r="R12" s="46">
        <f t="shared" si="0"/>
        <v>70495228</v>
      </c>
      <c r="S12" s="30"/>
    </row>
    <row r="13" spans="1:19" hidden="1" x14ac:dyDescent="0.25">
      <c r="A13" s="28">
        <v>43496</v>
      </c>
      <c r="B13" s="30">
        <v>19425579</v>
      </c>
      <c r="C13" s="46"/>
      <c r="D13" s="30">
        <v>1433715</v>
      </c>
      <c r="E13" s="30">
        <v>330955</v>
      </c>
      <c r="F13" s="46">
        <v>4915</v>
      </c>
      <c r="G13" s="30">
        <v>13117967</v>
      </c>
      <c r="H13" s="30">
        <v>1477641</v>
      </c>
      <c r="I13" s="46">
        <v>79</v>
      </c>
      <c r="J13" s="30">
        <v>0</v>
      </c>
      <c r="K13" s="46">
        <v>260482</v>
      </c>
      <c r="L13" s="46">
        <v>29346851</v>
      </c>
      <c r="M13" s="46">
        <v>14382579</v>
      </c>
      <c r="N13" s="30">
        <v>4450625</v>
      </c>
      <c r="O13" s="30">
        <v>57483</v>
      </c>
      <c r="P13" s="30">
        <v>0</v>
      </c>
      <c r="Q13" s="46">
        <f>2617891+938576+765472+502419+1192617+7824829+357236+82468</f>
        <v>14281508</v>
      </c>
      <c r="R13" s="46">
        <f t="shared" si="0"/>
        <v>98570379</v>
      </c>
      <c r="S13" s="30"/>
    </row>
    <row r="14" spans="1:19" hidden="1" x14ac:dyDescent="0.25">
      <c r="A14" s="28">
        <v>43524</v>
      </c>
      <c r="B14" s="30">
        <v>20826493</v>
      </c>
      <c r="C14" s="46"/>
      <c r="D14" s="30">
        <v>1616149</v>
      </c>
      <c r="E14" s="30">
        <v>325966</v>
      </c>
      <c r="F14" s="46">
        <v>4626</v>
      </c>
      <c r="G14" s="30">
        <v>13988227</v>
      </c>
      <c r="H14" s="30">
        <v>1527495</v>
      </c>
      <c r="I14" s="46">
        <v>7</v>
      </c>
      <c r="J14" s="30">
        <v>0</v>
      </c>
      <c r="K14" s="46">
        <v>258811</v>
      </c>
      <c r="L14" s="46">
        <v>31076934</v>
      </c>
      <c r="M14" s="46">
        <v>14944499</v>
      </c>
      <c r="N14" s="30">
        <v>4088088</v>
      </c>
      <c r="O14" s="30">
        <v>106086</v>
      </c>
      <c r="P14" s="30">
        <v>0</v>
      </c>
      <c r="Q14" s="46">
        <f>3202152+2041529+835418+564041+1220699+7679533+0+0</f>
        <v>15543372</v>
      </c>
      <c r="R14" s="46">
        <f t="shared" si="0"/>
        <v>104306753</v>
      </c>
      <c r="S14" s="30"/>
    </row>
    <row r="15" spans="1:19" hidden="1" x14ac:dyDescent="0.25">
      <c r="A15" s="28">
        <v>43555</v>
      </c>
      <c r="B15" s="30">
        <v>22406676</v>
      </c>
      <c r="C15" s="46"/>
      <c r="D15" s="30">
        <v>1794729</v>
      </c>
      <c r="E15" s="30">
        <v>344448</v>
      </c>
      <c r="F15" s="46">
        <v>5486</v>
      </c>
      <c r="G15" s="30">
        <v>15941825</v>
      </c>
      <c r="H15" s="30">
        <v>1650107</v>
      </c>
      <c r="I15" s="46">
        <v>0</v>
      </c>
      <c r="J15" s="30">
        <v>0</v>
      </c>
      <c r="K15" s="46">
        <v>270184</v>
      </c>
      <c r="L15" s="46">
        <v>30225230</v>
      </c>
      <c r="M15" s="46">
        <v>7408861</v>
      </c>
      <c r="N15" s="30">
        <v>5846716</v>
      </c>
      <c r="O15" s="30">
        <v>228696</v>
      </c>
      <c r="P15" s="30">
        <v>0</v>
      </c>
      <c r="Q15" s="46">
        <f>2316555+2359414+735036+538901+1078245+7686555+2483404+39201</f>
        <v>17237311</v>
      </c>
      <c r="R15" s="46">
        <f t="shared" si="0"/>
        <v>103360269</v>
      </c>
      <c r="S15" s="30"/>
    </row>
    <row r="16" spans="1:19" hidden="1" x14ac:dyDescent="0.25">
      <c r="A16" s="28">
        <v>43585</v>
      </c>
      <c r="B16" s="30">
        <v>12262358</v>
      </c>
      <c r="C16" s="46">
        <v>0</v>
      </c>
      <c r="D16" s="30">
        <v>1331310</v>
      </c>
      <c r="E16" s="30">
        <v>339049</v>
      </c>
      <c r="F16" s="46">
        <v>3527</v>
      </c>
      <c r="G16" s="30">
        <v>9096547</v>
      </c>
      <c r="H16" s="30">
        <v>1028839</v>
      </c>
      <c r="I16" s="46">
        <v>0</v>
      </c>
      <c r="J16" s="30">
        <v>0</v>
      </c>
      <c r="K16" s="46">
        <v>248145</v>
      </c>
      <c r="L16" s="46">
        <v>29413222</v>
      </c>
      <c r="M16" s="46">
        <v>9817659</v>
      </c>
      <c r="N16" s="30">
        <v>3088142</v>
      </c>
      <c r="O16" s="30">
        <v>0</v>
      </c>
      <c r="P16" s="30">
        <v>0</v>
      </c>
      <c r="Q16" s="46">
        <f>2298407+2520690+848257+538257+1154609+9312929+334503+112350</f>
        <v>17120002</v>
      </c>
      <c r="R16" s="46">
        <f t="shared" si="0"/>
        <v>83748800</v>
      </c>
      <c r="S16" s="30"/>
    </row>
    <row r="17" spans="1:19" hidden="1" x14ac:dyDescent="0.25">
      <c r="A17" s="28">
        <v>43616</v>
      </c>
      <c r="B17" s="30">
        <v>7409569</v>
      </c>
      <c r="C17" s="46">
        <v>0</v>
      </c>
      <c r="D17" s="30">
        <v>789879</v>
      </c>
      <c r="E17" s="30">
        <v>267660</v>
      </c>
      <c r="F17" s="46">
        <v>2258</v>
      </c>
      <c r="G17" s="30">
        <v>5370530</v>
      </c>
      <c r="H17" s="30">
        <v>692205</v>
      </c>
      <c r="I17" s="46">
        <v>128</v>
      </c>
      <c r="J17" s="30">
        <v>0</v>
      </c>
      <c r="K17" s="46">
        <v>191467</v>
      </c>
      <c r="L17" s="46">
        <v>27861922</v>
      </c>
      <c r="M17" s="46">
        <v>7594206</v>
      </c>
      <c r="N17" s="30">
        <v>2551096</v>
      </c>
      <c r="O17" s="30">
        <v>24270</v>
      </c>
      <c r="P17" s="30">
        <v>0</v>
      </c>
      <c r="Q17" s="46">
        <f>2069826+2845634+769998+397319+1061450+8371884+0+8745</f>
        <v>15524856</v>
      </c>
      <c r="R17" s="46">
        <f t="shared" si="0"/>
        <v>68280046</v>
      </c>
      <c r="S17" s="30"/>
    </row>
    <row r="18" spans="1:19" hidden="1" x14ac:dyDescent="0.25">
      <c r="A18" s="28">
        <v>43646</v>
      </c>
      <c r="B18" s="30">
        <v>4046705</v>
      </c>
      <c r="C18" s="46">
        <v>0</v>
      </c>
      <c r="D18" s="30">
        <v>579038</v>
      </c>
      <c r="E18" s="30">
        <v>275040</v>
      </c>
      <c r="F18" s="46">
        <v>645</v>
      </c>
      <c r="G18" s="30">
        <v>3465484</v>
      </c>
      <c r="H18" s="30">
        <v>479946</v>
      </c>
      <c r="I18" s="46">
        <v>151</v>
      </c>
      <c r="J18" s="30">
        <v>0</v>
      </c>
      <c r="K18" s="46">
        <v>142256</v>
      </c>
      <c r="L18" s="46">
        <v>29822871</v>
      </c>
      <c r="M18" s="46">
        <v>5340649</v>
      </c>
      <c r="N18" s="30">
        <v>381981</v>
      </c>
      <c r="O18" s="30">
        <v>234043</v>
      </c>
      <c r="P18" s="30">
        <v>0</v>
      </c>
      <c r="Q18" s="46">
        <f>1973660+2219500+453427+390685+1024594+5401237+509919+210060</f>
        <v>12183082</v>
      </c>
      <c r="R18" s="46">
        <f t="shared" si="0"/>
        <v>56951891</v>
      </c>
      <c r="S18" s="30"/>
    </row>
    <row r="19" spans="1:19" hidden="1" x14ac:dyDescent="0.25">
      <c r="A19" s="28">
        <v>43677</v>
      </c>
      <c r="B19" s="30">
        <v>3217527</v>
      </c>
      <c r="C19" s="46">
        <v>0</v>
      </c>
      <c r="D19" s="30">
        <v>537168</v>
      </c>
      <c r="E19" s="30">
        <v>315197</v>
      </c>
      <c r="F19" s="46">
        <v>367</v>
      </c>
      <c r="G19" s="30">
        <v>3054528</v>
      </c>
      <c r="H19" s="30">
        <v>406093</v>
      </c>
      <c r="I19" s="46">
        <v>0</v>
      </c>
      <c r="J19" s="30">
        <v>0</v>
      </c>
      <c r="K19" s="46">
        <v>110987</v>
      </c>
      <c r="L19" s="46">
        <v>27060192</v>
      </c>
      <c r="M19" s="46">
        <v>7824546</v>
      </c>
      <c r="N19" s="30">
        <v>6776820</v>
      </c>
      <c r="O19" s="30">
        <v>1112893</v>
      </c>
      <c r="P19" s="30">
        <v>0</v>
      </c>
      <c r="Q19" s="46">
        <f>2265713+2090677+759078+327788+937176+5673695+0+100169</f>
        <v>12154296</v>
      </c>
      <c r="R19" s="46">
        <f t="shared" si="0"/>
        <v>62570614</v>
      </c>
      <c r="S19" s="30"/>
    </row>
    <row r="20" spans="1:19" hidden="1" x14ac:dyDescent="0.25">
      <c r="A20" s="28">
        <v>43708</v>
      </c>
      <c r="B20" s="30">
        <v>2775098</v>
      </c>
      <c r="C20" s="46">
        <v>0</v>
      </c>
      <c r="D20" s="30">
        <v>564404</v>
      </c>
      <c r="E20" s="30">
        <v>350812</v>
      </c>
      <c r="F20" s="46">
        <v>155</v>
      </c>
      <c r="G20" s="30">
        <v>2791770</v>
      </c>
      <c r="H20" s="30">
        <v>400926</v>
      </c>
      <c r="I20" s="46">
        <v>163</v>
      </c>
      <c r="J20" s="30">
        <v>0</v>
      </c>
      <c r="K20" s="46">
        <v>120028</v>
      </c>
      <c r="L20" s="46">
        <v>26087226</v>
      </c>
      <c r="M20" s="46">
        <v>14501183</v>
      </c>
      <c r="N20" s="30">
        <v>14122838</v>
      </c>
      <c r="O20" s="30">
        <v>5050508</v>
      </c>
      <c r="P20" s="30">
        <v>0</v>
      </c>
      <c r="Q20" s="46">
        <v>21648336</v>
      </c>
      <c r="R20" s="46">
        <f t="shared" si="0"/>
        <v>88413447</v>
      </c>
      <c r="S20" s="30"/>
    </row>
    <row r="21" spans="1:19" hidden="1" x14ac:dyDescent="0.25">
      <c r="A21" s="28">
        <v>43738</v>
      </c>
      <c r="B21" s="30">
        <v>2691847</v>
      </c>
      <c r="C21" s="46">
        <v>0</v>
      </c>
      <c r="D21" s="30">
        <v>651984</v>
      </c>
      <c r="E21" s="30">
        <v>310612</v>
      </c>
      <c r="F21" s="46">
        <v>138</v>
      </c>
      <c r="G21" s="30">
        <v>2672689</v>
      </c>
      <c r="H21" s="30">
        <v>346838</v>
      </c>
      <c r="I21" s="46">
        <v>0</v>
      </c>
      <c r="J21" s="30">
        <v>0</v>
      </c>
      <c r="K21" s="46">
        <v>93626</v>
      </c>
      <c r="L21" s="46">
        <v>28179207</v>
      </c>
      <c r="M21" s="46">
        <v>16164686</v>
      </c>
      <c r="N21" s="30">
        <v>15605297</v>
      </c>
      <c r="O21" s="30">
        <v>9500954</v>
      </c>
      <c r="P21" s="30">
        <v>0</v>
      </c>
      <c r="Q21" s="46">
        <f>2310615+2677115+629970+278437+979527+6575658+9118215+147250</f>
        <v>22716787</v>
      </c>
      <c r="R21" s="46">
        <f t="shared" si="0"/>
        <v>98934665</v>
      </c>
      <c r="S21" s="30"/>
    </row>
    <row r="22" spans="1:19" hidden="1" x14ac:dyDescent="0.25">
      <c r="A22" s="28">
        <v>43769</v>
      </c>
      <c r="B22" s="30">
        <v>6366467</v>
      </c>
      <c r="C22" s="46">
        <v>0</v>
      </c>
      <c r="D22" s="30">
        <v>1274354</v>
      </c>
      <c r="E22" s="30">
        <v>413276</v>
      </c>
      <c r="F22" s="46">
        <v>619</v>
      </c>
      <c r="G22" s="30">
        <v>4853452</v>
      </c>
      <c r="H22" s="30">
        <v>680358</v>
      </c>
      <c r="I22" s="46">
        <v>411</v>
      </c>
      <c r="J22" s="30">
        <v>0</v>
      </c>
      <c r="K22" s="46">
        <v>111442</v>
      </c>
      <c r="L22" s="46">
        <v>32200088</v>
      </c>
      <c r="M22" s="46">
        <v>15653555</v>
      </c>
      <c r="N22" s="30">
        <v>14512835</v>
      </c>
      <c r="O22" s="30">
        <v>4852567</v>
      </c>
      <c r="P22" s="30">
        <v>0</v>
      </c>
      <c r="Q22" s="46">
        <f>2238144+2457018+700843+318250+880129+6543518+6204407+451349</f>
        <v>19793658</v>
      </c>
      <c r="R22" s="46">
        <f t="shared" si="0"/>
        <v>100713082</v>
      </c>
      <c r="S22" s="30"/>
    </row>
    <row r="23" spans="1:19" hidden="1" x14ac:dyDescent="0.25">
      <c r="A23" s="28">
        <v>43799</v>
      </c>
      <c r="B23" s="30">
        <v>7622134</v>
      </c>
      <c r="C23" s="46">
        <v>0</v>
      </c>
      <c r="D23" s="30">
        <v>806453</v>
      </c>
      <c r="E23" s="30">
        <v>292270</v>
      </c>
      <c r="F23" s="46">
        <v>2955</v>
      </c>
      <c r="G23" s="30">
        <v>5319138</v>
      </c>
      <c r="H23" s="30">
        <f>1347361+626870</f>
        <v>1974231</v>
      </c>
      <c r="I23" s="46">
        <v>317</v>
      </c>
      <c r="J23" s="30">
        <v>0</v>
      </c>
      <c r="K23" s="46">
        <v>232820</v>
      </c>
      <c r="L23" s="46">
        <v>33622269</v>
      </c>
      <c r="M23" s="46">
        <v>11066763</v>
      </c>
      <c r="N23" s="30">
        <v>667138</v>
      </c>
      <c r="O23" s="30">
        <v>897404</v>
      </c>
      <c r="P23" s="30">
        <v>0</v>
      </c>
      <c r="Q23" s="46">
        <f>2832256+2779753+787046+348739+985783+7985929+1743835+59022</f>
        <v>17522363</v>
      </c>
      <c r="R23" s="46">
        <f t="shared" si="0"/>
        <v>80026255</v>
      </c>
      <c r="S23" s="30" t="s">
        <v>56</v>
      </c>
    </row>
    <row r="24" spans="1:19" hidden="1" x14ac:dyDescent="0.25">
      <c r="A24" s="28">
        <v>43799</v>
      </c>
      <c r="B24" s="30">
        <v>4006834</v>
      </c>
      <c r="C24" s="46">
        <v>0</v>
      </c>
      <c r="D24" s="30">
        <v>352170</v>
      </c>
      <c r="E24" s="30">
        <v>192646</v>
      </c>
      <c r="F24" s="46">
        <v>0</v>
      </c>
      <c r="G24" s="30">
        <v>2589532</v>
      </c>
      <c r="H24" s="30">
        <v>410158</v>
      </c>
      <c r="I24" s="46"/>
      <c r="J24" s="30">
        <v>0</v>
      </c>
      <c r="K24" s="46"/>
      <c r="L24" s="46"/>
      <c r="M24" s="46"/>
      <c r="N24" s="30"/>
      <c r="O24" s="30"/>
      <c r="P24" s="30"/>
      <c r="Q24" s="46"/>
      <c r="R24" s="46">
        <f t="shared" si="0"/>
        <v>7551340</v>
      </c>
      <c r="S24" s="30" t="s">
        <v>57</v>
      </c>
    </row>
    <row r="25" spans="1:19" hidden="1" x14ac:dyDescent="0.25">
      <c r="A25" s="28">
        <v>43830</v>
      </c>
      <c r="B25" s="30">
        <v>17650518</v>
      </c>
      <c r="C25" s="46">
        <v>0</v>
      </c>
      <c r="D25" s="30">
        <v>1422636</v>
      </c>
      <c r="E25" s="30">
        <v>368658</v>
      </c>
      <c r="F25" s="46">
        <v>3958</v>
      </c>
      <c r="G25" s="30">
        <v>11976706</v>
      </c>
      <c r="H25" s="30">
        <f>1498743+1270156</f>
        <v>2768899</v>
      </c>
      <c r="I25" s="46">
        <v>491</v>
      </c>
      <c r="J25" s="30">
        <v>0</v>
      </c>
      <c r="K25" s="46">
        <v>230233</v>
      </c>
      <c r="L25" s="46">
        <v>29817626</v>
      </c>
      <c r="M25" s="46">
        <v>12699045</v>
      </c>
      <c r="N25" s="30">
        <v>5956005</v>
      </c>
      <c r="O25" s="30">
        <v>211269</v>
      </c>
      <c r="P25" s="30">
        <v>0</v>
      </c>
      <c r="Q25" s="46">
        <f>3143984+2719510+758864+325444+994562+7351963+188376+57819</f>
        <v>15540522</v>
      </c>
      <c r="R25" s="46">
        <f t="shared" si="0"/>
        <v>98646566</v>
      </c>
      <c r="S25" s="30"/>
    </row>
    <row r="26" spans="1:19" hidden="1" x14ac:dyDescent="0.25">
      <c r="A26" s="28">
        <v>43861</v>
      </c>
      <c r="B26" s="30">
        <v>21443608</v>
      </c>
      <c r="C26" s="46">
        <v>0</v>
      </c>
      <c r="D26" s="30">
        <v>1522757</v>
      </c>
      <c r="E26" s="30">
        <v>431249</v>
      </c>
      <c r="F26" s="46">
        <v>4552</v>
      </c>
      <c r="G26" s="30">
        <v>14478708</v>
      </c>
      <c r="H26" s="30">
        <f>1688999+1526368</f>
        <v>3215367</v>
      </c>
      <c r="I26" s="46">
        <v>261</v>
      </c>
      <c r="J26" s="30">
        <v>0</v>
      </c>
      <c r="K26" s="46">
        <v>254015</v>
      </c>
      <c r="L26" s="46">
        <v>31598380</v>
      </c>
      <c r="M26" s="46">
        <v>14173947</v>
      </c>
      <c r="N26" s="30">
        <v>13886984</v>
      </c>
      <c r="O26" s="30">
        <v>1297588</v>
      </c>
      <c r="P26" s="30">
        <v>0</v>
      </c>
      <c r="Q26" s="46">
        <f>4182562+2894369+777031+492333+1120091+7386486+6845573+0</f>
        <v>23698445</v>
      </c>
      <c r="R26" s="46">
        <f t="shared" ref="R26:R37" si="1">SUM(B26:Q26)</f>
        <v>126005861</v>
      </c>
      <c r="S26" s="30"/>
    </row>
    <row r="27" spans="1:19" hidden="1" x14ac:dyDescent="0.25">
      <c r="A27" s="28">
        <v>43890</v>
      </c>
      <c r="B27" s="30">
        <v>17506775</v>
      </c>
      <c r="C27" s="46">
        <v>0</v>
      </c>
      <c r="D27" s="30">
        <v>1322495</v>
      </c>
      <c r="E27" s="30">
        <v>393372</v>
      </c>
      <c r="F27" s="46">
        <v>4887</v>
      </c>
      <c r="G27" s="30">
        <v>11970901</v>
      </c>
      <c r="H27" s="30">
        <f>1783146+1227695</f>
        <v>3010841</v>
      </c>
      <c r="I27" s="46">
        <v>85</v>
      </c>
      <c r="J27" s="30">
        <v>0</v>
      </c>
      <c r="K27" s="46">
        <v>256203</v>
      </c>
      <c r="L27" s="46">
        <v>32459607</v>
      </c>
      <c r="M27" s="46">
        <v>12220393</v>
      </c>
      <c r="N27" s="30">
        <v>9693367</v>
      </c>
      <c r="O27" s="30">
        <v>362331</v>
      </c>
      <c r="P27" s="30">
        <v>0</v>
      </c>
      <c r="Q27" s="46">
        <f>4206155+2962351+872878+386843+1160711+7350647+4214606+13899</f>
        <v>21168090</v>
      </c>
      <c r="R27" s="46">
        <f t="shared" si="1"/>
        <v>110369347</v>
      </c>
      <c r="S27" s="30"/>
    </row>
    <row r="28" spans="1:19" hidden="1" x14ac:dyDescent="0.25">
      <c r="A28" s="28">
        <v>43921</v>
      </c>
      <c r="B28" s="30">
        <v>17635811</v>
      </c>
      <c r="C28" s="46">
        <v>0</v>
      </c>
      <c r="D28" s="30">
        <v>1356275</v>
      </c>
      <c r="E28" s="30">
        <v>297569</v>
      </c>
      <c r="F28" s="46">
        <v>4650</v>
      </c>
      <c r="G28" s="30">
        <v>11812961</v>
      </c>
      <c r="H28" s="30">
        <f>1661778+1333636</f>
        <v>2995414</v>
      </c>
      <c r="I28" s="46">
        <v>341</v>
      </c>
      <c r="J28" s="30">
        <v>0</v>
      </c>
      <c r="K28" s="46">
        <v>228991</v>
      </c>
      <c r="L28" s="46">
        <v>30355704</v>
      </c>
      <c r="M28" s="46">
        <v>11897407</v>
      </c>
      <c r="N28" s="30">
        <v>7438730</v>
      </c>
      <c r="O28" s="30">
        <v>761639</v>
      </c>
      <c r="P28" s="30">
        <v>0</v>
      </c>
      <c r="Q28" s="46">
        <f>3647038+3352730+759226+340736+950149+6493299+1673858+184428</f>
        <v>17401464</v>
      </c>
      <c r="R28" s="46">
        <f t="shared" si="1"/>
        <v>102186956</v>
      </c>
    </row>
    <row r="29" spans="1:19" hidden="1" x14ac:dyDescent="0.25">
      <c r="A29" s="28">
        <v>43951</v>
      </c>
      <c r="B29" s="30">
        <v>13930299</v>
      </c>
      <c r="C29" s="46">
        <v>0</v>
      </c>
      <c r="D29" s="30">
        <v>1128418</v>
      </c>
      <c r="E29" s="30">
        <v>537766</v>
      </c>
      <c r="F29" s="46">
        <v>4903</v>
      </c>
      <c r="G29" s="30">
        <v>8554564</v>
      </c>
      <c r="H29" s="30">
        <f>1700063+1014345</f>
        <v>2714408</v>
      </c>
      <c r="I29" s="46">
        <v>182</v>
      </c>
      <c r="J29" s="30">
        <v>0</v>
      </c>
      <c r="K29" s="46">
        <v>229265</v>
      </c>
      <c r="L29" s="46">
        <v>32606618</v>
      </c>
      <c r="M29" s="46">
        <v>15670834</v>
      </c>
      <c r="N29" s="30">
        <v>14229128</v>
      </c>
      <c r="O29" s="30">
        <v>3004872</v>
      </c>
      <c r="P29" s="30">
        <v>0</v>
      </c>
      <c r="Q29" s="46">
        <f>3745212+3019501+723268+363829+1112427+5630590+7553041+249821</f>
        <v>22397689</v>
      </c>
      <c r="R29" s="46">
        <f t="shared" si="1"/>
        <v>115008946</v>
      </c>
    </row>
    <row r="30" spans="1:19" hidden="1" x14ac:dyDescent="0.25">
      <c r="A30" s="28">
        <v>43982</v>
      </c>
      <c r="B30" s="65">
        <v>6809502</v>
      </c>
      <c r="C30" s="66">
        <v>0</v>
      </c>
      <c r="D30" s="65">
        <v>713209</v>
      </c>
      <c r="E30" s="65">
        <v>222952</v>
      </c>
      <c r="F30" s="66">
        <v>3889</v>
      </c>
      <c r="G30" s="65">
        <v>4127918</v>
      </c>
      <c r="H30" s="65">
        <f>1363626+540957</f>
        <v>1904583</v>
      </c>
      <c r="I30" s="66">
        <v>193</v>
      </c>
      <c r="J30" s="65">
        <v>0</v>
      </c>
      <c r="K30" s="66">
        <v>189521</v>
      </c>
      <c r="L30" s="66">
        <v>27153851</v>
      </c>
      <c r="M30" s="66">
        <v>13569738</v>
      </c>
      <c r="N30" s="65">
        <v>11001952</v>
      </c>
      <c r="O30" s="65">
        <v>3430843</v>
      </c>
      <c r="P30" s="65"/>
      <c r="Q30" s="66">
        <f>3270112+2756681+192062+280512+1144381+5477666+5121004+0</f>
        <v>18242418</v>
      </c>
      <c r="R30" s="46">
        <f t="shared" si="1"/>
        <v>87370569</v>
      </c>
    </row>
    <row r="31" spans="1:19" hidden="1" x14ac:dyDescent="0.25">
      <c r="A31" s="28">
        <v>44012</v>
      </c>
      <c r="B31" s="67">
        <v>5005480</v>
      </c>
      <c r="C31" s="66">
        <v>0</v>
      </c>
      <c r="D31" s="67">
        <v>637229</v>
      </c>
      <c r="E31" s="67">
        <v>433558</v>
      </c>
      <c r="F31" s="66">
        <v>2219</v>
      </c>
      <c r="G31" s="67">
        <v>3158885</v>
      </c>
      <c r="H31" s="67">
        <f>948718+506151</f>
        <v>1454869</v>
      </c>
      <c r="I31" s="66">
        <v>0</v>
      </c>
      <c r="J31" s="67">
        <v>0</v>
      </c>
      <c r="K31" s="66">
        <v>139589</v>
      </c>
      <c r="L31" s="66">
        <v>29220599</v>
      </c>
      <c r="M31" s="66">
        <v>2198918</v>
      </c>
      <c r="N31" s="67">
        <v>791584</v>
      </c>
      <c r="O31" s="67">
        <v>447784</v>
      </c>
      <c r="P31" s="67">
        <v>0</v>
      </c>
      <c r="Q31" s="66">
        <f>2781081+435041+274097+1164457+7824547+506157+8254</f>
        <v>12993634</v>
      </c>
      <c r="R31" s="46">
        <f t="shared" si="1"/>
        <v>56484348</v>
      </c>
    </row>
    <row r="32" spans="1:19" hidden="1" x14ac:dyDescent="0.25">
      <c r="A32" s="28">
        <v>44043</v>
      </c>
      <c r="B32" s="30">
        <v>4024864</v>
      </c>
      <c r="C32" s="46">
        <v>0</v>
      </c>
      <c r="D32" s="30">
        <v>562464</v>
      </c>
      <c r="E32" s="30">
        <v>335278</v>
      </c>
      <c r="F32" s="46">
        <v>2099</v>
      </c>
      <c r="G32" s="30">
        <v>2836474</v>
      </c>
      <c r="H32" s="30">
        <f>710086+548294</f>
        <v>1258380</v>
      </c>
      <c r="I32" s="46">
        <v>0</v>
      </c>
      <c r="J32" s="30">
        <v>0</v>
      </c>
      <c r="K32" s="46">
        <v>109390</v>
      </c>
      <c r="L32" s="46">
        <v>26165057</v>
      </c>
      <c r="M32" s="46">
        <v>3015900</v>
      </c>
      <c r="N32" s="30">
        <v>1306946</v>
      </c>
      <c r="O32" s="30">
        <v>736401</v>
      </c>
      <c r="P32" s="30">
        <v>0</v>
      </c>
      <c r="Q32" s="46">
        <f>3279559+679596+279356+1044539+6309798+0+39426</f>
        <v>11632274</v>
      </c>
      <c r="R32" s="46">
        <f t="shared" si="1"/>
        <v>51985527</v>
      </c>
    </row>
    <row r="33" spans="1:20" hidden="1" x14ac:dyDescent="0.25">
      <c r="A33" s="28">
        <v>44074</v>
      </c>
      <c r="B33" s="30">
        <v>2732363</v>
      </c>
      <c r="C33" s="46">
        <v>0</v>
      </c>
      <c r="D33" s="30">
        <v>497342</v>
      </c>
      <c r="E33" s="30">
        <v>298740</v>
      </c>
      <c r="F33" s="46">
        <v>943</v>
      </c>
      <c r="G33" s="30">
        <v>2165794</v>
      </c>
      <c r="H33" s="30">
        <f>669108+327920</f>
        <v>997028</v>
      </c>
      <c r="I33" s="46">
        <v>0</v>
      </c>
      <c r="J33" s="30">
        <v>0</v>
      </c>
      <c r="K33" s="46">
        <v>106383</v>
      </c>
      <c r="L33" s="46">
        <v>30463827</v>
      </c>
      <c r="M33" s="46">
        <v>9874110</v>
      </c>
      <c r="N33" s="30">
        <v>5180231</v>
      </c>
      <c r="O33" s="30">
        <v>1984278</v>
      </c>
      <c r="P33" s="30">
        <v>0</v>
      </c>
      <c r="Q33" s="46">
        <f>3353938+405992+286757+943601+6950239+1583529+134999</f>
        <v>13659055</v>
      </c>
      <c r="R33" s="46">
        <f t="shared" si="1"/>
        <v>67960094</v>
      </c>
    </row>
    <row r="34" spans="1:20" hidden="1" x14ac:dyDescent="0.25">
      <c r="A34" s="28">
        <v>44104</v>
      </c>
      <c r="B34" s="30">
        <v>2948480</v>
      </c>
      <c r="C34" s="46">
        <v>0</v>
      </c>
      <c r="D34" s="30">
        <v>620797</v>
      </c>
      <c r="E34" s="30">
        <v>341767</v>
      </c>
      <c r="F34" s="46">
        <v>816</v>
      </c>
      <c r="G34" s="30">
        <v>2450387</v>
      </c>
      <c r="H34" s="30">
        <f>629019+320051</f>
        <v>949070</v>
      </c>
      <c r="I34" s="46">
        <v>0</v>
      </c>
      <c r="J34" s="30">
        <v>0</v>
      </c>
      <c r="K34" s="46">
        <v>100500</v>
      </c>
      <c r="L34" s="46">
        <v>32369567</v>
      </c>
      <c r="M34" s="46">
        <v>13157147</v>
      </c>
      <c r="N34" s="30">
        <v>10278160</v>
      </c>
      <c r="O34" s="30">
        <v>4334957</v>
      </c>
      <c r="P34" s="30">
        <v>0</v>
      </c>
      <c r="Q34" s="46">
        <f>3281965+636243+367353+874186+8114039+4164341+77745</f>
        <v>17515872</v>
      </c>
      <c r="R34" s="46">
        <f t="shared" si="1"/>
        <v>85067520</v>
      </c>
    </row>
    <row r="35" spans="1:20" hidden="1" x14ac:dyDescent="0.25">
      <c r="A35" s="28">
        <v>44135</v>
      </c>
      <c r="B35" s="30">
        <v>4232461</v>
      </c>
      <c r="C35" s="46">
        <v>0</v>
      </c>
      <c r="D35" s="30">
        <v>1000739</v>
      </c>
      <c r="E35" s="30">
        <v>374010</v>
      </c>
      <c r="F35" s="46">
        <v>643</v>
      </c>
      <c r="G35" s="30">
        <v>3183599</v>
      </c>
      <c r="H35" s="30">
        <f>613508+472509</f>
        <v>1086017</v>
      </c>
      <c r="I35" s="46">
        <v>0</v>
      </c>
      <c r="J35" s="30">
        <v>0</v>
      </c>
      <c r="K35" s="46">
        <v>94559</v>
      </c>
      <c r="L35" s="46">
        <v>34257314</v>
      </c>
      <c r="M35" s="46">
        <v>14061705</v>
      </c>
      <c r="N35" s="30">
        <v>12575104</v>
      </c>
      <c r="O35" s="30">
        <v>5435910</v>
      </c>
      <c r="P35" s="30">
        <v>0</v>
      </c>
      <c r="Q35" s="46">
        <f>3365190+645648+401241+882295+4984455+6516174+67903</f>
        <v>16862906</v>
      </c>
      <c r="R35" s="46">
        <f t="shared" si="1"/>
        <v>93164967</v>
      </c>
    </row>
    <row r="36" spans="1:20" hidden="1" x14ac:dyDescent="0.25">
      <c r="A36" s="28">
        <v>44165</v>
      </c>
      <c r="B36" s="30">
        <v>6886950</v>
      </c>
      <c r="C36" s="46">
        <v>0</v>
      </c>
      <c r="D36" s="30">
        <v>615235</v>
      </c>
      <c r="E36" s="30">
        <v>224068</v>
      </c>
      <c r="F36" s="46">
        <v>3290</v>
      </c>
      <c r="G36" s="30">
        <v>4428383</v>
      </c>
      <c r="H36" s="30">
        <f>570674+33943</f>
        <v>604617</v>
      </c>
      <c r="I36" s="46">
        <v>0</v>
      </c>
      <c r="J36" s="30">
        <v>0</v>
      </c>
      <c r="K36" s="46">
        <v>178840</v>
      </c>
      <c r="L36" s="46">
        <f>36288347+513206</f>
        <v>36801553</v>
      </c>
      <c r="M36" s="46">
        <v>9459059</v>
      </c>
      <c r="N36" s="30">
        <v>8268305</v>
      </c>
      <c r="O36" s="30">
        <v>1590604</v>
      </c>
      <c r="P36" s="30">
        <v>0</v>
      </c>
      <c r="Q36" s="46">
        <f>3222482+801554+429333+967135+7330347+1133014+54670</f>
        <v>13938535</v>
      </c>
      <c r="R36" s="46">
        <f t="shared" ref="R36" si="2">SUM(B36:Q36)</f>
        <v>82999439</v>
      </c>
      <c r="T36" s="27" t="s">
        <v>56</v>
      </c>
    </row>
    <row r="37" spans="1:20" hidden="1" x14ac:dyDescent="0.25">
      <c r="A37" s="28">
        <v>44165</v>
      </c>
      <c r="B37" s="30">
        <v>3564962</v>
      </c>
      <c r="C37" s="46">
        <v>0</v>
      </c>
      <c r="D37" s="30">
        <v>255052</v>
      </c>
      <c r="E37" s="30">
        <v>108414</v>
      </c>
      <c r="F37" s="46">
        <v>0</v>
      </c>
      <c r="G37" s="30">
        <v>2059842</v>
      </c>
      <c r="H37" s="30">
        <v>268370</v>
      </c>
      <c r="I37" s="46">
        <v>0</v>
      </c>
      <c r="J37" s="30">
        <v>0</v>
      </c>
      <c r="K37" s="46">
        <v>0</v>
      </c>
      <c r="L37" s="46">
        <v>0</v>
      </c>
      <c r="M37" s="46">
        <v>0</v>
      </c>
      <c r="N37" s="30">
        <v>0</v>
      </c>
      <c r="O37" s="30">
        <v>0</v>
      </c>
      <c r="P37" s="30">
        <v>0</v>
      </c>
      <c r="Q37" s="46">
        <v>0</v>
      </c>
      <c r="R37" s="46">
        <f t="shared" si="1"/>
        <v>6256640</v>
      </c>
      <c r="S37" s="75"/>
      <c r="T37" s="27" t="s">
        <v>57</v>
      </c>
    </row>
    <row r="38" spans="1:20" hidden="1" x14ac:dyDescent="0.25">
      <c r="A38" s="28">
        <v>44196</v>
      </c>
      <c r="B38" s="30">
        <v>18475354</v>
      </c>
      <c r="C38" s="46"/>
      <c r="D38" s="30">
        <v>1356324</v>
      </c>
      <c r="E38" s="30">
        <v>419977</v>
      </c>
      <c r="F38" s="46">
        <v>5658</v>
      </c>
      <c r="G38" s="30">
        <v>11995310</v>
      </c>
      <c r="H38" s="30">
        <f>72965+1405863</f>
        <v>1478828</v>
      </c>
      <c r="I38" s="46">
        <v>0</v>
      </c>
      <c r="J38" s="30">
        <v>0</v>
      </c>
      <c r="K38" s="46">
        <v>220318</v>
      </c>
      <c r="L38" s="46">
        <f>37034864+779085</f>
        <v>37813949</v>
      </c>
      <c r="M38" s="46">
        <v>7516479</v>
      </c>
      <c r="N38" s="30">
        <v>2419246</v>
      </c>
      <c r="O38" s="30">
        <v>916410</v>
      </c>
      <c r="P38" s="30">
        <v>0</v>
      </c>
      <c r="Q38" s="46">
        <f>3733619+658635+457902+981664+7462302+18635+3797</f>
        <v>13316554</v>
      </c>
      <c r="R38" s="46">
        <f t="shared" ref="R38:R61" si="3">SUM(B38:Q38)</f>
        <v>95934407</v>
      </c>
    </row>
    <row r="39" spans="1:20" hidden="1" x14ac:dyDescent="0.25">
      <c r="A39" s="28">
        <v>44227</v>
      </c>
      <c r="B39" s="30">
        <v>19685299</v>
      </c>
      <c r="C39" s="46">
        <v>0</v>
      </c>
      <c r="D39" s="30">
        <v>1264480</v>
      </c>
      <c r="E39" s="30">
        <v>431368</v>
      </c>
      <c r="F39" s="46">
        <v>7535</v>
      </c>
      <c r="G39" s="30">
        <v>12906274</v>
      </c>
      <c r="H39" s="30">
        <f>96370+1372740</f>
        <v>1469110</v>
      </c>
      <c r="I39" s="46">
        <v>0</v>
      </c>
      <c r="J39" s="30">
        <v>0</v>
      </c>
      <c r="K39" s="46">
        <v>244469</v>
      </c>
      <c r="L39" s="46">
        <f>36823390+810439</f>
        <v>37633829</v>
      </c>
      <c r="M39" s="46">
        <v>13353201</v>
      </c>
      <c r="N39" s="30">
        <v>9176642</v>
      </c>
      <c r="O39" s="30">
        <v>764453</v>
      </c>
      <c r="P39" s="30">
        <v>0</v>
      </c>
      <c r="Q39" s="46">
        <f>3961371+531780+434089+1038258+8629459+801796+0</f>
        <v>15396753</v>
      </c>
      <c r="R39" s="46">
        <f t="shared" si="3"/>
        <v>112333413</v>
      </c>
    </row>
    <row r="40" spans="1:20" hidden="1" x14ac:dyDescent="0.25">
      <c r="A40" s="28">
        <v>44255</v>
      </c>
      <c r="B40" s="30">
        <v>18599534</v>
      </c>
      <c r="C40" s="46">
        <v>0</v>
      </c>
      <c r="D40" s="30">
        <v>1226133</v>
      </c>
      <c r="E40" s="30">
        <v>372501</v>
      </c>
      <c r="F40" s="46">
        <v>12694</v>
      </c>
      <c r="G40" s="30">
        <v>12050270</v>
      </c>
      <c r="H40" s="30">
        <f>87285+1326272</f>
        <v>1413557</v>
      </c>
      <c r="I40" s="46">
        <v>0</v>
      </c>
      <c r="J40" s="30">
        <v>0</v>
      </c>
      <c r="K40" s="46">
        <v>248648</v>
      </c>
      <c r="L40" s="46">
        <f>38836174+837157</f>
        <v>39673331</v>
      </c>
      <c r="M40" s="46">
        <v>12333204</v>
      </c>
      <c r="N40" s="30">
        <v>5190781</v>
      </c>
      <c r="O40" s="30">
        <v>252622</v>
      </c>
      <c r="P40" s="30">
        <v>0</v>
      </c>
      <c r="Q40" s="46">
        <f>3811005+784731+530523+1058820+7760458+392+0</f>
        <v>13945929</v>
      </c>
      <c r="R40" s="46">
        <f t="shared" si="3"/>
        <v>105319204</v>
      </c>
    </row>
    <row r="41" spans="1:20" hidden="1" x14ac:dyDescent="0.25">
      <c r="A41" s="28">
        <v>44286</v>
      </c>
      <c r="B41" s="30">
        <v>19676756</v>
      </c>
      <c r="C41" s="46">
        <v>0</v>
      </c>
      <c r="D41" s="30">
        <v>1362750</v>
      </c>
      <c r="E41" s="30">
        <v>456093</v>
      </c>
      <c r="F41" s="46">
        <v>7553</v>
      </c>
      <c r="G41" s="30">
        <v>13158991</v>
      </c>
      <c r="H41" s="30">
        <f>87405+1426247</f>
        <v>1513652</v>
      </c>
      <c r="I41" s="46">
        <v>0</v>
      </c>
      <c r="J41" s="30">
        <v>0</v>
      </c>
      <c r="K41" s="46">
        <v>238893</v>
      </c>
      <c r="L41" s="46">
        <f>35300328+803484</f>
        <v>36103812</v>
      </c>
      <c r="M41" s="46">
        <v>10471909</v>
      </c>
      <c r="N41" s="30">
        <v>5382227</v>
      </c>
      <c r="O41" s="30">
        <v>982292</v>
      </c>
      <c r="P41" s="30">
        <v>0</v>
      </c>
      <c r="Q41" s="46">
        <f>3364783+632596+377681+1028372+7001034+1613489+22799</f>
        <v>14040754</v>
      </c>
      <c r="R41" s="46">
        <f t="shared" si="3"/>
        <v>103395682</v>
      </c>
    </row>
    <row r="42" spans="1:20" hidden="1" x14ac:dyDescent="0.25">
      <c r="A42" s="28">
        <v>44316</v>
      </c>
      <c r="B42" s="30">
        <v>13567783</v>
      </c>
      <c r="C42" s="46">
        <v>0</v>
      </c>
      <c r="D42" s="30">
        <v>1066951</v>
      </c>
      <c r="E42" s="30">
        <v>426217</v>
      </c>
      <c r="F42" s="46">
        <v>3998</v>
      </c>
      <c r="G42" s="30">
        <v>9154067</v>
      </c>
      <c r="H42" s="30">
        <f>58190+1098911</f>
        <v>1157101</v>
      </c>
      <c r="I42" s="46">
        <v>0</v>
      </c>
      <c r="J42" s="30">
        <v>0</v>
      </c>
      <c r="K42" s="46">
        <v>235545</v>
      </c>
      <c r="L42" s="46">
        <f>37852447+892361</f>
        <v>38744808</v>
      </c>
      <c r="M42" s="46">
        <v>15050505</v>
      </c>
      <c r="N42" s="30">
        <v>10973891</v>
      </c>
      <c r="O42" s="30">
        <v>2069033</v>
      </c>
      <c r="P42" s="30">
        <v>0</v>
      </c>
      <c r="Q42" s="46">
        <f>3445221+731231+344914+1102778+8979413+3832585+108012</f>
        <v>18544154</v>
      </c>
      <c r="R42" s="46">
        <f t="shared" si="3"/>
        <v>110994053</v>
      </c>
    </row>
    <row r="43" spans="1:20" x14ac:dyDescent="0.25">
      <c r="A43" s="28">
        <v>44347</v>
      </c>
      <c r="B43" s="30">
        <v>6623364</v>
      </c>
      <c r="C43" s="46">
        <v>0</v>
      </c>
      <c r="D43" s="30">
        <v>680086</v>
      </c>
      <c r="E43" s="30">
        <v>286219</v>
      </c>
      <c r="F43" s="46">
        <v>2200</v>
      </c>
      <c r="G43" s="30">
        <v>4930955</v>
      </c>
      <c r="H43" s="30">
        <f>35726+618462</f>
        <v>654188</v>
      </c>
      <c r="I43" s="46">
        <v>0</v>
      </c>
      <c r="J43" s="30">
        <v>0</v>
      </c>
      <c r="K43" s="46">
        <v>180576</v>
      </c>
      <c r="L43" s="46">
        <f>35494843+716055</f>
        <v>36210898</v>
      </c>
      <c r="M43" s="46">
        <v>6562711</v>
      </c>
      <c r="N43" s="30">
        <v>12896888</v>
      </c>
      <c r="O43" s="30">
        <v>8378207</v>
      </c>
      <c r="P43" s="30">
        <v>0</v>
      </c>
      <c r="Q43" s="46">
        <f>3529385+651362+244382+1083614+5907169+2326616+4777</f>
        <v>13747305</v>
      </c>
      <c r="R43" s="46">
        <f t="shared" si="3"/>
        <v>91153597</v>
      </c>
    </row>
    <row r="44" spans="1:20" x14ac:dyDescent="0.25">
      <c r="A44" s="28">
        <v>44377</v>
      </c>
      <c r="B44" s="30">
        <v>5165480</v>
      </c>
      <c r="C44" s="46">
        <v>0</v>
      </c>
      <c r="D44" s="30">
        <v>585095</v>
      </c>
      <c r="E44" s="30">
        <v>448138</v>
      </c>
      <c r="F44" s="46">
        <v>3602</v>
      </c>
      <c r="G44" s="30">
        <v>4017478</v>
      </c>
      <c r="H44" s="30">
        <f>22913+506621</f>
        <v>529534</v>
      </c>
      <c r="I44" s="46">
        <v>0</v>
      </c>
      <c r="J44" s="30">
        <v>0</v>
      </c>
      <c r="K44" s="46">
        <v>143789</v>
      </c>
      <c r="L44" s="46">
        <f>33561669+581610</f>
        <v>34143279</v>
      </c>
      <c r="M44" s="46">
        <v>364</v>
      </c>
      <c r="N44" s="30">
        <v>5871337</v>
      </c>
      <c r="O44" s="30">
        <v>2903752</v>
      </c>
      <c r="P44" s="30">
        <v>0</v>
      </c>
      <c r="Q44" s="46">
        <f>2947295+496918+305268+1112584+5745936+6639387+274441</f>
        <v>17521829</v>
      </c>
      <c r="R44" s="46">
        <f t="shared" si="3"/>
        <v>71333677</v>
      </c>
    </row>
    <row r="45" spans="1:20" x14ac:dyDescent="0.25">
      <c r="A45" s="28">
        <v>44408</v>
      </c>
      <c r="B45" s="30">
        <v>3043741</v>
      </c>
      <c r="C45" s="46">
        <v>0</v>
      </c>
      <c r="D45" s="30">
        <v>496382</v>
      </c>
      <c r="E45" s="30">
        <v>260037</v>
      </c>
      <c r="F45" s="46">
        <v>1512</v>
      </c>
      <c r="G45" s="30">
        <v>2731524</v>
      </c>
      <c r="H45" s="30">
        <f>3579+329987</f>
        <v>333566</v>
      </c>
      <c r="I45" s="46">
        <v>0</v>
      </c>
      <c r="J45" s="30">
        <v>0</v>
      </c>
      <c r="K45" s="46">
        <v>104510</v>
      </c>
      <c r="L45" s="46">
        <f>32316224+382999</f>
        <v>32699223</v>
      </c>
      <c r="M45" s="46">
        <v>10580854</v>
      </c>
      <c r="N45" s="30">
        <v>9297912</v>
      </c>
      <c r="O45" s="30">
        <v>5368620</v>
      </c>
      <c r="P45" s="30">
        <v>0</v>
      </c>
      <c r="Q45" s="46">
        <f>3187034+456697+220613+1091768+7240174+5347779+27594</f>
        <v>17571659</v>
      </c>
      <c r="R45" s="46">
        <f t="shared" si="3"/>
        <v>82489540</v>
      </c>
    </row>
    <row r="46" spans="1:20" x14ac:dyDescent="0.25">
      <c r="A46" s="28">
        <v>44439</v>
      </c>
      <c r="B46" s="30">
        <v>2658664</v>
      </c>
      <c r="C46" s="46">
        <v>0</v>
      </c>
      <c r="D46" s="30">
        <v>465585</v>
      </c>
      <c r="E46" s="30">
        <v>315534</v>
      </c>
      <c r="F46" s="46">
        <v>1203</v>
      </c>
      <c r="G46" s="30">
        <v>2572912</v>
      </c>
      <c r="H46" s="30">
        <f>3339+300630</f>
        <v>303969</v>
      </c>
      <c r="I46" s="46">
        <v>0</v>
      </c>
      <c r="J46" s="30">
        <v>0</v>
      </c>
      <c r="K46" s="46">
        <v>88811</v>
      </c>
      <c r="L46" s="46">
        <f>29267956+373243</f>
        <v>29641199</v>
      </c>
      <c r="M46" s="46">
        <v>14701743</v>
      </c>
      <c r="N46" s="30">
        <v>12217042</v>
      </c>
      <c r="O46" s="30">
        <v>8620267</v>
      </c>
      <c r="P46" s="30">
        <v>0</v>
      </c>
      <c r="Q46" s="46">
        <f>3150229+589887+231899+1057703+7874655+6774098+626809</f>
        <v>20305280</v>
      </c>
      <c r="R46" s="46">
        <f t="shared" si="3"/>
        <v>91892209</v>
      </c>
    </row>
    <row r="47" spans="1:20" x14ac:dyDescent="0.25">
      <c r="A47" s="28">
        <v>44469</v>
      </c>
      <c r="B47" s="30">
        <v>3024586</v>
      </c>
      <c r="C47" s="46">
        <v>0</v>
      </c>
      <c r="D47" s="30">
        <v>585259</v>
      </c>
      <c r="E47" s="30">
        <v>292711</v>
      </c>
      <c r="F47" s="46">
        <v>1834</v>
      </c>
      <c r="G47" s="30">
        <v>2784423</v>
      </c>
      <c r="H47" s="30">
        <f>3577+319073</f>
        <v>322650</v>
      </c>
      <c r="I47" s="46">
        <v>0</v>
      </c>
      <c r="J47" s="30">
        <v>0</v>
      </c>
      <c r="K47" s="46">
        <v>103033</v>
      </c>
      <c r="L47" s="46">
        <f>29965850+401833</f>
        <v>30367683</v>
      </c>
      <c r="M47" s="46">
        <v>14849398</v>
      </c>
      <c r="N47" s="30">
        <v>12371540</v>
      </c>
      <c r="O47" s="30">
        <v>6769382</v>
      </c>
      <c r="P47" s="30">
        <v>0</v>
      </c>
      <c r="Q47" s="46">
        <f>3198929+639207+263338+977831+8756668+7028098+1359828</f>
        <v>22223899</v>
      </c>
      <c r="R47" s="46">
        <f t="shared" si="3"/>
        <v>93696398</v>
      </c>
    </row>
    <row r="48" spans="1:20" x14ac:dyDescent="0.25">
      <c r="A48" s="28">
        <v>44500</v>
      </c>
      <c r="B48" s="30">
        <v>5302722</v>
      </c>
      <c r="C48" s="46">
        <v>0</v>
      </c>
      <c r="D48" s="30">
        <v>1219426</v>
      </c>
      <c r="E48" s="30">
        <v>334722</v>
      </c>
      <c r="F48" s="46">
        <v>2215</v>
      </c>
      <c r="G48" s="30">
        <v>3968867</v>
      </c>
      <c r="H48" s="30">
        <f>4202+497258</f>
        <v>501460</v>
      </c>
      <c r="I48" s="46">
        <v>0</v>
      </c>
      <c r="J48" s="30">
        <v>0</v>
      </c>
      <c r="K48" s="46">
        <v>127498</v>
      </c>
      <c r="L48" s="46">
        <f>31832574+419083</f>
        <v>32251657</v>
      </c>
      <c r="M48" s="46">
        <v>13988315</v>
      </c>
      <c r="N48" s="30">
        <v>13923327</v>
      </c>
      <c r="O48" s="30">
        <v>4789501</v>
      </c>
      <c r="P48" s="30">
        <v>0</v>
      </c>
      <c r="Q48" s="46">
        <f>3209502+603823+243842+985969+7797525+7613521+91332</f>
        <v>20545514</v>
      </c>
      <c r="R48" s="46">
        <f t="shared" si="3"/>
        <v>96955224</v>
      </c>
    </row>
    <row r="49" spans="1:20" x14ac:dyDescent="0.25">
      <c r="A49" s="28">
        <v>44530</v>
      </c>
      <c r="B49" s="30">
        <v>6875152</v>
      </c>
      <c r="C49" s="46">
        <v>0</v>
      </c>
      <c r="D49" s="30">
        <v>687044</v>
      </c>
      <c r="E49" s="30">
        <v>274192</v>
      </c>
      <c r="F49" s="46">
        <v>3066</v>
      </c>
      <c r="G49" s="30">
        <v>4648667</v>
      </c>
      <c r="H49" s="30">
        <f>554223+32136</f>
        <v>586359</v>
      </c>
      <c r="I49" s="46">
        <v>0</v>
      </c>
      <c r="J49" s="30">
        <v>0</v>
      </c>
      <c r="K49" s="46">
        <v>188282</v>
      </c>
      <c r="L49" s="46">
        <f>35464781+657384</f>
        <v>36122165</v>
      </c>
      <c r="M49" s="46">
        <v>10167896</v>
      </c>
      <c r="N49" s="30">
        <v>10295353</v>
      </c>
      <c r="O49" s="30">
        <v>4268420</v>
      </c>
      <c r="P49" s="30">
        <v>0</v>
      </c>
      <c r="Q49" s="46">
        <f>3489129+715779+352263+1090501+8044363+2039975+0</f>
        <v>15732010</v>
      </c>
      <c r="R49" s="46">
        <f t="shared" si="3"/>
        <v>89848606</v>
      </c>
      <c r="T49" s="27" t="s">
        <v>56</v>
      </c>
    </row>
    <row r="50" spans="1:20" x14ac:dyDescent="0.25">
      <c r="A50" s="28">
        <v>44530</v>
      </c>
      <c r="B50" s="30">
        <v>3055417</v>
      </c>
      <c r="C50" s="46">
        <v>0</v>
      </c>
      <c r="D50" s="30">
        <v>241794</v>
      </c>
      <c r="E50" s="30">
        <v>98046</v>
      </c>
      <c r="F50" s="46">
        <v>0</v>
      </c>
      <c r="G50" s="30">
        <v>1834948</v>
      </c>
      <c r="H50" s="30">
        <v>233326</v>
      </c>
      <c r="I50" s="46">
        <v>0</v>
      </c>
      <c r="J50" s="30">
        <v>0</v>
      </c>
      <c r="K50" s="46">
        <v>0</v>
      </c>
      <c r="L50" s="46">
        <v>0</v>
      </c>
      <c r="M50" s="46">
        <v>0</v>
      </c>
      <c r="N50" s="30">
        <v>0</v>
      </c>
      <c r="O50" s="30">
        <v>0</v>
      </c>
      <c r="P50" s="30">
        <v>0</v>
      </c>
      <c r="Q50" s="46">
        <v>0</v>
      </c>
      <c r="R50" s="46">
        <f t="shared" si="3"/>
        <v>5463531</v>
      </c>
      <c r="S50" s="75"/>
      <c r="T50" s="27" t="s">
        <v>57</v>
      </c>
    </row>
    <row r="51" spans="1:20" x14ac:dyDescent="0.25">
      <c r="A51" s="28">
        <v>44561</v>
      </c>
      <c r="B51" s="30">
        <v>16399782</v>
      </c>
      <c r="C51" s="46">
        <v>0</v>
      </c>
      <c r="D51" s="30">
        <v>1371971</v>
      </c>
      <c r="E51" s="30">
        <v>456838</v>
      </c>
      <c r="F51" s="46">
        <v>5052</v>
      </c>
      <c r="G51" s="30">
        <v>10769619</v>
      </c>
      <c r="H51" s="30">
        <f>80816+1147081</f>
        <v>1227897</v>
      </c>
      <c r="I51" s="46">
        <v>0</v>
      </c>
      <c r="J51" s="30">
        <v>0</v>
      </c>
      <c r="K51" s="46">
        <v>215369</v>
      </c>
      <c r="L51" s="46">
        <f>33885258+793950</f>
        <v>34679208</v>
      </c>
      <c r="M51" s="46">
        <v>13522374</v>
      </c>
      <c r="N51" s="30">
        <v>7960245</v>
      </c>
      <c r="O51" s="30">
        <v>449463</v>
      </c>
      <c r="P51" s="30">
        <v>0</v>
      </c>
      <c r="Q51" s="46">
        <f>3533155+694755+347700+963439+8163208+1976757+83980</f>
        <v>15762994</v>
      </c>
      <c r="R51" s="46">
        <f t="shared" si="3"/>
        <v>102820812</v>
      </c>
      <c r="S51" s="75" t="s">
        <v>65</v>
      </c>
    </row>
    <row r="52" spans="1:20" x14ac:dyDescent="0.25">
      <c r="A52" s="28">
        <v>44592</v>
      </c>
      <c r="B52" s="30"/>
      <c r="C52" s="46"/>
      <c r="D52" s="30"/>
      <c r="E52" s="30"/>
      <c r="F52" s="46"/>
      <c r="G52" s="30"/>
      <c r="H52" s="30"/>
      <c r="I52" s="46"/>
      <c r="J52" s="30"/>
      <c r="K52" s="46"/>
      <c r="L52" s="46"/>
      <c r="M52" s="46"/>
      <c r="N52" s="30"/>
      <c r="O52" s="30"/>
      <c r="P52" s="30"/>
      <c r="Q52" s="46"/>
      <c r="R52" s="46">
        <f t="shared" si="3"/>
        <v>0</v>
      </c>
      <c r="S52" s="75"/>
    </row>
    <row r="53" spans="1:20" x14ac:dyDescent="0.25">
      <c r="A53" s="28">
        <v>44620</v>
      </c>
      <c r="B53" s="30"/>
      <c r="C53" s="46"/>
      <c r="D53" s="30"/>
      <c r="E53" s="30"/>
      <c r="F53" s="46"/>
      <c r="G53" s="30"/>
      <c r="H53" s="30"/>
      <c r="I53" s="46"/>
      <c r="J53" s="30"/>
      <c r="K53" s="46"/>
      <c r="L53" s="46"/>
      <c r="M53" s="46"/>
      <c r="N53" s="30"/>
      <c r="O53" s="30"/>
      <c r="P53" s="30"/>
      <c r="Q53" s="46"/>
      <c r="R53" s="46">
        <f t="shared" si="3"/>
        <v>0</v>
      </c>
      <c r="S53" s="75"/>
    </row>
    <row r="54" spans="1:20" x14ac:dyDescent="0.25">
      <c r="A54" s="28">
        <v>44651</v>
      </c>
      <c r="B54" s="30"/>
      <c r="C54" s="46"/>
      <c r="D54" s="30"/>
      <c r="E54" s="30"/>
      <c r="F54" s="46"/>
      <c r="G54" s="30"/>
      <c r="H54" s="30"/>
      <c r="I54" s="46"/>
      <c r="J54" s="30"/>
      <c r="K54" s="46"/>
      <c r="L54" s="46"/>
      <c r="M54" s="46"/>
      <c r="N54" s="30"/>
      <c r="O54" s="30"/>
      <c r="P54" s="30"/>
      <c r="Q54" s="46"/>
      <c r="R54" s="46">
        <f t="shared" si="3"/>
        <v>0</v>
      </c>
      <c r="S54" s="75"/>
    </row>
    <row r="55" spans="1:20" x14ac:dyDescent="0.25">
      <c r="A55" s="28">
        <v>44681</v>
      </c>
      <c r="B55" s="30"/>
      <c r="C55" s="46"/>
      <c r="D55" s="30"/>
      <c r="E55" s="30"/>
      <c r="F55" s="46"/>
      <c r="G55" s="30"/>
      <c r="H55" s="30"/>
      <c r="I55" s="46"/>
      <c r="J55" s="30"/>
      <c r="K55" s="46"/>
      <c r="L55" s="46"/>
      <c r="M55" s="46"/>
      <c r="N55" s="30"/>
      <c r="O55" s="30"/>
      <c r="P55" s="30"/>
      <c r="Q55" s="46"/>
      <c r="R55" s="46">
        <f t="shared" si="3"/>
        <v>0</v>
      </c>
      <c r="S55" s="75"/>
    </row>
    <row r="56" spans="1:20" hidden="1" x14ac:dyDescent="0.25">
      <c r="A56" s="28">
        <v>44712</v>
      </c>
      <c r="B56" s="30"/>
      <c r="C56" s="46"/>
      <c r="D56" s="30"/>
      <c r="E56" s="30"/>
      <c r="F56" s="46"/>
      <c r="G56" s="30"/>
      <c r="H56" s="30"/>
      <c r="I56" s="46"/>
      <c r="J56" s="30"/>
      <c r="K56" s="46"/>
      <c r="L56" s="46"/>
      <c r="M56" s="46"/>
      <c r="N56" s="30"/>
      <c r="O56" s="30"/>
      <c r="P56" s="30"/>
      <c r="Q56" s="46"/>
      <c r="R56" s="46">
        <f t="shared" si="3"/>
        <v>0</v>
      </c>
      <c r="S56" s="75"/>
    </row>
    <row r="57" spans="1:20" hidden="1" x14ac:dyDescent="0.25">
      <c r="A57" s="28">
        <v>44742</v>
      </c>
      <c r="B57" s="30"/>
      <c r="C57" s="46"/>
      <c r="D57" s="30"/>
      <c r="E57" s="30"/>
      <c r="F57" s="46"/>
      <c r="G57" s="30"/>
      <c r="H57" s="30"/>
      <c r="I57" s="46"/>
      <c r="J57" s="30"/>
      <c r="K57" s="46"/>
      <c r="L57" s="46"/>
      <c r="M57" s="46"/>
      <c r="N57" s="30"/>
      <c r="O57" s="30"/>
      <c r="P57" s="30"/>
      <c r="Q57" s="46"/>
      <c r="R57" s="46">
        <f t="shared" si="3"/>
        <v>0</v>
      </c>
      <c r="S57" s="75"/>
    </row>
    <row r="58" spans="1:20" hidden="1" x14ac:dyDescent="0.25">
      <c r="A58" s="28">
        <v>44773</v>
      </c>
      <c r="B58" s="30"/>
      <c r="C58" s="46"/>
      <c r="D58" s="30"/>
      <c r="E58" s="30"/>
      <c r="F58" s="46"/>
      <c r="G58" s="30"/>
      <c r="H58" s="30"/>
      <c r="I58" s="46"/>
      <c r="J58" s="30"/>
      <c r="K58" s="46"/>
      <c r="L58" s="46"/>
      <c r="M58" s="46"/>
      <c r="N58" s="30"/>
      <c r="O58" s="30"/>
      <c r="P58" s="30"/>
      <c r="Q58" s="46"/>
      <c r="R58" s="46">
        <f t="shared" si="3"/>
        <v>0</v>
      </c>
      <c r="S58" s="75"/>
    </row>
    <row r="59" spans="1:20" hidden="1" x14ac:dyDescent="0.25">
      <c r="A59" s="28">
        <v>44804</v>
      </c>
      <c r="B59" s="30"/>
      <c r="C59" s="46"/>
      <c r="D59" s="30"/>
      <c r="E59" s="30"/>
      <c r="F59" s="46"/>
      <c r="G59" s="30"/>
      <c r="H59" s="30"/>
      <c r="I59" s="46"/>
      <c r="J59" s="30"/>
      <c r="K59" s="46"/>
      <c r="L59" s="46"/>
      <c r="M59" s="46"/>
      <c r="N59" s="30"/>
      <c r="O59" s="30"/>
      <c r="P59" s="30"/>
      <c r="Q59" s="46"/>
      <c r="R59" s="46">
        <f t="shared" si="3"/>
        <v>0</v>
      </c>
      <c r="S59" s="75"/>
    </row>
    <row r="60" spans="1:20" hidden="1" x14ac:dyDescent="0.25">
      <c r="A60" s="28">
        <v>44834</v>
      </c>
      <c r="B60" s="30"/>
      <c r="C60" s="46"/>
      <c r="D60" s="30"/>
      <c r="E60" s="30"/>
      <c r="F60" s="46"/>
      <c r="G60" s="30"/>
      <c r="H60" s="30"/>
      <c r="I60" s="46"/>
      <c r="J60" s="30"/>
      <c r="K60" s="46"/>
      <c r="L60" s="46"/>
      <c r="M60" s="46"/>
      <c r="N60" s="30"/>
      <c r="O60" s="30"/>
      <c r="P60" s="30"/>
      <c r="Q60" s="46"/>
      <c r="R60" s="46">
        <f t="shared" si="3"/>
        <v>0</v>
      </c>
      <c r="S60" s="75"/>
    </row>
    <row r="61" spans="1:20" hidden="1" x14ac:dyDescent="0.25">
      <c r="A61" s="28">
        <v>44865</v>
      </c>
      <c r="B61" s="30"/>
      <c r="C61" s="46"/>
      <c r="D61" s="30"/>
      <c r="E61" s="30"/>
      <c r="F61" s="46"/>
      <c r="G61" s="30"/>
      <c r="H61" s="30"/>
      <c r="I61" s="46"/>
      <c r="J61" s="30"/>
      <c r="K61" s="46"/>
      <c r="L61" s="46"/>
      <c r="M61" s="46"/>
      <c r="N61" s="30"/>
      <c r="O61" s="30"/>
      <c r="P61" s="30"/>
      <c r="Q61" s="46"/>
      <c r="R61" s="46">
        <f t="shared" si="3"/>
        <v>0</v>
      </c>
      <c r="S61" s="75"/>
    </row>
    <row r="62" spans="1:20" s="71" customFormat="1" x14ac:dyDescent="0.25">
      <c r="A62" s="68"/>
      <c r="B62" s="69" t="s">
        <v>66</v>
      </c>
      <c r="C62" s="70"/>
      <c r="D62" s="69" t="s">
        <v>66</v>
      </c>
      <c r="E62" s="69" t="s">
        <v>66</v>
      </c>
      <c r="F62" s="69" t="s">
        <v>66</v>
      </c>
      <c r="G62" s="69" t="s">
        <v>66</v>
      </c>
      <c r="H62" s="69" t="s">
        <v>66</v>
      </c>
      <c r="I62" s="69" t="s">
        <v>66</v>
      </c>
      <c r="J62" s="70"/>
      <c r="K62" s="69" t="s">
        <v>66</v>
      </c>
      <c r="L62" s="69" t="s">
        <v>66</v>
      </c>
      <c r="M62" s="69" t="s">
        <v>66</v>
      </c>
      <c r="N62" s="69" t="s">
        <v>66</v>
      </c>
      <c r="O62" s="69" t="s">
        <v>66</v>
      </c>
      <c r="P62" s="70"/>
      <c r="Q62" s="70"/>
      <c r="R62" s="70"/>
      <c r="S62" s="70"/>
    </row>
    <row r="63" spans="1:20" x14ac:dyDescent="0.25">
      <c r="A63" s="28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20" x14ac:dyDescent="0.25">
      <c r="A64" s="28"/>
      <c r="B64" s="115" t="s">
        <v>49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</row>
    <row r="65" spans="1:19" x14ac:dyDescent="0.25">
      <c r="B65" s="38">
        <v>4800</v>
      </c>
      <c r="C65" s="110">
        <v>4809</v>
      </c>
      <c r="D65" s="111"/>
      <c r="E65" s="111"/>
      <c r="F65" s="110">
        <v>4810</v>
      </c>
      <c r="G65" s="111"/>
      <c r="H65" s="111"/>
      <c r="I65" s="110">
        <v>4811</v>
      </c>
      <c r="J65" s="111"/>
      <c r="K65" s="48">
        <v>4813</v>
      </c>
      <c r="L65" s="48">
        <v>4861</v>
      </c>
      <c r="M65" s="110">
        <v>4863</v>
      </c>
      <c r="N65" s="111"/>
      <c r="O65" s="111"/>
      <c r="P65" s="38"/>
      <c r="Q65" s="48"/>
      <c r="R65" s="51"/>
      <c r="S65" s="34"/>
    </row>
    <row r="66" spans="1:19" x14ac:dyDescent="0.25">
      <c r="B66" s="29">
        <v>503</v>
      </c>
      <c r="C66" s="45" t="s">
        <v>31</v>
      </c>
      <c r="D66" s="29">
        <v>505</v>
      </c>
      <c r="E66" s="29">
        <v>511</v>
      </c>
      <c r="F66" s="45" t="s">
        <v>30</v>
      </c>
      <c r="G66" s="29">
        <v>504</v>
      </c>
      <c r="H66" s="29" t="s">
        <v>64</v>
      </c>
      <c r="I66" s="45" t="s">
        <v>31</v>
      </c>
      <c r="J66" s="29">
        <v>570</v>
      </c>
      <c r="K66" s="45">
        <v>570</v>
      </c>
      <c r="L66" s="72" t="s">
        <v>70</v>
      </c>
      <c r="M66" s="50">
        <v>6631</v>
      </c>
      <c r="N66" s="35">
        <v>6633</v>
      </c>
      <c r="O66" s="35">
        <v>6635</v>
      </c>
      <c r="P66" s="35">
        <v>916</v>
      </c>
      <c r="Q66" s="50" t="s">
        <v>28</v>
      </c>
      <c r="R66" s="52" t="s">
        <v>3</v>
      </c>
      <c r="S66" s="34"/>
    </row>
    <row r="67" spans="1:19" hidden="1" x14ac:dyDescent="0.25">
      <c r="A67" s="28">
        <v>43343</v>
      </c>
      <c r="B67" s="30">
        <f>+E214</f>
        <v>0</v>
      </c>
      <c r="C67" s="47">
        <v>0</v>
      </c>
      <c r="D67" s="30">
        <v>0</v>
      </c>
      <c r="E67" s="30">
        <v>0</v>
      </c>
      <c r="F67" s="46">
        <v>158</v>
      </c>
      <c r="G67" s="30">
        <f>+E216</f>
        <v>0</v>
      </c>
      <c r="H67" s="30">
        <v>0</v>
      </c>
      <c r="I67" s="47">
        <v>359</v>
      </c>
      <c r="J67" s="30">
        <v>0</v>
      </c>
      <c r="K67" s="46">
        <v>93391</v>
      </c>
      <c r="L67" s="46">
        <v>26924983</v>
      </c>
      <c r="M67" s="46">
        <v>0</v>
      </c>
      <c r="N67" s="30">
        <v>12762544</v>
      </c>
      <c r="O67" s="30">
        <v>5293486</v>
      </c>
      <c r="P67" s="30">
        <v>14392902</v>
      </c>
      <c r="Q67" s="46">
        <f>2073946+1569259+710981+336820+970764+4069426+6558487+1275763</f>
        <v>17565446</v>
      </c>
      <c r="R67" s="46">
        <f>SUM(B67:Q67)+D214+D215+D216+D217</f>
        <v>77033269</v>
      </c>
      <c r="S67" s="30"/>
    </row>
    <row r="68" spans="1:19" hidden="1" x14ac:dyDescent="0.25">
      <c r="A68" s="28">
        <v>43373</v>
      </c>
      <c r="B68" s="30"/>
      <c r="C68" s="46"/>
      <c r="D68" s="30"/>
      <c r="E68" s="30"/>
      <c r="F68" s="46">
        <v>501</v>
      </c>
      <c r="G68" s="30"/>
      <c r="H68" s="30"/>
      <c r="I68" s="46">
        <v>188</v>
      </c>
      <c r="J68" s="30"/>
      <c r="K68" s="46">
        <v>118645</v>
      </c>
      <c r="L68" s="46">
        <v>30461110</v>
      </c>
      <c r="M68" s="46">
        <v>15312916</v>
      </c>
      <c r="N68" s="30">
        <v>14381027</v>
      </c>
      <c r="O68" s="30">
        <v>2080893</v>
      </c>
      <c r="P68" s="30">
        <v>0</v>
      </c>
      <c r="Q68" s="46">
        <v>9407603</v>
      </c>
      <c r="R68" s="46">
        <f t="shared" ref="R68:R83" si="4">SUM(B68:Q68)</f>
        <v>71762883</v>
      </c>
      <c r="S68" s="30"/>
    </row>
    <row r="69" spans="1:19" hidden="1" x14ac:dyDescent="0.25">
      <c r="A69" s="28">
        <v>43404</v>
      </c>
      <c r="B69" s="30"/>
      <c r="C69" s="46"/>
      <c r="D69" s="30"/>
      <c r="E69" s="30"/>
      <c r="F69" s="46">
        <v>2079</v>
      </c>
      <c r="G69" s="30"/>
      <c r="H69" s="30"/>
      <c r="I69" s="46">
        <v>21</v>
      </c>
      <c r="J69" s="30"/>
      <c r="K69" s="46">
        <v>197742</v>
      </c>
      <c r="L69" s="46">
        <v>32448578</v>
      </c>
      <c r="M69" s="46">
        <v>7714309</v>
      </c>
      <c r="N69" s="30">
        <v>4034082</v>
      </c>
      <c r="O69" s="30">
        <v>2001543</v>
      </c>
      <c r="P69" s="30">
        <v>0</v>
      </c>
      <c r="Q69" s="46">
        <v>12455009</v>
      </c>
      <c r="R69" s="46">
        <f t="shared" si="4"/>
        <v>58853363</v>
      </c>
      <c r="S69" s="30"/>
    </row>
    <row r="70" spans="1:19" hidden="1" x14ac:dyDescent="0.25">
      <c r="A70" s="28">
        <v>43434</v>
      </c>
      <c r="B70" s="30"/>
      <c r="C70" s="54">
        <v>63</v>
      </c>
      <c r="D70" s="30"/>
      <c r="E70" s="30"/>
      <c r="F70" s="46">
        <v>3464</v>
      </c>
      <c r="G70" s="30"/>
      <c r="H70" s="30"/>
      <c r="I70" s="54"/>
      <c r="J70" s="30"/>
      <c r="K70" s="46">
        <v>217688</v>
      </c>
      <c r="L70" s="46">
        <v>25948738</v>
      </c>
      <c r="M70" s="46">
        <v>76766</v>
      </c>
      <c r="N70" s="30">
        <v>28205</v>
      </c>
      <c r="O70" s="30">
        <v>33898</v>
      </c>
      <c r="P70" s="30"/>
      <c r="Q70" s="46">
        <v>12530783</v>
      </c>
      <c r="R70" s="46">
        <f t="shared" si="4"/>
        <v>38839605</v>
      </c>
      <c r="S70" s="30" t="s">
        <v>58</v>
      </c>
    </row>
    <row r="71" spans="1:19" hidden="1" x14ac:dyDescent="0.25">
      <c r="A71" s="28">
        <v>43465</v>
      </c>
      <c r="B71" s="30"/>
      <c r="C71" s="46"/>
      <c r="D71" s="30"/>
      <c r="E71" s="30"/>
      <c r="F71" s="46">
        <v>4915</v>
      </c>
      <c r="G71" s="30"/>
      <c r="H71" s="30"/>
      <c r="I71" s="46">
        <v>79</v>
      </c>
      <c r="J71" s="30"/>
      <c r="K71" s="46">
        <v>260482</v>
      </c>
      <c r="L71" s="46">
        <v>29346851</v>
      </c>
      <c r="M71" s="46">
        <v>14382579</v>
      </c>
      <c r="N71" s="30">
        <v>4450625</v>
      </c>
      <c r="O71" s="30">
        <v>57483</v>
      </c>
      <c r="P71" s="30">
        <v>0</v>
      </c>
      <c r="Q71" s="46">
        <v>14281508</v>
      </c>
      <c r="R71" s="46">
        <f t="shared" si="4"/>
        <v>62784522</v>
      </c>
      <c r="S71" s="30"/>
    </row>
    <row r="72" spans="1:19" hidden="1" x14ac:dyDescent="0.25">
      <c r="A72" s="28">
        <v>43496</v>
      </c>
      <c r="B72" s="30"/>
      <c r="C72" s="46"/>
      <c r="D72" s="30"/>
      <c r="E72" s="30"/>
      <c r="F72" s="46">
        <v>4626</v>
      </c>
      <c r="G72" s="30"/>
      <c r="H72" s="30"/>
      <c r="I72" s="46">
        <v>7</v>
      </c>
      <c r="J72" s="30"/>
      <c r="K72" s="46">
        <v>258811</v>
      </c>
      <c r="L72" s="46">
        <v>31076934</v>
      </c>
      <c r="M72" s="46">
        <v>14944499</v>
      </c>
      <c r="N72" s="30">
        <v>4088088</v>
      </c>
      <c r="O72" s="30">
        <v>106086</v>
      </c>
      <c r="P72" s="30">
        <v>0</v>
      </c>
      <c r="Q72" s="46">
        <f>3202152+2041529+835418+564041+1220699+7679533+0+0</f>
        <v>15543372</v>
      </c>
      <c r="R72" s="46">
        <f t="shared" si="4"/>
        <v>66022423</v>
      </c>
      <c r="S72" s="30"/>
    </row>
    <row r="73" spans="1:19" hidden="1" x14ac:dyDescent="0.25">
      <c r="A73" s="28">
        <v>43524</v>
      </c>
      <c r="B73" s="30"/>
      <c r="C73" s="46"/>
      <c r="D73" s="30"/>
      <c r="E73" s="30"/>
      <c r="F73" s="46">
        <v>5486</v>
      </c>
      <c r="G73" s="30"/>
      <c r="H73" s="30"/>
      <c r="I73" s="46">
        <v>0</v>
      </c>
      <c r="J73" s="30"/>
      <c r="K73" s="46">
        <v>270184</v>
      </c>
      <c r="L73" s="46">
        <v>30225230</v>
      </c>
      <c r="M73" s="46">
        <v>7408861</v>
      </c>
      <c r="N73" s="30">
        <v>5846716</v>
      </c>
      <c r="O73" s="30">
        <v>228696</v>
      </c>
      <c r="P73" s="30">
        <v>0</v>
      </c>
      <c r="Q73" s="46">
        <f>2316555+2359414+735036+538901+1078245+7686555+2483404+39201</f>
        <v>17237311</v>
      </c>
      <c r="R73" s="46">
        <f t="shared" si="4"/>
        <v>61222484</v>
      </c>
      <c r="S73" s="30"/>
    </row>
    <row r="74" spans="1:19" hidden="1" x14ac:dyDescent="0.25">
      <c r="A74" s="28">
        <v>43555</v>
      </c>
      <c r="B74" s="30"/>
      <c r="C74" s="46"/>
      <c r="D74" s="30"/>
      <c r="E74" s="30"/>
      <c r="F74" s="46">
        <v>3527</v>
      </c>
      <c r="G74" s="30"/>
      <c r="H74" s="30"/>
      <c r="I74" s="46">
        <v>0</v>
      </c>
      <c r="J74" s="30"/>
      <c r="K74" s="46">
        <v>248145</v>
      </c>
      <c r="L74" s="46">
        <v>29441177</v>
      </c>
      <c r="M74" s="46">
        <v>9817659</v>
      </c>
      <c r="N74" s="30">
        <v>3088142</v>
      </c>
      <c r="O74" s="30">
        <v>0</v>
      </c>
      <c r="P74" s="30"/>
      <c r="Q74" s="46">
        <f>2298407+2520690+848257+538257+1154609+9312929+334503+112350</f>
        <v>17120002</v>
      </c>
      <c r="R74" s="46">
        <f t="shared" si="4"/>
        <v>59718652</v>
      </c>
      <c r="S74" s="30"/>
    </row>
    <row r="75" spans="1:19" hidden="1" x14ac:dyDescent="0.25">
      <c r="A75" s="28">
        <v>43585</v>
      </c>
      <c r="B75" s="30"/>
      <c r="C75" s="46"/>
      <c r="D75" s="30"/>
      <c r="E75" s="30"/>
      <c r="F75" s="46">
        <v>2258</v>
      </c>
      <c r="G75" s="30"/>
      <c r="H75" s="30"/>
      <c r="I75" s="46">
        <v>128</v>
      </c>
      <c r="J75" s="30"/>
      <c r="K75" s="46">
        <v>191467</v>
      </c>
      <c r="L75" s="46">
        <v>27836882</v>
      </c>
      <c r="M75" s="46">
        <v>7594206</v>
      </c>
      <c r="N75" s="30">
        <v>2551096</v>
      </c>
      <c r="O75" s="30">
        <v>24270</v>
      </c>
      <c r="P75" s="30">
        <v>0</v>
      </c>
      <c r="Q75" s="46">
        <f>2069826+2845634+769998+397319+1061450+8371884+0+8745</f>
        <v>15524856</v>
      </c>
      <c r="R75" s="46">
        <f t="shared" si="4"/>
        <v>53725163</v>
      </c>
      <c r="S75" s="30"/>
    </row>
    <row r="76" spans="1:19" hidden="1" x14ac:dyDescent="0.25">
      <c r="A76" s="28">
        <v>43616</v>
      </c>
      <c r="B76" s="30"/>
      <c r="C76" s="46"/>
      <c r="D76" s="30"/>
      <c r="E76" s="30"/>
      <c r="F76" s="46">
        <v>645</v>
      </c>
      <c r="G76" s="30"/>
      <c r="H76" s="30"/>
      <c r="I76" s="46">
        <v>151</v>
      </c>
      <c r="J76" s="30"/>
      <c r="K76" s="46">
        <v>142256</v>
      </c>
      <c r="L76" s="46">
        <v>29822871</v>
      </c>
      <c r="M76" s="46">
        <v>5340649</v>
      </c>
      <c r="N76" s="30">
        <v>381981</v>
      </c>
      <c r="O76" s="30">
        <v>234043</v>
      </c>
      <c r="P76" s="30">
        <v>0</v>
      </c>
      <c r="Q76" s="46">
        <f>1973660+2219500+453427+390685+1024594+5401237+509919+210060</f>
        <v>12183082</v>
      </c>
      <c r="R76" s="46">
        <f t="shared" si="4"/>
        <v>48105678</v>
      </c>
      <c r="S76" s="30"/>
    </row>
    <row r="77" spans="1:19" hidden="1" x14ac:dyDescent="0.25">
      <c r="A77" s="28">
        <v>43646</v>
      </c>
      <c r="B77" s="30"/>
      <c r="C77" s="46"/>
      <c r="D77" s="30"/>
      <c r="E77" s="30"/>
      <c r="F77" s="46">
        <v>367</v>
      </c>
      <c r="G77" s="30"/>
      <c r="H77" s="30"/>
      <c r="I77" s="46">
        <v>0</v>
      </c>
      <c r="J77" s="30"/>
      <c r="K77" s="46">
        <v>110987</v>
      </c>
      <c r="L77" s="46">
        <v>27060192</v>
      </c>
      <c r="M77" s="46">
        <v>7824546</v>
      </c>
      <c r="N77" s="30">
        <v>6776820</v>
      </c>
      <c r="O77" s="30">
        <v>1112893</v>
      </c>
      <c r="P77" s="30">
        <v>0</v>
      </c>
      <c r="Q77" s="46">
        <f>2265713+2090677+759078+327788+937176+5673695+0+100169</f>
        <v>12154296</v>
      </c>
      <c r="R77" s="46">
        <f t="shared" si="4"/>
        <v>55040101</v>
      </c>
      <c r="S77" s="30"/>
    </row>
    <row r="78" spans="1:19" hidden="1" x14ac:dyDescent="0.25">
      <c r="A78" s="28">
        <v>43677</v>
      </c>
      <c r="B78" s="30"/>
      <c r="C78" s="46"/>
      <c r="D78" s="30"/>
      <c r="E78" s="30"/>
      <c r="F78" s="46">
        <v>155</v>
      </c>
      <c r="G78" s="30"/>
      <c r="H78" s="30"/>
      <c r="I78" s="46">
        <v>163</v>
      </c>
      <c r="J78" s="30"/>
      <c r="K78" s="46">
        <v>120028</v>
      </c>
      <c r="L78" s="46">
        <v>26075307</v>
      </c>
      <c r="M78" s="46">
        <v>14501183</v>
      </c>
      <c r="N78" s="30">
        <v>14122838</v>
      </c>
      <c r="O78" s="30">
        <v>5050508</v>
      </c>
      <c r="P78" s="30">
        <v>0</v>
      </c>
      <c r="Q78" s="46">
        <f>2468668+2697591+656415+339569+959617+6186256+8340220+0</f>
        <v>21648336</v>
      </c>
      <c r="R78" s="46">
        <f t="shared" si="4"/>
        <v>81518518</v>
      </c>
      <c r="S78" s="30"/>
    </row>
    <row r="79" spans="1:19" hidden="1" x14ac:dyDescent="0.25">
      <c r="A79" s="28">
        <v>43708</v>
      </c>
      <c r="B79" s="30"/>
      <c r="C79" s="46"/>
      <c r="D79" s="30"/>
      <c r="E79" s="30"/>
      <c r="F79" s="46">
        <v>138</v>
      </c>
      <c r="G79" s="30"/>
      <c r="H79" s="30"/>
      <c r="I79" s="46">
        <v>0</v>
      </c>
      <c r="J79" s="30"/>
      <c r="K79" s="46">
        <v>93626</v>
      </c>
      <c r="L79" s="46">
        <v>28179207</v>
      </c>
      <c r="M79" s="46">
        <v>16164686</v>
      </c>
      <c r="N79" s="30">
        <v>15605297</v>
      </c>
      <c r="O79" s="30">
        <v>9500954</v>
      </c>
      <c r="P79" s="30">
        <v>0</v>
      </c>
      <c r="Q79" s="46">
        <v>22716787</v>
      </c>
      <c r="R79" s="46">
        <f t="shared" si="4"/>
        <v>92260695</v>
      </c>
      <c r="S79" s="30"/>
    </row>
    <row r="80" spans="1:19" hidden="1" x14ac:dyDescent="0.25">
      <c r="A80" s="28">
        <v>43738</v>
      </c>
      <c r="B80" s="30"/>
      <c r="C80" s="46"/>
      <c r="D80" s="30"/>
      <c r="E80" s="30"/>
      <c r="F80" s="46">
        <v>619</v>
      </c>
      <c r="G80" s="30"/>
      <c r="H80" s="30"/>
      <c r="I80" s="46">
        <v>411</v>
      </c>
      <c r="J80" s="30"/>
      <c r="K80" s="46">
        <v>111442</v>
      </c>
      <c r="L80" s="46">
        <v>31412664</v>
      </c>
      <c r="M80" s="46">
        <v>15653966</v>
      </c>
      <c r="N80" s="30">
        <v>14512835</v>
      </c>
      <c r="O80" s="30">
        <v>4852567</v>
      </c>
      <c r="P80" s="30">
        <v>0</v>
      </c>
      <c r="Q80" s="46">
        <f>2238144+2457018+700843+318250+880129+6543518+6204407+451349</f>
        <v>19793658</v>
      </c>
      <c r="R80" s="46">
        <f t="shared" si="4"/>
        <v>86338162</v>
      </c>
      <c r="S80" s="30"/>
    </row>
    <row r="81" spans="1:20" hidden="1" x14ac:dyDescent="0.25">
      <c r="A81" s="28">
        <v>43769</v>
      </c>
      <c r="B81" s="30"/>
      <c r="C81" s="46"/>
      <c r="D81" s="30"/>
      <c r="E81" s="30"/>
      <c r="F81" s="46">
        <v>2955</v>
      </c>
      <c r="G81" s="30"/>
      <c r="H81" s="30">
        <v>1347361</v>
      </c>
      <c r="I81" s="46">
        <v>317</v>
      </c>
      <c r="J81" s="30"/>
      <c r="K81" s="46">
        <v>232820</v>
      </c>
      <c r="L81" s="46">
        <v>33622137</v>
      </c>
      <c r="M81" s="46">
        <v>11066763</v>
      </c>
      <c r="N81" s="30">
        <v>667138</v>
      </c>
      <c r="O81" s="30">
        <v>897404</v>
      </c>
      <c r="P81" s="30">
        <v>0</v>
      </c>
      <c r="Q81" s="46">
        <f>2832256+2779753+787046+348739+985783+7985929+1743835+59022</f>
        <v>17522363</v>
      </c>
      <c r="R81" s="46">
        <f t="shared" si="4"/>
        <v>65359258</v>
      </c>
      <c r="S81" s="30"/>
    </row>
    <row r="82" spans="1:20" hidden="1" x14ac:dyDescent="0.25">
      <c r="A82" s="28">
        <v>43799</v>
      </c>
      <c r="B82" s="30"/>
      <c r="C82" s="46"/>
      <c r="D82" s="30"/>
      <c r="E82" s="30"/>
      <c r="F82" s="46">
        <v>3958</v>
      </c>
      <c r="G82" s="30"/>
      <c r="H82" s="30">
        <v>1498743</v>
      </c>
      <c r="I82" s="46">
        <v>491</v>
      </c>
      <c r="J82" s="30"/>
      <c r="K82" s="46">
        <v>230233</v>
      </c>
      <c r="L82" s="46">
        <v>29790523</v>
      </c>
      <c r="M82" s="46">
        <v>12699045</v>
      </c>
      <c r="N82" s="30">
        <v>5956005</v>
      </c>
      <c r="O82" s="30">
        <v>211269</v>
      </c>
      <c r="P82" s="30">
        <v>0</v>
      </c>
      <c r="Q82" s="46">
        <f>3143984+2719510+758864+325444+994562+7351963+188376+57819</f>
        <v>15540522</v>
      </c>
      <c r="R82" s="46">
        <f t="shared" si="4"/>
        <v>65930789</v>
      </c>
      <c r="S82" s="30"/>
    </row>
    <row r="83" spans="1:20" hidden="1" x14ac:dyDescent="0.25">
      <c r="A83" s="28">
        <v>43830</v>
      </c>
      <c r="B83" s="30"/>
      <c r="C83" s="46"/>
      <c r="D83" s="30"/>
      <c r="E83" s="30"/>
      <c r="F83" s="46">
        <v>4552</v>
      </c>
      <c r="G83" s="30"/>
      <c r="H83" s="30">
        <v>1688999</v>
      </c>
      <c r="I83" s="46">
        <v>261</v>
      </c>
      <c r="J83" s="30"/>
      <c r="K83" s="46">
        <v>254015</v>
      </c>
      <c r="L83" s="46">
        <v>31590271</v>
      </c>
      <c r="M83" s="46">
        <v>14173947</v>
      </c>
      <c r="N83" s="30">
        <v>13886984</v>
      </c>
      <c r="O83" s="30">
        <v>1297588</v>
      </c>
      <c r="P83" s="30">
        <v>0</v>
      </c>
      <c r="Q83" s="46">
        <f>4182562+2894369+777031+492333+1120091+7386486+6845573+0</f>
        <v>23698445</v>
      </c>
      <c r="R83" s="46">
        <f t="shared" si="4"/>
        <v>86595062</v>
      </c>
      <c r="S83" s="30"/>
    </row>
    <row r="84" spans="1:20" hidden="1" x14ac:dyDescent="0.25">
      <c r="A84" s="28">
        <v>43861</v>
      </c>
      <c r="B84" s="30"/>
      <c r="C84" s="46"/>
      <c r="D84" s="30"/>
      <c r="E84" s="30"/>
      <c r="F84" s="46">
        <v>4887</v>
      </c>
      <c r="G84" s="30"/>
      <c r="H84" s="30">
        <v>1783146</v>
      </c>
      <c r="I84" s="46">
        <v>85</v>
      </c>
      <c r="J84" s="30"/>
      <c r="K84" s="46">
        <v>256203</v>
      </c>
      <c r="L84" s="46">
        <v>32459607</v>
      </c>
      <c r="M84" s="46">
        <v>12220363</v>
      </c>
      <c r="N84" s="30">
        <v>9693367</v>
      </c>
      <c r="O84" s="30">
        <v>362331</v>
      </c>
      <c r="P84" s="30">
        <v>0</v>
      </c>
      <c r="Q84" s="46">
        <f>4206155+2962351+872878+386843+1160711+7350647+4214606+13899</f>
        <v>21168090</v>
      </c>
      <c r="R84" s="46">
        <f t="shared" ref="R84:R95" si="5">SUM(B84:Q84)</f>
        <v>77948079</v>
      </c>
      <c r="S84" s="30"/>
    </row>
    <row r="85" spans="1:20" hidden="1" x14ac:dyDescent="0.25">
      <c r="A85" s="28">
        <v>43890</v>
      </c>
      <c r="B85" s="30"/>
      <c r="C85" s="46"/>
      <c r="D85" s="30"/>
      <c r="E85" s="30"/>
      <c r="F85" s="46">
        <v>4650</v>
      </c>
      <c r="G85" s="30"/>
      <c r="H85" s="30">
        <v>1661778</v>
      </c>
      <c r="I85" s="46">
        <v>341</v>
      </c>
      <c r="J85" s="30"/>
      <c r="K85" s="46">
        <v>228991</v>
      </c>
      <c r="L85" s="46">
        <v>30355704</v>
      </c>
      <c r="M85" s="46">
        <v>11897407</v>
      </c>
      <c r="N85" s="30">
        <v>7438730</v>
      </c>
      <c r="O85" s="30">
        <v>761639</v>
      </c>
      <c r="P85" s="30">
        <v>0</v>
      </c>
      <c r="Q85" s="46">
        <f>3647038+3352730+759226+340736+950149+6493299+1673858+184428</f>
        <v>17401464</v>
      </c>
      <c r="R85" s="46">
        <f t="shared" si="5"/>
        <v>69750704</v>
      </c>
      <c r="S85" s="30"/>
    </row>
    <row r="86" spans="1:20" hidden="1" x14ac:dyDescent="0.25">
      <c r="A86" s="28">
        <v>43921</v>
      </c>
      <c r="B86" s="30"/>
      <c r="C86" s="46"/>
      <c r="D86" s="30"/>
      <c r="E86" s="30"/>
      <c r="F86" s="46">
        <v>4903</v>
      </c>
      <c r="G86" s="30"/>
      <c r="H86" s="30">
        <v>1700063</v>
      </c>
      <c r="I86" s="46">
        <v>182</v>
      </c>
      <c r="J86" s="30"/>
      <c r="K86" s="46">
        <v>229265</v>
      </c>
      <c r="L86" s="46">
        <v>32606618</v>
      </c>
      <c r="M86" s="46">
        <v>15670834</v>
      </c>
      <c r="N86" s="30">
        <v>14229128</v>
      </c>
      <c r="O86" s="30">
        <v>3004872</v>
      </c>
      <c r="P86" s="30">
        <v>0</v>
      </c>
      <c r="Q86" s="46">
        <f>3745212+3019501+723268+363829+1112427+5630590+7553041+249821</f>
        <v>22397689</v>
      </c>
      <c r="R86" s="46">
        <f t="shared" si="5"/>
        <v>89843554</v>
      </c>
    </row>
    <row r="87" spans="1:20" hidden="1" x14ac:dyDescent="0.25">
      <c r="A87" s="28">
        <v>43951</v>
      </c>
      <c r="B87" s="30"/>
      <c r="C87" s="46"/>
      <c r="D87" s="30"/>
      <c r="E87" s="30"/>
      <c r="F87" s="46">
        <v>3889</v>
      </c>
      <c r="G87" s="30"/>
      <c r="H87" s="30">
        <v>1363626</v>
      </c>
      <c r="I87" s="46">
        <v>193</v>
      </c>
      <c r="J87" s="30"/>
      <c r="K87" s="46">
        <v>189521</v>
      </c>
      <c r="L87" s="46">
        <v>27153616</v>
      </c>
      <c r="M87" s="46">
        <v>13569738</v>
      </c>
      <c r="N87" s="30">
        <v>11001952</v>
      </c>
      <c r="O87" s="30">
        <v>3430843</v>
      </c>
      <c r="P87" s="30">
        <v>0</v>
      </c>
      <c r="Q87" s="46">
        <f>3270112+2756681+192062+280512+1144381+5477666+5121004+0</f>
        <v>18242418</v>
      </c>
      <c r="R87" s="46">
        <f t="shared" si="5"/>
        <v>74955796</v>
      </c>
    </row>
    <row r="88" spans="1:20" hidden="1" x14ac:dyDescent="0.25">
      <c r="A88" s="28">
        <v>43982</v>
      </c>
      <c r="B88" s="30"/>
      <c r="C88" s="46"/>
      <c r="D88" s="30"/>
      <c r="E88" s="30"/>
      <c r="F88" s="66">
        <v>2219</v>
      </c>
      <c r="G88" s="65"/>
      <c r="H88" s="65">
        <v>948718</v>
      </c>
      <c r="I88" s="66">
        <v>0</v>
      </c>
      <c r="J88" s="65"/>
      <c r="K88" s="66">
        <v>139474</v>
      </c>
      <c r="L88" s="66">
        <v>29220599</v>
      </c>
      <c r="M88" s="66">
        <v>2198918</v>
      </c>
      <c r="N88" s="65">
        <v>791584</v>
      </c>
      <c r="O88" s="65">
        <v>447784</v>
      </c>
      <c r="P88" s="65">
        <v>0</v>
      </c>
      <c r="Q88" s="66">
        <f>2781081+435041+274097+1164457+7824547+506157+8254</f>
        <v>12993634</v>
      </c>
      <c r="R88" s="46">
        <f t="shared" si="5"/>
        <v>46742930</v>
      </c>
    </row>
    <row r="89" spans="1:20" hidden="1" x14ac:dyDescent="0.25">
      <c r="A89" s="28">
        <v>44012</v>
      </c>
      <c r="B89" s="30"/>
      <c r="C89" s="46"/>
      <c r="D89" s="30"/>
      <c r="E89" s="30"/>
      <c r="F89" s="66">
        <v>2099</v>
      </c>
      <c r="G89" s="67"/>
      <c r="H89" s="67">
        <v>710086</v>
      </c>
      <c r="I89" s="66">
        <v>0</v>
      </c>
      <c r="J89" s="67"/>
      <c r="K89" s="66">
        <v>109390</v>
      </c>
      <c r="L89" s="66">
        <v>27661973</v>
      </c>
      <c r="M89" s="66">
        <v>3015900</v>
      </c>
      <c r="N89" s="67">
        <v>1306946</v>
      </c>
      <c r="O89" s="67">
        <v>736401</v>
      </c>
      <c r="P89" s="67">
        <v>0</v>
      </c>
      <c r="Q89" s="66">
        <f>3279559+679596+279356+1044539+6309798+0+39426</f>
        <v>11632274</v>
      </c>
      <c r="R89" s="46">
        <f t="shared" si="5"/>
        <v>45175069</v>
      </c>
    </row>
    <row r="90" spans="1:20" hidden="1" x14ac:dyDescent="0.25">
      <c r="A90" s="28">
        <v>44043</v>
      </c>
      <c r="B90" s="30"/>
      <c r="C90" s="46"/>
      <c r="D90" s="30"/>
      <c r="E90" s="30"/>
      <c r="F90" s="46">
        <v>943</v>
      </c>
      <c r="G90" s="30"/>
      <c r="H90" s="30">
        <v>669108</v>
      </c>
      <c r="I90" s="46">
        <v>0</v>
      </c>
      <c r="J90" s="30"/>
      <c r="K90" s="46">
        <v>106383</v>
      </c>
      <c r="L90" s="46">
        <v>30463827</v>
      </c>
      <c r="M90" s="46">
        <v>9874110</v>
      </c>
      <c r="N90" s="30">
        <v>5180231</v>
      </c>
      <c r="O90" s="30">
        <v>1984278</v>
      </c>
      <c r="P90" s="30">
        <v>0</v>
      </c>
      <c r="Q90" s="46">
        <f>3353938+405992+286757+943601+6950239+1583529+134999</f>
        <v>13659055</v>
      </c>
      <c r="R90" s="46">
        <f t="shared" si="5"/>
        <v>61937935</v>
      </c>
    </row>
    <row r="91" spans="1:20" hidden="1" x14ac:dyDescent="0.25">
      <c r="A91" s="28">
        <v>44074</v>
      </c>
      <c r="B91" s="30"/>
      <c r="C91" s="46"/>
      <c r="D91" s="30"/>
      <c r="E91" s="30"/>
      <c r="F91" s="46">
        <v>816</v>
      </c>
      <c r="G91" s="30"/>
      <c r="H91" s="30">
        <v>629019</v>
      </c>
      <c r="I91" s="46">
        <v>0</v>
      </c>
      <c r="J91" s="30"/>
      <c r="K91" s="46">
        <v>100500</v>
      </c>
      <c r="L91" s="46">
        <v>32340707</v>
      </c>
      <c r="M91" s="46">
        <v>13157147</v>
      </c>
      <c r="N91" s="30">
        <v>10278160</v>
      </c>
      <c r="O91" s="30">
        <v>4334957</v>
      </c>
      <c r="P91" s="30">
        <v>0</v>
      </c>
      <c r="Q91" s="46">
        <f>3281965+636243+367353+874186+8114039+4164341+77745</f>
        <v>17515872</v>
      </c>
      <c r="R91" s="46">
        <f t="shared" si="5"/>
        <v>78357178</v>
      </c>
    </row>
    <row r="92" spans="1:20" hidden="1" x14ac:dyDescent="0.25">
      <c r="A92" s="28">
        <v>44104</v>
      </c>
      <c r="B92" s="30"/>
      <c r="C92" s="46"/>
      <c r="D92" s="30"/>
      <c r="E92" s="30"/>
      <c r="F92" s="46">
        <v>643</v>
      </c>
      <c r="G92" s="30"/>
      <c r="H92" s="30">
        <v>613508</v>
      </c>
      <c r="I92" s="46">
        <v>0</v>
      </c>
      <c r="J92" s="30"/>
      <c r="K92" s="46">
        <v>94559</v>
      </c>
      <c r="L92" s="46">
        <v>34211779</v>
      </c>
      <c r="M92" s="46">
        <v>14061705</v>
      </c>
      <c r="N92" s="30">
        <v>12575104</v>
      </c>
      <c r="O92" s="30">
        <v>5435910</v>
      </c>
      <c r="P92" s="30">
        <v>0</v>
      </c>
      <c r="Q92" s="46">
        <f>3365190+645648+401241+882295+4984455+6516174+67903</f>
        <v>16862906</v>
      </c>
      <c r="R92" s="46">
        <f t="shared" si="5"/>
        <v>83856114</v>
      </c>
    </row>
    <row r="93" spans="1:20" hidden="1" x14ac:dyDescent="0.25">
      <c r="A93" s="28">
        <v>44135</v>
      </c>
      <c r="B93" s="30"/>
      <c r="C93" s="46"/>
      <c r="D93" s="30"/>
      <c r="E93" s="30"/>
      <c r="F93" s="46">
        <v>3290</v>
      </c>
      <c r="G93" s="30"/>
      <c r="H93" s="30">
        <v>33943</v>
      </c>
      <c r="I93" s="46">
        <v>0</v>
      </c>
      <c r="J93" s="30"/>
      <c r="K93" s="46">
        <v>178840</v>
      </c>
      <c r="L93" s="46">
        <f>36331384+513206</f>
        <v>36844590</v>
      </c>
      <c r="M93" s="46">
        <v>9459059</v>
      </c>
      <c r="N93" s="30">
        <v>8268305</v>
      </c>
      <c r="O93" s="30">
        <v>1590604</v>
      </c>
      <c r="P93" s="30"/>
      <c r="Q93" s="46">
        <f>3222482+801554+429333+967135+7330347+1133014+54670</f>
        <v>13938535</v>
      </c>
      <c r="R93" s="46">
        <f t="shared" si="5"/>
        <v>70317166</v>
      </c>
      <c r="T93" s="27" t="s">
        <v>56</v>
      </c>
    </row>
    <row r="94" spans="1:20" hidden="1" x14ac:dyDescent="0.25">
      <c r="A94" s="28">
        <v>44165</v>
      </c>
      <c r="B94" s="30"/>
      <c r="C94" s="46"/>
      <c r="D94" s="30"/>
      <c r="E94" s="30"/>
      <c r="F94" s="46">
        <v>5658</v>
      </c>
      <c r="G94" s="30"/>
      <c r="H94" s="30">
        <v>72965</v>
      </c>
      <c r="I94" s="46">
        <v>0</v>
      </c>
      <c r="J94" s="30"/>
      <c r="K94" s="46">
        <v>220318</v>
      </c>
      <c r="L94" s="46">
        <f>37424714+779085</f>
        <v>38203799</v>
      </c>
      <c r="M94" s="46">
        <v>7516479</v>
      </c>
      <c r="N94" s="30">
        <v>2419246</v>
      </c>
      <c r="O94" s="30">
        <v>916410</v>
      </c>
      <c r="P94" s="30">
        <v>0</v>
      </c>
      <c r="Q94" s="46">
        <f>3733619+658635+457902+981664+7462302+18635+3797</f>
        <v>13316554</v>
      </c>
      <c r="R94" s="46">
        <f t="shared" si="5"/>
        <v>62671429</v>
      </c>
      <c r="T94" s="27" t="s">
        <v>57</v>
      </c>
    </row>
    <row r="95" spans="1:20" hidden="1" x14ac:dyDescent="0.25">
      <c r="A95" s="28">
        <v>44196</v>
      </c>
      <c r="B95" s="30"/>
      <c r="C95" s="46"/>
      <c r="D95" s="30"/>
      <c r="E95" s="30"/>
      <c r="F95" s="46">
        <v>7535</v>
      </c>
      <c r="G95" s="30">
        <v>56288</v>
      </c>
      <c r="H95" s="30">
        <v>96370</v>
      </c>
      <c r="I95" s="46">
        <v>0</v>
      </c>
      <c r="J95" s="30"/>
      <c r="K95" s="46">
        <v>244469</v>
      </c>
      <c r="L95" s="46">
        <f>36823390+810439</f>
        <v>37633829</v>
      </c>
      <c r="M95" s="46">
        <v>13353201</v>
      </c>
      <c r="N95" s="30">
        <v>9176642</v>
      </c>
      <c r="O95" s="30">
        <v>764453</v>
      </c>
      <c r="P95" s="30">
        <v>0</v>
      </c>
      <c r="Q95" s="46">
        <f>3961371+531780+434089+1038258+8629459+801796+0</f>
        <v>15396753</v>
      </c>
      <c r="R95" s="46">
        <f t="shared" si="5"/>
        <v>76729540</v>
      </c>
    </row>
    <row r="96" spans="1:20" hidden="1" x14ac:dyDescent="0.25">
      <c r="A96" s="28">
        <v>44227</v>
      </c>
      <c r="B96" s="30"/>
      <c r="C96" s="46"/>
      <c r="D96" s="30"/>
      <c r="E96" s="30"/>
      <c r="F96" s="46">
        <v>12694</v>
      </c>
      <c r="G96" s="30"/>
      <c r="H96" s="30">
        <v>87285</v>
      </c>
      <c r="I96" s="46">
        <v>0</v>
      </c>
      <c r="J96" s="30"/>
      <c r="K96" s="46">
        <v>248648</v>
      </c>
      <c r="L96" s="46">
        <f>38697294+837157</f>
        <v>39534451</v>
      </c>
      <c r="M96" s="46">
        <v>12333204</v>
      </c>
      <c r="N96" s="30">
        <v>5190781</v>
      </c>
      <c r="O96" s="30">
        <v>252622</v>
      </c>
      <c r="P96" s="30">
        <v>0</v>
      </c>
      <c r="Q96" s="46">
        <f>3811005+784731+530523+1058820+7760458+392+0</f>
        <v>13945929</v>
      </c>
      <c r="R96" s="46">
        <f t="shared" ref="R96:R117" si="6">SUM(B96:Q96)</f>
        <v>71605614</v>
      </c>
    </row>
    <row r="97" spans="1:20" hidden="1" x14ac:dyDescent="0.25">
      <c r="A97" s="28">
        <v>44255</v>
      </c>
      <c r="B97" s="30"/>
      <c r="C97" s="46"/>
      <c r="D97" s="30"/>
      <c r="E97" s="30"/>
      <c r="F97" s="46">
        <v>7553</v>
      </c>
      <c r="G97" s="30"/>
      <c r="H97" s="30">
        <v>87405</v>
      </c>
      <c r="I97" s="46">
        <v>0</v>
      </c>
      <c r="J97" s="30"/>
      <c r="K97" s="46">
        <v>239855</v>
      </c>
      <c r="L97" s="46">
        <f>35307154+803484</f>
        <v>36110638</v>
      </c>
      <c r="M97" s="46">
        <v>10471909</v>
      </c>
      <c r="N97" s="30">
        <v>5382227</v>
      </c>
      <c r="O97" s="30">
        <v>982292</v>
      </c>
      <c r="P97" s="30">
        <v>0</v>
      </c>
      <c r="Q97" s="46">
        <f>3364783+632596+377681+1028372+7001034+1613489+22799</f>
        <v>14040754</v>
      </c>
      <c r="R97" s="46">
        <f t="shared" si="6"/>
        <v>67322633</v>
      </c>
    </row>
    <row r="98" spans="1:20" hidden="1" x14ac:dyDescent="0.25">
      <c r="A98" s="28">
        <v>44286</v>
      </c>
      <c r="B98" s="30"/>
      <c r="C98" s="46"/>
      <c r="D98" s="30"/>
      <c r="E98" s="30"/>
      <c r="F98" s="46">
        <v>3998</v>
      </c>
      <c r="G98" s="30"/>
      <c r="H98" s="30">
        <v>58190</v>
      </c>
      <c r="I98" s="46">
        <v>0</v>
      </c>
      <c r="J98" s="30"/>
      <c r="K98" s="46">
        <v>235545</v>
      </c>
      <c r="L98" s="46">
        <f>37852447+892361</f>
        <v>38744808</v>
      </c>
      <c r="M98" s="46">
        <v>15050505</v>
      </c>
      <c r="N98" s="30">
        <v>10973891</v>
      </c>
      <c r="O98" s="30">
        <v>2069033</v>
      </c>
      <c r="P98" s="30">
        <v>0</v>
      </c>
      <c r="Q98" s="46">
        <f>3445221+731231+344914+1102778+8979413+3832585+108012</f>
        <v>18544154</v>
      </c>
      <c r="R98" s="46">
        <f t="shared" si="6"/>
        <v>85680124</v>
      </c>
    </row>
    <row r="99" spans="1:20" hidden="1" x14ac:dyDescent="0.25">
      <c r="A99" s="28">
        <v>44316</v>
      </c>
      <c r="B99" s="30"/>
      <c r="C99" s="46"/>
      <c r="D99" s="30"/>
      <c r="E99" s="30"/>
      <c r="F99" s="46">
        <v>2200</v>
      </c>
      <c r="G99" s="30"/>
      <c r="H99" s="30">
        <v>35726</v>
      </c>
      <c r="I99" s="46">
        <v>0</v>
      </c>
      <c r="J99" s="30"/>
      <c r="K99" s="46">
        <v>180576</v>
      </c>
      <c r="L99" s="46">
        <f>35494843+716055</f>
        <v>36210898</v>
      </c>
      <c r="M99" s="46">
        <v>6562711</v>
      </c>
      <c r="N99" s="30">
        <v>12896888</v>
      </c>
      <c r="O99" s="30">
        <v>8378207</v>
      </c>
      <c r="P99" s="30">
        <v>0</v>
      </c>
      <c r="Q99" s="46">
        <f>3529385+651362+244382+1083614+5907169+2326616+4777</f>
        <v>13747305</v>
      </c>
      <c r="R99" s="46">
        <f t="shared" si="6"/>
        <v>78014511</v>
      </c>
    </row>
    <row r="100" spans="1:20" x14ac:dyDescent="0.25">
      <c r="A100" s="28">
        <v>44347</v>
      </c>
      <c r="B100" s="30"/>
      <c r="C100" s="46"/>
      <c r="D100" s="30"/>
      <c r="E100" s="30"/>
      <c r="F100" s="46">
        <v>3602</v>
      </c>
      <c r="G100" s="30"/>
      <c r="H100" s="30">
        <v>22913</v>
      </c>
      <c r="I100" s="46">
        <v>0</v>
      </c>
      <c r="J100" s="30"/>
      <c r="K100" s="46">
        <v>143789</v>
      </c>
      <c r="L100" s="46">
        <f>33561669+581610</f>
        <v>34143279</v>
      </c>
      <c r="M100" s="46">
        <v>364</v>
      </c>
      <c r="N100" s="30">
        <v>5871337</v>
      </c>
      <c r="O100" s="30">
        <v>2903752</v>
      </c>
      <c r="P100" s="30">
        <v>0</v>
      </c>
      <c r="Q100" s="46">
        <f>2947295+496918+305268+1112584+5745936+6639387+274441</f>
        <v>17521829</v>
      </c>
      <c r="R100" s="46">
        <f t="shared" si="6"/>
        <v>60610865</v>
      </c>
    </row>
    <row r="101" spans="1:20" x14ac:dyDescent="0.25">
      <c r="A101" s="28">
        <v>44377</v>
      </c>
      <c r="B101" s="30"/>
      <c r="C101" s="46"/>
      <c r="D101" s="30"/>
      <c r="E101" s="30"/>
      <c r="F101" s="46">
        <v>1512</v>
      </c>
      <c r="G101" s="30"/>
      <c r="H101" s="30">
        <v>3579</v>
      </c>
      <c r="I101" s="46">
        <v>0</v>
      </c>
      <c r="J101" s="30"/>
      <c r="K101" s="46">
        <v>104510</v>
      </c>
      <c r="L101" s="46">
        <f>32316224+382999</f>
        <v>32699223</v>
      </c>
      <c r="M101" s="46">
        <v>10580854</v>
      </c>
      <c r="N101" s="30">
        <v>9297912</v>
      </c>
      <c r="O101" s="30">
        <v>5368620</v>
      </c>
      <c r="P101" s="30">
        <v>0</v>
      </c>
      <c r="Q101" s="46">
        <f>3187034+456697+220613+1091768+7240174+5347779+27594</f>
        <v>17571659</v>
      </c>
      <c r="R101" s="46">
        <f t="shared" si="6"/>
        <v>75627869</v>
      </c>
    </row>
    <row r="102" spans="1:20" x14ac:dyDescent="0.25">
      <c r="A102" s="28">
        <v>44408</v>
      </c>
      <c r="B102" s="30"/>
      <c r="C102" s="46"/>
      <c r="D102" s="30"/>
      <c r="E102" s="30"/>
      <c r="F102" s="46">
        <v>1203</v>
      </c>
      <c r="G102" s="30"/>
      <c r="H102" s="30">
        <v>3339</v>
      </c>
      <c r="I102" s="46">
        <v>0</v>
      </c>
      <c r="J102" s="30"/>
      <c r="K102" s="46">
        <v>88811</v>
      </c>
      <c r="L102" s="46">
        <f>29267956+373243</f>
        <v>29641199</v>
      </c>
      <c r="M102" s="46">
        <v>14701743</v>
      </c>
      <c r="N102" s="30">
        <v>12217042</v>
      </c>
      <c r="O102" s="30">
        <v>8620267</v>
      </c>
      <c r="P102" s="30">
        <v>0</v>
      </c>
      <c r="Q102" s="46">
        <f>3150229+589887+231899+1057703+7874655+6774098+626809</f>
        <v>20305280</v>
      </c>
      <c r="R102" s="46">
        <f t="shared" si="6"/>
        <v>85578884</v>
      </c>
    </row>
    <row r="103" spans="1:20" x14ac:dyDescent="0.25">
      <c r="A103" s="28">
        <v>44439</v>
      </c>
      <c r="B103" s="30"/>
      <c r="C103" s="46"/>
      <c r="D103" s="30"/>
      <c r="E103" s="30"/>
      <c r="F103" s="46">
        <v>1834</v>
      </c>
      <c r="G103" s="30"/>
      <c r="H103" s="30">
        <v>3577</v>
      </c>
      <c r="I103" s="46">
        <v>0</v>
      </c>
      <c r="J103" s="30"/>
      <c r="K103" s="46">
        <v>103033</v>
      </c>
      <c r="L103" s="46">
        <f>29950263+401833</f>
        <v>30352096</v>
      </c>
      <c r="M103" s="46">
        <v>14849398</v>
      </c>
      <c r="N103" s="30">
        <v>12371540</v>
      </c>
      <c r="O103" s="30">
        <v>6769382</v>
      </c>
      <c r="P103" s="30">
        <v>0</v>
      </c>
      <c r="Q103" s="46">
        <f>3198929+639207+263338+977831+8756668+7028098+1359828</f>
        <v>22223899</v>
      </c>
      <c r="R103" s="46">
        <f t="shared" si="6"/>
        <v>86674759</v>
      </c>
    </row>
    <row r="104" spans="1:20" x14ac:dyDescent="0.25">
      <c r="A104" s="28">
        <v>44469</v>
      </c>
      <c r="B104" s="30"/>
      <c r="C104" s="46"/>
      <c r="D104" s="30"/>
      <c r="E104" s="30"/>
      <c r="F104" s="46">
        <v>2215</v>
      </c>
      <c r="G104" s="30"/>
      <c r="H104" s="30">
        <v>4202</v>
      </c>
      <c r="I104" s="46">
        <v>0</v>
      </c>
      <c r="J104" s="30"/>
      <c r="K104" s="46">
        <v>127498</v>
      </c>
      <c r="L104" s="46">
        <f>31806886+419083</f>
        <v>32225969</v>
      </c>
      <c r="M104" s="46">
        <v>13988315</v>
      </c>
      <c r="N104" s="30">
        <v>13923327</v>
      </c>
      <c r="O104" s="30">
        <v>4570873</v>
      </c>
      <c r="P104" s="30">
        <v>0</v>
      </c>
      <c r="Q104" s="46">
        <f>3209502+603823+243842+985969+7797525+7613521+91332</f>
        <v>20545514</v>
      </c>
      <c r="R104" s="46">
        <f t="shared" si="6"/>
        <v>85387913</v>
      </c>
    </row>
    <row r="105" spans="1:20" x14ac:dyDescent="0.25">
      <c r="A105" s="28">
        <v>44500</v>
      </c>
      <c r="B105" s="30"/>
      <c r="C105" s="46"/>
      <c r="D105" s="30"/>
      <c r="E105" s="30"/>
      <c r="F105" s="46">
        <v>3066</v>
      </c>
      <c r="G105" s="30"/>
      <c r="H105" s="30">
        <v>32136</v>
      </c>
      <c r="I105" s="46">
        <v>0</v>
      </c>
      <c r="J105" s="30"/>
      <c r="K105" s="46">
        <v>188282</v>
      </c>
      <c r="L105" s="46">
        <f>35464781+657384</f>
        <v>36122165</v>
      </c>
      <c r="M105" s="46">
        <v>10167896</v>
      </c>
      <c r="N105" s="30">
        <v>10295353</v>
      </c>
      <c r="O105" s="30">
        <v>3962511</v>
      </c>
      <c r="P105" s="30">
        <v>0</v>
      </c>
      <c r="Q105" s="46">
        <f>3489129+715779+352263+1090501+8044363+2039975+0</f>
        <v>15732010</v>
      </c>
      <c r="R105" s="46">
        <f t="shared" si="6"/>
        <v>76503419</v>
      </c>
      <c r="T105" s="27" t="s">
        <v>56</v>
      </c>
    </row>
    <row r="106" spans="1:20" x14ac:dyDescent="0.25">
      <c r="A106" s="28">
        <v>44530</v>
      </c>
      <c r="B106" s="30"/>
      <c r="C106" s="46"/>
      <c r="D106" s="30"/>
      <c r="E106" s="30"/>
      <c r="F106" s="46">
        <v>5052</v>
      </c>
      <c r="G106" s="30"/>
      <c r="H106" s="30">
        <v>80816</v>
      </c>
      <c r="I106" s="46">
        <v>0</v>
      </c>
      <c r="J106" s="30"/>
      <c r="K106" s="46">
        <v>215369</v>
      </c>
      <c r="L106" s="46">
        <f>33885258+793950</f>
        <v>34679208</v>
      </c>
      <c r="M106" s="46">
        <v>13522374</v>
      </c>
      <c r="N106" s="30">
        <v>7960245</v>
      </c>
      <c r="O106" s="30">
        <v>449463</v>
      </c>
      <c r="P106" s="30">
        <v>0</v>
      </c>
      <c r="Q106" s="46">
        <f>3533155+694755+347700+963439+8163208+1976757+83980</f>
        <v>15762994</v>
      </c>
      <c r="R106" s="46">
        <f t="shared" si="6"/>
        <v>72675521</v>
      </c>
      <c r="S106" s="70" t="s">
        <v>69</v>
      </c>
      <c r="T106" s="27" t="s">
        <v>57</v>
      </c>
    </row>
    <row r="107" spans="1:20" x14ac:dyDescent="0.25">
      <c r="A107" s="28">
        <v>44561</v>
      </c>
      <c r="B107" s="30"/>
      <c r="C107" s="46"/>
      <c r="D107" s="30"/>
      <c r="E107" s="30"/>
      <c r="F107" s="46">
        <v>14032</v>
      </c>
      <c r="G107" s="30"/>
      <c r="H107" s="30">
        <v>101592</v>
      </c>
      <c r="I107" s="46">
        <v>0</v>
      </c>
      <c r="J107" s="30"/>
      <c r="K107" s="46">
        <v>271190</v>
      </c>
      <c r="L107" s="46">
        <f>32973555+997948</f>
        <v>33971503</v>
      </c>
      <c r="M107" s="46">
        <v>10372937</v>
      </c>
      <c r="N107" s="30">
        <v>8559438</v>
      </c>
      <c r="O107" s="30">
        <v>490739</v>
      </c>
      <c r="P107" s="30">
        <v>0</v>
      </c>
      <c r="Q107" s="46">
        <f>4107572+589753+414872+1150132+647984+9954381+3235802+43983</f>
        <v>20144479</v>
      </c>
      <c r="R107" s="46">
        <f t="shared" si="6"/>
        <v>73925910</v>
      </c>
      <c r="S107" s="70" t="s">
        <v>67</v>
      </c>
    </row>
    <row r="108" spans="1:20" x14ac:dyDescent="0.25">
      <c r="A108" s="28">
        <v>44592</v>
      </c>
      <c r="B108" s="30"/>
      <c r="C108" s="46"/>
      <c r="D108" s="30"/>
      <c r="E108" s="30"/>
      <c r="F108" s="46"/>
      <c r="G108" s="30"/>
      <c r="H108" s="30"/>
      <c r="I108" s="46"/>
      <c r="J108" s="30"/>
      <c r="K108" s="46"/>
      <c r="L108" s="46"/>
      <c r="M108" s="46"/>
      <c r="N108" s="30"/>
      <c r="O108" s="30"/>
      <c r="P108" s="30"/>
      <c r="Q108" s="46"/>
      <c r="R108" s="46">
        <f t="shared" si="6"/>
        <v>0</v>
      </c>
      <c r="S108" s="70"/>
    </row>
    <row r="109" spans="1:20" x14ac:dyDescent="0.25">
      <c r="A109" s="28">
        <v>44620</v>
      </c>
      <c r="B109" s="30"/>
      <c r="C109" s="46"/>
      <c r="D109" s="30"/>
      <c r="E109" s="30"/>
      <c r="F109" s="46"/>
      <c r="G109" s="30"/>
      <c r="H109" s="30"/>
      <c r="I109" s="46"/>
      <c r="J109" s="30"/>
      <c r="K109" s="46"/>
      <c r="L109" s="46"/>
      <c r="M109" s="46"/>
      <c r="N109" s="30"/>
      <c r="O109" s="30"/>
      <c r="P109" s="30"/>
      <c r="Q109" s="46"/>
      <c r="R109" s="46">
        <f t="shared" si="6"/>
        <v>0</v>
      </c>
      <c r="S109" s="70"/>
    </row>
    <row r="110" spans="1:20" x14ac:dyDescent="0.25">
      <c r="A110" s="28">
        <v>44651</v>
      </c>
      <c r="B110" s="30"/>
      <c r="C110" s="46"/>
      <c r="D110" s="30"/>
      <c r="E110" s="30"/>
      <c r="F110" s="46"/>
      <c r="G110" s="30"/>
      <c r="H110" s="30"/>
      <c r="I110" s="46"/>
      <c r="J110" s="30"/>
      <c r="K110" s="46"/>
      <c r="L110" s="46"/>
      <c r="M110" s="46"/>
      <c r="N110" s="30"/>
      <c r="O110" s="30"/>
      <c r="P110" s="30"/>
      <c r="Q110" s="46"/>
      <c r="R110" s="46">
        <f t="shared" si="6"/>
        <v>0</v>
      </c>
      <c r="S110" s="70"/>
    </row>
    <row r="111" spans="1:20" x14ac:dyDescent="0.25">
      <c r="A111" s="28">
        <v>44681</v>
      </c>
      <c r="B111" s="30"/>
      <c r="C111" s="46"/>
      <c r="D111" s="30"/>
      <c r="E111" s="30"/>
      <c r="F111" s="46"/>
      <c r="G111" s="30"/>
      <c r="H111" s="30"/>
      <c r="I111" s="46"/>
      <c r="J111" s="30"/>
      <c r="K111" s="46"/>
      <c r="L111" s="46"/>
      <c r="M111" s="46"/>
      <c r="N111" s="30"/>
      <c r="O111" s="30"/>
      <c r="P111" s="30"/>
      <c r="Q111" s="46"/>
      <c r="R111" s="46">
        <f t="shared" si="6"/>
        <v>0</v>
      </c>
      <c r="S111" s="70"/>
    </row>
    <row r="112" spans="1:20" hidden="1" x14ac:dyDescent="0.25">
      <c r="A112" s="28">
        <v>44712</v>
      </c>
      <c r="B112" s="30"/>
      <c r="C112" s="46"/>
      <c r="D112" s="30"/>
      <c r="E112" s="30"/>
      <c r="F112" s="46"/>
      <c r="G112" s="30"/>
      <c r="H112" s="30"/>
      <c r="I112" s="46"/>
      <c r="J112" s="30"/>
      <c r="K112" s="46"/>
      <c r="L112" s="46"/>
      <c r="M112" s="46"/>
      <c r="N112" s="30"/>
      <c r="O112" s="30"/>
      <c r="P112" s="30"/>
      <c r="Q112" s="46"/>
      <c r="R112" s="46">
        <f t="shared" si="6"/>
        <v>0</v>
      </c>
      <c r="S112" s="70"/>
    </row>
    <row r="113" spans="1:20" hidden="1" x14ac:dyDescent="0.25">
      <c r="A113" s="28">
        <v>44742</v>
      </c>
      <c r="B113" s="30"/>
      <c r="C113" s="46"/>
      <c r="D113" s="30"/>
      <c r="E113" s="30"/>
      <c r="F113" s="46"/>
      <c r="G113" s="30"/>
      <c r="H113" s="30"/>
      <c r="I113" s="46"/>
      <c r="J113" s="30"/>
      <c r="K113" s="46"/>
      <c r="L113" s="46"/>
      <c r="M113" s="46"/>
      <c r="N113" s="30"/>
      <c r="O113" s="30"/>
      <c r="P113" s="30"/>
      <c r="Q113" s="46"/>
      <c r="R113" s="46">
        <f t="shared" si="6"/>
        <v>0</v>
      </c>
      <c r="S113" s="70"/>
    </row>
    <row r="114" spans="1:20" hidden="1" x14ac:dyDescent="0.25">
      <c r="A114" s="28">
        <v>44773</v>
      </c>
      <c r="B114" s="30"/>
      <c r="C114" s="46"/>
      <c r="D114" s="30"/>
      <c r="E114" s="30"/>
      <c r="F114" s="46"/>
      <c r="G114" s="30"/>
      <c r="H114" s="30"/>
      <c r="I114" s="46"/>
      <c r="J114" s="30"/>
      <c r="K114" s="46"/>
      <c r="L114" s="46"/>
      <c r="M114" s="46"/>
      <c r="N114" s="30"/>
      <c r="O114" s="30"/>
      <c r="P114" s="30"/>
      <c r="Q114" s="46"/>
      <c r="R114" s="46">
        <f t="shared" si="6"/>
        <v>0</v>
      </c>
      <c r="S114" s="70"/>
    </row>
    <row r="115" spans="1:20" hidden="1" x14ac:dyDescent="0.25">
      <c r="A115" s="28">
        <v>44804</v>
      </c>
      <c r="B115" s="30"/>
      <c r="C115" s="46"/>
      <c r="D115" s="30"/>
      <c r="E115" s="30"/>
      <c r="F115" s="46"/>
      <c r="G115" s="30"/>
      <c r="H115" s="30"/>
      <c r="I115" s="46"/>
      <c r="J115" s="30"/>
      <c r="K115" s="46"/>
      <c r="L115" s="46"/>
      <c r="M115" s="46"/>
      <c r="N115" s="30"/>
      <c r="O115" s="30"/>
      <c r="P115" s="30"/>
      <c r="Q115" s="46"/>
      <c r="R115" s="46">
        <f t="shared" si="6"/>
        <v>0</v>
      </c>
      <c r="S115" s="70"/>
    </row>
    <row r="116" spans="1:20" hidden="1" x14ac:dyDescent="0.25">
      <c r="A116" s="28">
        <v>44834</v>
      </c>
      <c r="B116" s="30"/>
      <c r="C116" s="46"/>
      <c r="D116" s="30"/>
      <c r="E116" s="30"/>
      <c r="F116" s="46"/>
      <c r="G116" s="30"/>
      <c r="H116" s="30"/>
      <c r="I116" s="46"/>
      <c r="J116" s="30"/>
      <c r="K116" s="46"/>
      <c r="L116" s="46"/>
      <c r="M116" s="46"/>
      <c r="N116" s="30"/>
      <c r="O116" s="30"/>
      <c r="P116" s="30"/>
      <c r="Q116" s="46"/>
      <c r="R116" s="46">
        <f t="shared" si="6"/>
        <v>0</v>
      </c>
      <c r="S116" s="70"/>
    </row>
    <row r="117" spans="1:20" hidden="1" x14ac:dyDescent="0.25">
      <c r="A117" s="28">
        <v>44865</v>
      </c>
      <c r="B117" s="30"/>
      <c r="C117" s="46"/>
      <c r="D117" s="30"/>
      <c r="E117" s="30"/>
      <c r="F117" s="46"/>
      <c r="G117" s="30"/>
      <c r="H117" s="30"/>
      <c r="I117" s="46"/>
      <c r="J117" s="30"/>
      <c r="K117" s="46"/>
      <c r="L117" s="46"/>
      <c r="M117" s="46"/>
      <c r="N117" s="30"/>
      <c r="O117" s="30"/>
      <c r="P117" s="30"/>
      <c r="Q117" s="46"/>
      <c r="R117" s="46">
        <f t="shared" si="6"/>
        <v>0</v>
      </c>
      <c r="S117" s="70"/>
    </row>
    <row r="118" spans="1:20" s="71" customFormat="1" x14ac:dyDescent="0.25">
      <c r="A118" s="68"/>
      <c r="B118" s="70"/>
      <c r="C118" s="70"/>
      <c r="D118" s="70"/>
      <c r="E118" s="70"/>
      <c r="F118" s="69" t="s">
        <v>68</v>
      </c>
      <c r="G118" s="70"/>
      <c r="H118" s="69" t="s">
        <v>68</v>
      </c>
      <c r="I118" s="69" t="s">
        <v>68</v>
      </c>
      <c r="J118" s="70"/>
      <c r="K118" s="69" t="s">
        <v>68</v>
      </c>
      <c r="L118" s="69" t="s">
        <v>68</v>
      </c>
      <c r="M118" s="69" t="s">
        <v>68</v>
      </c>
      <c r="N118" s="69" t="s">
        <v>68</v>
      </c>
      <c r="O118" s="69" t="s">
        <v>68</v>
      </c>
      <c r="P118" s="70"/>
      <c r="Q118" s="70"/>
      <c r="R118" s="70"/>
      <c r="S118" s="70"/>
    </row>
    <row r="119" spans="1:20" x14ac:dyDescent="0.25">
      <c r="A119" s="28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1:20" x14ac:dyDescent="0.25">
      <c r="A120" s="28"/>
      <c r="B120" s="115" t="s">
        <v>50</v>
      </c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</row>
    <row r="121" spans="1:20" x14ac:dyDescent="0.25">
      <c r="B121" s="38">
        <v>4800</v>
      </c>
      <c r="C121" s="110">
        <v>4809</v>
      </c>
      <c r="D121" s="111"/>
      <c r="E121" s="111"/>
      <c r="F121" s="110">
        <v>4810</v>
      </c>
      <c r="G121" s="111"/>
      <c r="H121" s="111"/>
      <c r="I121" s="110">
        <v>4811</v>
      </c>
      <c r="J121" s="111"/>
      <c r="K121" s="48">
        <v>4813</v>
      </c>
      <c r="L121" s="48">
        <v>4861</v>
      </c>
      <c r="M121" s="110">
        <v>4863</v>
      </c>
      <c r="N121" s="111"/>
      <c r="O121" s="111"/>
      <c r="P121" s="38"/>
      <c r="Q121" s="48"/>
      <c r="R121" s="51"/>
      <c r="S121" s="36" t="s">
        <v>38</v>
      </c>
    </row>
    <row r="122" spans="1:20" x14ac:dyDescent="0.25">
      <c r="B122" s="29">
        <v>503</v>
      </c>
      <c r="C122" s="45" t="s">
        <v>31</v>
      </c>
      <c r="D122" s="29">
        <v>505</v>
      </c>
      <c r="E122" s="29">
        <v>511</v>
      </c>
      <c r="F122" s="45" t="s">
        <v>30</v>
      </c>
      <c r="G122" s="29">
        <v>504</v>
      </c>
      <c r="H122" s="29" t="s">
        <v>64</v>
      </c>
      <c r="I122" s="45" t="s">
        <v>31</v>
      </c>
      <c r="J122" s="29">
        <v>570</v>
      </c>
      <c r="K122" s="45">
        <v>570</v>
      </c>
      <c r="L122" s="72" t="s">
        <v>70</v>
      </c>
      <c r="M122" s="50">
        <v>6631</v>
      </c>
      <c r="N122" s="35">
        <v>6633</v>
      </c>
      <c r="O122" s="35">
        <v>6635</v>
      </c>
      <c r="P122" s="35">
        <v>916</v>
      </c>
      <c r="Q122" s="50" t="s">
        <v>28</v>
      </c>
      <c r="R122" s="52" t="s">
        <v>3</v>
      </c>
      <c r="S122" s="37" t="s">
        <v>15</v>
      </c>
    </row>
    <row r="123" spans="1:20" hidden="1" x14ac:dyDescent="0.25">
      <c r="A123" s="28">
        <v>43343</v>
      </c>
      <c r="B123" s="30">
        <f t="shared" ref="B123:R123" si="7">+B7+B67</f>
        <v>996895</v>
      </c>
      <c r="C123" s="46">
        <f t="shared" si="7"/>
        <v>0</v>
      </c>
      <c r="D123" s="30">
        <f t="shared" si="7"/>
        <v>160070</v>
      </c>
      <c r="E123" s="30">
        <f t="shared" si="7"/>
        <v>88492</v>
      </c>
      <c r="F123" s="46">
        <f t="shared" si="7"/>
        <v>158</v>
      </c>
      <c r="G123" s="30">
        <f t="shared" si="7"/>
        <v>986030</v>
      </c>
      <c r="H123" s="30">
        <f t="shared" si="7"/>
        <v>137321</v>
      </c>
      <c r="I123" s="46">
        <f t="shared" si="7"/>
        <v>359</v>
      </c>
      <c r="J123" s="30">
        <f t="shared" si="7"/>
        <v>0</v>
      </c>
      <c r="K123" s="46">
        <f t="shared" si="7"/>
        <v>93391</v>
      </c>
      <c r="L123" s="46">
        <f t="shared" si="7"/>
        <v>26924983</v>
      </c>
      <c r="M123" s="46">
        <f t="shared" si="7"/>
        <v>0</v>
      </c>
      <c r="N123" s="30">
        <f t="shared" si="7"/>
        <v>12762544</v>
      </c>
      <c r="O123" s="30">
        <f t="shared" si="7"/>
        <v>5293486</v>
      </c>
      <c r="P123" s="30">
        <f t="shared" si="7"/>
        <v>14392902</v>
      </c>
      <c r="Q123" s="46">
        <f t="shared" si="7"/>
        <v>17565446</v>
      </c>
      <c r="R123" s="46">
        <f t="shared" si="7"/>
        <v>83487895</v>
      </c>
      <c r="S123" s="30">
        <f>SUM(B123:P123)</f>
        <v>61836631</v>
      </c>
    </row>
    <row r="124" spans="1:20" hidden="1" x14ac:dyDescent="0.25">
      <c r="A124" s="28">
        <v>43373</v>
      </c>
      <c r="B124" s="30">
        <f t="shared" ref="B124:Q124" si="8">+B8+B68-B67</f>
        <v>2809188</v>
      </c>
      <c r="C124" s="46">
        <f t="shared" si="8"/>
        <v>-359</v>
      </c>
      <c r="D124" s="30">
        <f t="shared" si="8"/>
        <v>648016</v>
      </c>
      <c r="E124" s="30">
        <f t="shared" si="8"/>
        <v>241009</v>
      </c>
      <c r="F124" s="46">
        <f t="shared" si="8"/>
        <v>501</v>
      </c>
      <c r="G124" s="30">
        <f t="shared" si="8"/>
        <v>2784183</v>
      </c>
      <c r="H124" s="30">
        <f t="shared" si="8"/>
        <v>384208</v>
      </c>
      <c r="I124" s="46">
        <f t="shared" si="8"/>
        <v>547</v>
      </c>
      <c r="J124" s="30">
        <f t="shared" si="8"/>
        <v>0</v>
      </c>
      <c r="K124" s="46">
        <f t="shared" si="8"/>
        <v>118645</v>
      </c>
      <c r="L124" s="46">
        <f t="shared" si="8"/>
        <v>30461110</v>
      </c>
      <c r="M124" s="46">
        <f t="shared" si="8"/>
        <v>15312916</v>
      </c>
      <c r="N124" s="30">
        <f t="shared" si="8"/>
        <v>14381027</v>
      </c>
      <c r="O124" s="30">
        <f t="shared" si="8"/>
        <v>2080893</v>
      </c>
      <c r="P124" s="30">
        <f t="shared" si="8"/>
        <v>0</v>
      </c>
      <c r="Q124" s="46">
        <f t="shared" si="8"/>
        <v>9779883</v>
      </c>
      <c r="R124" s="46">
        <f t="shared" ref="R124:R134" si="9">SUM(B124:Q124)</f>
        <v>79001767</v>
      </c>
      <c r="S124" s="30">
        <f>SUM(B124:P124)</f>
        <v>69221884</v>
      </c>
    </row>
    <row r="125" spans="1:20" hidden="1" x14ac:dyDescent="0.25">
      <c r="A125" s="28">
        <v>43404</v>
      </c>
      <c r="B125" s="30">
        <f t="shared" ref="B125:Q125" si="10">+B9+B69-B68</f>
        <v>5307116</v>
      </c>
      <c r="C125" s="46">
        <f t="shared" si="10"/>
        <v>0</v>
      </c>
      <c r="D125" s="30">
        <f t="shared" si="10"/>
        <v>1031586</v>
      </c>
      <c r="E125" s="30">
        <f t="shared" si="10"/>
        <v>447130</v>
      </c>
      <c r="F125" s="46">
        <f t="shared" si="10"/>
        <v>2079</v>
      </c>
      <c r="G125" s="30">
        <f t="shared" si="10"/>
        <v>4259766</v>
      </c>
      <c r="H125" s="30">
        <f t="shared" si="10"/>
        <v>674628</v>
      </c>
      <c r="I125" s="46">
        <f t="shared" si="10"/>
        <v>21</v>
      </c>
      <c r="J125" s="30">
        <f t="shared" si="10"/>
        <v>0</v>
      </c>
      <c r="K125" s="46">
        <f t="shared" si="10"/>
        <v>197742</v>
      </c>
      <c r="L125" s="46">
        <f t="shared" si="10"/>
        <v>32448578</v>
      </c>
      <c r="M125" s="46">
        <f t="shared" si="10"/>
        <v>7714309</v>
      </c>
      <c r="N125" s="30">
        <f t="shared" si="10"/>
        <v>4034082</v>
      </c>
      <c r="O125" s="30">
        <f t="shared" si="10"/>
        <v>2001543</v>
      </c>
      <c r="P125" s="30">
        <f t="shared" si="10"/>
        <v>0</v>
      </c>
      <c r="Q125" s="46">
        <f t="shared" si="10"/>
        <v>12455009</v>
      </c>
      <c r="R125" s="46">
        <f t="shared" si="9"/>
        <v>70573589</v>
      </c>
      <c r="S125" s="30">
        <f>SUM(B125:P125)</f>
        <v>58118580</v>
      </c>
    </row>
    <row r="126" spans="1:20" hidden="1" x14ac:dyDescent="0.25">
      <c r="A126" s="28">
        <v>43434</v>
      </c>
      <c r="B126" s="30">
        <f t="shared" ref="B126:Q126" si="11">+B10-B69</f>
        <v>5727490</v>
      </c>
      <c r="C126" s="46">
        <f t="shared" si="11"/>
        <v>0</v>
      </c>
      <c r="D126" s="30">
        <f t="shared" si="11"/>
        <v>691277</v>
      </c>
      <c r="E126" s="30">
        <f t="shared" si="11"/>
        <v>107458</v>
      </c>
      <c r="F126" s="46">
        <f t="shared" si="11"/>
        <v>0</v>
      </c>
      <c r="G126" s="30">
        <f t="shared" si="11"/>
        <v>4031349</v>
      </c>
      <c r="H126" s="30">
        <f t="shared" si="11"/>
        <v>459820</v>
      </c>
      <c r="I126" s="46">
        <f t="shared" si="11"/>
        <v>0</v>
      </c>
      <c r="J126" s="30">
        <f t="shared" si="11"/>
        <v>0</v>
      </c>
      <c r="K126" s="46">
        <f t="shared" si="11"/>
        <v>0</v>
      </c>
      <c r="L126" s="46">
        <f t="shared" si="11"/>
        <v>0</v>
      </c>
      <c r="M126" s="46">
        <f t="shared" si="11"/>
        <v>0</v>
      </c>
      <c r="N126" s="30">
        <f t="shared" si="11"/>
        <v>0</v>
      </c>
      <c r="O126" s="30">
        <f t="shared" si="11"/>
        <v>0</v>
      </c>
      <c r="P126" s="30">
        <f t="shared" si="11"/>
        <v>0</v>
      </c>
      <c r="Q126" s="46">
        <f t="shared" si="11"/>
        <v>0</v>
      </c>
      <c r="R126" s="46">
        <f t="shared" si="9"/>
        <v>11017394</v>
      </c>
      <c r="S126" s="30">
        <f>SUM(B126:P126)</f>
        <v>11017394</v>
      </c>
      <c r="T126" s="27" t="s">
        <v>56</v>
      </c>
    </row>
    <row r="127" spans="1:20" hidden="1" x14ac:dyDescent="0.25">
      <c r="A127" s="28">
        <v>43434</v>
      </c>
      <c r="B127" s="30">
        <f t="shared" ref="B127:Q127" si="12">+B11+B70</f>
        <v>3233440</v>
      </c>
      <c r="C127" s="46">
        <f t="shared" si="12"/>
        <v>63</v>
      </c>
      <c r="D127" s="30">
        <f t="shared" si="12"/>
        <v>298083</v>
      </c>
      <c r="E127" s="30">
        <f t="shared" si="12"/>
        <v>77569</v>
      </c>
      <c r="F127" s="46">
        <f t="shared" si="12"/>
        <v>3464</v>
      </c>
      <c r="G127" s="30">
        <f t="shared" si="12"/>
        <v>2122532</v>
      </c>
      <c r="H127" s="30">
        <f t="shared" si="12"/>
        <v>331925</v>
      </c>
      <c r="I127" s="46">
        <f t="shared" si="12"/>
        <v>0</v>
      </c>
      <c r="J127" s="30">
        <f t="shared" si="12"/>
        <v>0</v>
      </c>
      <c r="K127" s="46">
        <f t="shared" si="12"/>
        <v>217688</v>
      </c>
      <c r="L127" s="46">
        <f t="shared" si="12"/>
        <v>25948738</v>
      </c>
      <c r="M127" s="46">
        <f t="shared" si="12"/>
        <v>76766</v>
      </c>
      <c r="N127" s="30">
        <f t="shared" si="12"/>
        <v>28205</v>
      </c>
      <c r="O127" s="30">
        <f t="shared" si="12"/>
        <v>33898</v>
      </c>
      <c r="P127" s="30">
        <f t="shared" si="12"/>
        <v>0</v>
      </c>
      <c r="Q127" s="46">
        <f t="shared" si="12"/>
        <v>12530783</v>
      </c>
      <c r="R127" s="46">
        <f t="shared" si="9"/>
        <v>44903154</v>
      </c>
      <c r="S127" s="30">
        <f>SUM(B127:P127)</f>
        <v>32372371</v>
      </c>
      <c r="T127" s="27" t="s">
        <v>57</v>
      </c>
    </row>
    <row r="128" spans="1:20" hidden="1" x14ac:dyDescent="0.25">
      <c r="A128" s="28">
        <v>43465</v>
      </c>
      <c r="B128" s="30">
        <f t="shared" ref="B128:Q128" si="13">+B12+B71-B70</f>
        <v>17031202</v>
      </c>
      <c r="C128" s="46">
        <f t="shared" si="13"/>
        <v>-63</v>
      </c>
      <c r="D128" s="30">
        <f t="shared" si="13"/>
        <v>1475293</v>
      </c>
      <c r="E128" s="30">
        <f t="shared" si="13"/>
        <v>305292</v>
      </c>
      <c r="F128" s="46">
        <f t="shared" si="13"/>
        <v>4915</v>
      </c>
      <c r="G128" s="30">
        <f t="shared" si="13"/>
        <v>11460190</v>
      </c>
      <c r="H128" s="30">
        <f t="shared" si="13"/>
        <v>1383646</v>
      </c>
      <c r="I128" s="46">
        <f t="shared" si="13"/>
        <v>142</v>
      </c>
      <c r="J128" s="30">
        <f t="shared" si="13"/>
        <v>0</v>
      </c>
      <c r="K128" s="46">
        <f t="shared" si="13"/>
        <v>260482</v>
      </c>
      <c r="L128" s="46">
        <f t="shared" si="13"/>
        <v>29346851</v>
      </c>
      <c r="M128" s="46">
        <f t="shared" si="13"/>
        <v>14382579</v>
      </c>
      <c r="N128" s="30">
        <f t="shared" si="13"/>
        <v>4450625</v>
      </c>
      <c r="O128" s="30">
        <f t="shared" si="13"/>
        <v>57483</v>
      </c>
      <c r="P128" s="30">
        <f t="shared" si="13"/>
        <v>0</v>
      </c>
      <c r="Q128" s="46">
        <f t="shared" si="13"/>
        <v>14281508</v>
      </c>
      <c r="R128" s="46">
        <f t="shared" si="9"/>
        <v>94440145</v>
      </c>
      <c r="S128" s="30">
        <f t="shared" ref="S128:S147" si="14">SUM(B128:P128)</f>
        <v>80158637</v>
      </c>
    </row>
    <row r="129" spans="1:20" hidden="1" x14ac:dyDescent="0.25">
      <c r="A129" s="28">
        <v>43496</v>
      </c>
      <c r="B129" s="30">
        <f t="shared" ref="B129:Q129" si="15">+B13+B72-B71</f>
        <v>19425579</v>
      </c>
      <c r="C129" s="46">
        <f t="shared" si="15"/>
        <v>0</v>
      </c>
      <c r="D129" s="30">
        <f t="shared" si="15"/>
        <v>1433715</v>
      </c>
      <c r="E129" s="30">
        <f t="shared" si="15"/>
        <v>330955</v>
      </c>
      <c r="F129" s="46">
        <f t="shared" si="15"/>
        <v>4626</v>
      </c>
      <c r="G129" s="30">
        <f t="shared" si="15"/>
        <v>13117967</v>
      </c>
      <c r="H129" s="30">
        <f t="shared" si="15"/>
        <v>1477641</v>
      </c>
      <c r="I129" s="46">
        <f t="shared" si="15"/>
        <v>7</v>
      </c>
      <c r="J129" s="30">
        <f t="shared" si="15"/>
        <v>0</v>
      </c>
      <c r="K129" s="46">
        <f t="shared" si="15"/>
        <v>258811</v>
      </c>
      <c r="L129" s="46">
        <f t="shared" si="15"/>
        <v>31076934</v>
      </c>
      <c r="M129" s="46">
        <f t="shared" si="15"/>
        <v>14944499</v>
      </c>
      <c r="N129" s="30">
        <f t="shared" si="15"/>
        <v>4088088</v>
      </c>
      <c r="O129" s="30">
        <f t="shared" si="15"/>
        <v>106086</v>
      </c>
      <c r="P129" s="30">
        <f t="shared" si="15"/>
        <v>0</v>
      </c>
      <c r="Q129" s="46">
        <f t="shared" si="15"/>
        <v>15543372</v>
      </c>
      <c r="R129" s="46">
        <f t="shared" si="9"/>
        <v>101808280</v>
      </c>
      <c r="S129" s="30">
        <f t="shared" si="14"/>
        <v>86264908</v>
      </c>
    </row>
    <row r="130" spans="1:20" hidden="1" x14ac:dyDescent="0.25">
      <c r="A130" s="28">
        <v>43524</v>
      </c>
      <c r="B130" s="30">
        <f t="shared" ref="B130:Q130" si="16">+B14+B73-B72</f>
        <v>20826493</v>
      </c>
      <c r="C130" s="46">
        <f t="shared" si="16"/>
        <v>0</v>
      </c>
      <c r="D130" s="30">
        <f t="shared" si="16"/>
        <v>1616149</v>
      </c>
      <c r="E130" s="30">
        <f t="shared" si="16"/>
        <v>325966</v>
      </c>
      <c r="F130" s="46">
        <f t="shared" si="16"/>
        <v>5486</v>
      </c>
      <c r="G130" s="30">
        <f t="shared" si="16"/>
        <v>13988227</v>
      </c>
      <c r="H130" s="30">
        <f t="shared" si="16"/>
        <v>1527495</v>
      </c>
      <c r="I130" s="46">
        <f t="shared" si="16"/>
        <v>0</v>
      </c>
      <c r="J130" s="30">
        <f t="shared" si="16"/>
        <v>0</v>
      </c>
      <c r="K130" s="46">
        <f t="shared" si="16"/>
        <v>270184</v>
      </c>
      <c r="L130" s="46">
        <f t="shared" si="16"/>
        <v>30225230</v>
      </c>
      <c r="M130" s="46">
        <f t="shared" si="16"/>
        <v>7408861</v>
      </c>
      <c r="N130" s="30">
        <f t="shared" si="16"/>
        <v>5846716</v>
      </c>
      <c r="O130" s="30">
        <f t="shared" si="16"/>
        <v>228696</v>
      </c>
      <c r="P130" s="30">
        <f t="shared" si="16"/>
        <v>0</v>
      </c>
      <c r="Q130" s="46">
        <f t="shared" si="16"/>
        <v>17237311</v>
      </c>
      <c r="R130" s="46">
        <f t="shared" si="9"/>
        <v>99506814</v>
      </c>
      <c r="S130" s="30">
        <f t="shared" si="14"/>
        <v>82269503</v>
      </c>
    </row>
    <row r="131" spans="1:20" hidden="1" x14ac:dyDescent="0.25">
      <c r="A131" s="28">
        <v>43555</v>
      </c>
      <c r="B131" s="30">
        <f t="shared" ref="B131:Q131" si="17">+B15+B74-B73</f>
        <v>22406676</v>
      </c>
      <c r="C131" s="46">
        <f t="shared" si="17"/>
        <v>0</v>
      </c>
      <c r="D131" s="30">
        <f t="shared" si="17"/>
        <v>1794729</v>
      </c>
      <c r="E131" s="30">
        <f t="shared" si="17"/>
        <v>344448</v>
      </c>
      <c r="F131" s="46">
        <f t="shared" si="17"/>
        <v>3527</v>
      </c>
      <c r="G131" s="30">
        <f t="shared" si="17"/>
        <v>15941825</v>
      </c>
      <c r="H131" s="30">
        <f t="shared" si="17"/>
        <v>1650107</v>
      </c>
      <c r="I131" s="46">
        <f t="shared" si="17"/>
        <v>0</v>
      </c>
      <c r="J131" s="30">
        <f t="shared" si="17"/>
        <v>0</v>
      </c>
      <c r="K131" s="46">
        <f t="shared" si="17"/>
        <v>248145</v>
      </c>
      <c r="L131" s="46">
        <f t="shared" si="17"/>
        <v>29441177</v>
      </c>
      <c r="M131" s="46">
        <f t="shared" si="17"/>
        <v>9817659</v>
      </c>
      <c r="N131" s="30">
        <f t="shared" si="17"/>
        <v>3088142</v>
      </c>
      <c r="O131" s="30">
        <f t="shared" si="17"/>
        <v>0</v>
      </c>
      <c r="P131" s="30">
        <f t="shared" si="17"/>
        <v>0</v>
      </c>
      <c r="Q131" s="46">
        <f t="shared" si="17"/>
        <v>17120002</v>
      </c>
      <c r="R131" s="46">
        <f t="shared" si="9"/>
        <v>101856437</v>
      </c>
      <c r="S131" s="30">
        <f t="shared" si="14"/>
        <v>84736435</v>
      </c>
    </row>
    <row r="132" spans="1:20" hidden="1" x14ac:dyDescent="0.25">
      <c r="A132" s="28">
        <v>43585</v>
      </c>
      <c r="B132" s="30">
        <f t="shared" ref="B132:Q132" si="18">+B16+B75-B74</f>
        <v>12262358</v>
      </c>
      <c r="C132" s="46">
        <f t="shared" si="18"/>
        <v>0</v>
      </c>
      <c r="D132" s="30">
        <f t="shared" si="18"/>
        <v>1331310</v>
      </c>
      <c r="E132" s="30">
        <f t="shared" si="18"/>
        <v>339049</v>
      </c>
      <c r="F132" s="46">
        <f t="shared" si="18"/>
        <v>2258</v>
      </c>
      <c r="G132" s="30">
        <f t="shared" si="18"/>
        <v>9096547</v>
      </c>
      <c r="H132" s="30">
        <f t="shared" si="18"/>
        <v>1028839</v>
      </c>
      <c r="I132" s="46">
        <f t="shared" si="18"/>
        <v>128</v>
      </c>
      <c r="J132" s="30">
        <f t="shared" si="18"/>
        <v>0</v>
      </c>
      <c r="K132" s="46">
        <f t="shared" si="18"/>
        <v>191467</v>
      </c>
      <c r="L132" s="46">
        <f t="shared" si="18"/>
        <v>27808927</v>
      </c>
      <c r="M132" s="46">
        <f t="shared" si="18"/>
        <v>7594206</v>
      </c>
      <c r="N132" s="30">
        <f t="shared" si="18"/>
        <v>2551096</v>
      </c>
      <c r="O132" s="30">
        <f t="shared" si="18"/>
        <v>24270</v>
      </c>
      <c r="P132" s="30">
        <f t="shared" si="18"/>
        <v>0</v>
      </c>
      <c r="Q132" s="46">
        <f t="shared" si="18"/>
        <v>15524856</v>
      </c>
      <c r="R132" s="46">
        <f t="shared" si="9"/>
        <v>77755311</v>
      </c>
      <c r="S132" s="30">
        <f t="shared" si="14"/>
        <v>62230455</v>
      </c>
    </row>
    <row r="133" spans="1:20" hidden="1" x14ac:dyDescent="0.25">
      <c r="A133" s="28">
        <v>43616</v>
      </c>
      <c r="B133" s="30">
        <f t="shared" ref="B133:Q133" si="19">+B17+B76-B75</f>
        <v>7409569</v>
      </c>
      <c r="C133" s="46">
        <f t="shared" si="19"/>
        <v>0</v>
      </c>
      <c r="D133" s="30">
        <f t="shared" si="19"/>
        <v>789879</v>
      </c>
      <c r="E133" s="30">
        <f t="shared" si="19"/>
        <v>267660</v>
      </c>
      <c r="F133" s="46">
        <f t="shared" si="19"/>
        <v>645</v>
      </c>
      <c r="G133" s="30">
        <f t="shared" si="19"/>
        <v>5370530</v>
      </c>
      <c r="H133" s="30">
        <f t="shared" si="19"/>
        <v>692205</v>
      </c>
      <c r="I133" s="46">
        <f t="shared" si="19"/>
        <v>151</v>
      </c>
      <c r="J133" s="30">
        <f t="shared" si="19"/>
        <v>0</v>
      </c>
      <c r="K133" s="46">
        <f t="shared" si="19"/>
        <v>142256</v>
      </c>
      <c r="L133" s="46">
        <f t="shared" si="19"/>
        <v>29847911</v>
      </c>
      <c r="M133" s="46">
        <f t="shared" si="19"/>
        <v>5340649</v>
      </c>
      <c r="N133" s="30">
        <f t="shared" si="19"/>
        <v>381981</v>
      </c>
      <c r="O133" s="30">
        <f t="shared" si="19"/>
        <v>234043</v>
      </c>
      <c r="P133" s="30">
        <f t="shared" si="19"/>
        <v>0</v>
      </c>
      <c r="Q133" s="46">
        <f t="shared" si="19"/>
        <v>12183082</v>
      </c>
      <c r="R133" s="46">
        <f t="shared" si="9"/>
        <v>62660561</v>
      </c>
      <c r="S133" s="30">
        <f t="shared" si="14"/>
        <v>50477479</v>
      </c>
    </row>
    <row r="134" spans="1:20" hidden="1" x14ac:dyDescent="0.25">
      <c r="A134" s="28">
        <v>43646</v>
      </c>
      <c r="B134" s="30">
        <f t="shared" ref="B134:Q134" si="20">+B18+B77-B76</f>
        <v>4046705</v>
      </c>
      <c r="C134" s="46">
        <f t="shared" si="20"/>
        <v>0</v>
      </c>
      <c r="D134" s="30">
        <f t="shared" si="20"/>
        <v>579038</v>
      </c>
      <c r="E134" s="30">
        <f t="shared" si="20"/>
        <v>275040</v>
      </c>
      <c r="F134" s="46">
        <f t="shared" si="20"/>
        <v>367</v>
      </c>
      <c r="G134" s="30">
        <f t="shared" si="20"/>
        <v>3465484</v>
      </c>
      <c r="H134" s="30">
        <f t="shared" si="20"/>
        <v>479946</v>
      </c>
      <c r="I134" s="46">
        <f t="shared" si="20"/>
        <v>0</v>
      </c>
      <c r="J134" s="30">
        <f t="shared" si="20"/>
        <v>0</v>
      </c>
      <c r="K134" s="46">
        <f t="shared" si="20"/>
        <v>110987</v>
      </c>
      <c r="L134" s="46">
        <f t="shared" si="20"/>
        <v>27060192</v>
      </c>
      <c r="M134" s="46">
        <f t="shared" si="20"/>
        <v>7824546</v>
      </c>
      <c r="N134" s="30">
        <f t="shared" si="20"/>
        <v>6776820</v>
      </c>
      <c r="O134" s="30">
        <f t="shared" si="20"/>
        <v>1112893</v>
      </c>
      <c r="P134" s="30">
        <f t="shared" si="20"/>
        <v>0</v>
      </c>
      <c r="Q134" s="46">
        <f t="shared" si="20"/>
        <v>12154296</v>
      </c>
      <c r="R134" s="46">
        <f t="shared" si="9"/>
        <v>63886314</v>
      </c>
      <c r="S134" s="30">
        <f t="shared" si="14"/>
        <v>51732018</v>
      </c>
    </row>
    <row r="135" spans="1:20" hidden="1" x14ac:dyDescent="0.25">
      <c r="A135" s="28">
        <v>43677</v>
      </c>
      <c r="B135" s="30">
        <f t="shared" ref="B135:Q135" si="21">+B19+B78-B77</f>
        <v>3217527</v>
      </c>
      <c r="C135" s="46">
        <f t="shared" si="21"/>
        <v>0</v>
      </c>
      <c r="D135" s="30">
        <f t="shared" si="21"/>
        <v>537168</v>
      </c>
      <c r="E135" s="30">
        <f t="shared" si="21"/>
        <v>315197</v>
      </c>
      <c r="F135" s="46">
        <f t="shared" si="21"/>
        <v>155</v>
      </c>
      <c r="G135" s="30">
        <f t="shared" si="21"/>
        <v>3054528</v>
      </c>
      <c r="H135" s="30">
        <f t="shared" si="21"/>
        <v>406093</v>
      </c>
      <c r="I135" s="46">
        <f t="shared" si="21"/>
        <v>163</v>
      </c>
      <c r="J135" s="30">
        <f t="shared" si="21"/>
        <v>0</v>
      </c>
      <c r="K135" s="46">
        <f t="shared" si="21"/>
        <v>120028</v>
      </c>
      <c r="L135" s="46">
        <f t="shared" si="21"/>
        <v>26075307</v>
      </c>
      <c r="M135" s="46">
        <f t="shared" si="21"/>
        <v>14501183</v>
      </c>
      <c r="N135" s="30">
        <f t="shared" si="21"/>
        <v>14122838</v>
      </c>
      <c r="O135" s="30">
        <f t="shared" si="21"/>
        <v>5050508</v>
      </c>
      <c r="P135" s="30">
        <f t="shared" si="21"/>
        <v>0</v>
      </c>
      <c r="Q135" s="46">
        <f t="shared" si="21"/>
        <v>21648336</v>
      </c>
      <c r="R135" s="46">
        <f t="shared" ref="R135:R141" si="22">SUM(B135:Q135)</f>
        <v>89049031</v>
      </c>
      <c r="S135" s="30">
        <f t="shared" si="14"/>
        <v>67400695</v>
      </c>
    </row>
    <row r="136" spans="1:20" hidden="1" x14ac:dyDescent="0.25">
      <c r="A136" s="28">
        <v>43708</v>
      </c>
      <c r="B136" s="30">
        <f t="shared" ref="B136:Q136" si="23">+B20+B79-B78</f>
        <v>2775098</v>
      </c>
      <c r="C136" s="46">
        <f t="shared" si="23"/>
        <v>0</v>
      </c>
      <c r="D136" s="30">
        <f t="shared" si="23"/>
        <v>564404</v>
      </c>
      <c r="E136" s="30">
        <f t="shared" si="23"/>
        <v>350812</v>
      </c>
      <c r="F136" s="46">
        <f t="shared" si="23"/>
        <v>138</v>
      </c>
      <c r="G136" s="30">
        <f t="shared" si="23"/>
        <v>2791770</v>
      </c>
      <c r="H136" s="30">
        <f t="shared" si="23"/>
        <v>400926</v>
      </c>
      <c r="I136" s="46">
        <f t="shared" si="23"/>
        <v>0</v>
      </c>
      <c r="J136" s="30">
        <f t="shared" si="23"/>
        <v>0</v>
      </c>
      <c r="K136" s="46">
        <f t="shared" si="23"/>
        <v>93626</v>
      </c>
      <c r="L136" s="46">
        <f t="shared" si="23"/>
        <v>28191126</v>
      </c>
      <c r="M136" s="46">
        <f t="shared" si="23"/>
        <v>16164686</v>
      </c>
      <c r="N136" s="30">
        <f t="shared" si="23"/>
        <v>15605297</v>
      </c>
      <c r="O136" s="30">
        <f t="shared" si="23"/>
        <v>9500954</v>
      </c>
      <c r="P136" s="30">
        <f t="shared" si="23"/>
        <v>0</v>
      </c>
      <c r="Q136" s="46">
        <f t="shared" si="23"/>
        <v>22716787</v>
      </c>
      <c r="R136" s="46">
        <f t="shared" si="22"/>
        <v>99155624</v>
      </c>
      <c r="S136" s="30">
        <f t="shared" si="14"/>
        <v>76438837</v>
      </c>
    </row>
    <row r="137" spans="1:20" hidden="1" x14ac:dyDescent="0.25">
      <c r="A137" s="28">
        <v>43738</v>
      </c>
      <c r="B137" s="30">
        <f t="shared" ref="B137:Q137" si="24">+B21+B80-B79</f>
        <v>2691847</v>
      </c>
      <c r="C137" s="46">
        <f t="shared" si="24"/>
        <v>0</v>
      </c>
      <c r="D137" s="30">
        <f t="shared" si="24"/>
        <v>651984</v>
      </c>
      <c r="E137" s="30">
        <f t="shared" si="24"/>
        <v>310612</v>
      </c>
      <c r="F137" s="46">
        <f t="shared" si="24"/>
        <v>619</v>
      </c>
      <c r="G137" s="30">
        <f t="shared" si="24"/>
        <v>2672689</v>
      </c>
      <c r="H137" s="30">
        <f t="shared" si="24"/>
        <v>346838</v>
      </c>
      <c r="I137" s="46">
        <f t="shared" si="24"/>
        <v>411</v>
      </c>
      <c r="J137" s="30">
        <f t="shared" si="24"/>
        <v>0</v>
      </c>
      <c r="K137" s="46">
        <f t="shared" si="24"/>
        <v>111442</v>
      </c>
      <c r="L137" s="46">
        <f t="shared" si="24"/>
        <v>31412664</v>
      </c>
      <c r="M137" s="46">
        <f t="shared" si="24"/>
        <v>15653966</v>
      </c>
      <c r="N137" s="30">
        <f t="shared" si="24"/>
        <v>14512835</v>
      </c>
      <c r="O137" s="30">
        <f t="shared" si="24"/>
        <v>4852567</v>
      </c>
      <c r="P137" s="30">
        <f t="shared" si="24"/>
        <v>0</v>
      </c>
      <c r="Q137" s="46">
        <f t="shared" si="24"/>
        <v>19793658</v>
      </c>
      <c r="R137" s="46">
        <f t="shared" si="22"/>
        <v>93012132</v>
      </c>
      <c r="S137" s="30">
        <f t="shared" si="14"/>
        <v>73218474</v>
      </c>
    </row>
    <row r="138" spans="1:20" hidden="1" x14ac:dyDescent="0.25">
      <c r="A138" s="28">
        <v>43769</v>
      </c>
      <c r="B138" s="30">
        <f t="shared" ref="B138:Q138" si="25">+B22+B81-B80</f>
        <v>6366467</v>
      </c>
      <c r="C138" s="46">
        <f t="shared" si="25"/>
        <v>0</v>
      </c>
      <c r="D138" s="30">
        <f t="shared" si="25"/>
        <v>1274354</v>
      </c>
      <c r="E138" s="30">
        <f t="shared" si="25"/>
        <v>413276</v>
      </c>
      <c r="F138" s="46">
        <f t="shared" si="25"/>
        <v>2955</v>
      </c>
      <c r="G138" s="30">
        <f t="shared" si="25"/>
        <v>4853452</v>
      </c>
      <c r="H138" s="30">
        <f t="shared" si="25"/>
        <v>2027719</v>
      </c>
      <c r="I138" s="46">
        <f t="shared" si="25"/>
        <v>317</v>
      </c>
      <c r="J138" s="30">
        <f t="shared" si="25"/>
        <v>0</v>
      </c>
      <c r="K138" s="46">
        <f t="shared" si="25"/>
        <v>232820</v>
      </c>
      <c r="L138" s="46">
        <f t="shared" si="25"/>
        <v>34409561</v>
      </c>
      <c r="M138" s="46">
        <f t="shared" si="25"/>
        <v>11066352</v>
      </c>
      <c r="N138" s="30">
        <f t="shared" si="25"/>
        <v>667138</v>
      </c>
      <c r="O138" s="30">
        <f t="shared" si="25"/>
        <v>897404</v>
      </c>
      <c r="P138" s="30">
        <f t="shared" si="25"/>
        <v>0</v>
      </c>
      <c r="Q138" s="46">
        <f t="shared" si="25"/>
        <v>17522363</v>
      </c>
      <c r="R138" s="46">
        <f t="shared" si="22"/>
        <v>79734178</v>
      </c>
      <c r="S138" s="30">
        <f t="shared" si="14"/>
        <v>62211815</v>
      </c>
    </row>
    <row r="139" spans="1:20" hidden="1" x14ac:dyDescent="0.25">
      <c r="A139" s="28">
        <v>43799</v>
      </c>
      <c r="B139" s="30">
        <f t="shared" ref="B139:Q139" si="26">+B23-B81</f>
        <v>7622134</v>
      </c>
      <c r="C139" s="46">
        <f t="shared" si="26"/>
        <v>0</v>
      </c>
      <c r="D139" s="30">
        <f t="shared" si="26"/>
        <v>806453</v>
      </c>
      <c r="E139" s="30">
        <f t="shared" si="26"/>
        <v>292270</v>
      </c>
      <c r="F139" s="46">
        <f t="shared" si="26"/>
        <v>0</v>
      </c>
      <c r="G139" s="30">
        <f t="shared" si="26"/>
        <v>5319138</v>
      </c>
      <c r="H139" s="30">
        <f t="shared" si="26"/>
        <v>626870</v>
      </c>
      <c r="I139" s="46">
        <f t="shared" si="26"/>
        <v>0</v>
      </c>
      <c r="J139" s="30">
        <f t="shared" si="26"/>
        <v>0</v>
      </c>
      <c r="K139" s="46">
        <f t="shared" si="26"/>
        <v>0</v>
      </c>
      <c r="L139" s="46">
        <f t="shared" si="26"/>
        <v>132</v>
      </c>
      <c r="M139" s="46">
        <f t="shared" si="26"/>
        <v>0</v>
      </c>
      <c r="N139" s="30">
        <f t="shared" si="26"/>
        <v>0</v>
      </c>
      <c r="O139" s="30">
        <f t="shared" si="26"/>
        <v>0</v>
      </c>
      <c r="P139" s="30">
        <f t="shared" si="26"/>
        <v>0</v>
      </c>
      <c r="Q139" s="46">
        <f t="shared" si="26"/>
        <v>0</v>
      </c>
      <c r="R139" s="46">
        <f t="shared" si="22"/>
        <v>14666997</v>
      </c>
      <c r="S139" s="30">
        <f t="shared" si="14"/>
        <v>14666997</v>
      </c>
      <c r="T139" s="27" t="s">
        <v>56</v>
      </c>
    </row>
    <row r="140" spans="1:20" hidden="1" x14ac:dyDescent="0.25">
      <c r="A140" s="28">
        <v>43799</v>
      </c>
      <c r="B140" s="30">
        <f t="shared" ref="B140:Q140" si="27">+B24+B82</f>
        <v>4006834</v>
      </c>
      <c r="C140" s="46">
        <f t="shared" si="27"/>
        <v>0</v>
      </c>
      <c r="D140" s="30">
        <f t="shared" si="27"/>
        <v>352170</v>
      </c>
      <c r="E140" s="30">
        <f t="shared" si="27"/>
        <v>192646</v>
      </c>
      <c r="F140" s="46">
        <f t="shared" si="27"/>
        <v>3958</v>
      </c>
      <c r="G140" s="30">
        <f t="shared" si="27"/>
        <v>2589532</v>
      </c>
      <c r="H140" s="30">
        <f t="shared" si="27"/>
        <v>1908901</v>
      </c>
      <c r="I140" s="46">
        <f t="shared" si="27"/>
        <v>491</v>
      </c>
      <c r="J140" s="30">
        <f t="shared" si="27"/>
        <v>0</v>
      </c>
      <c r="K140" s="46">
        <f t="shared" si="27"/>
        <v>230233</v>
      </c>
      <c r="L140" s="46">
        <f t="shared" si="27"/>
        <v>29790523</v>
      </c>
      <c r="M140" s="46">
        <f t="shared" si="27"/>
        <v>12699045</v>
      </c>
      <c r="N140" s="30">
        <f t="shared" si="27"/>
        <v>5956005</v>
      </c>
      <c r="O140" s="30">
        <f t="shared" si="27"/>
        <v>211269</v>
      </c>
      <c r="P140" s="30">
        <f t="shared" si="27"/>
        <v>0</v>
      </c>
      <c r="Q140" s="46">
        <f t="shared" si="27"/>
        <v>15540522</v>
      </c>
      <c r="R140" s="46">
        <f t="shared" si="22"/>
        <v>73482129</v>
      </c>
      <c r="S140" s="30">
        <f t="shared" si="14"/>
        <v>57941607</v>
      </c>
      <c r="T140" s="27" t="s">
        <v>57</v>
      </c>
    </row>
    <row r="141" spans="1:20" hidden="1" x14ac:dyDescent="0.25">
      <c r="A141" s="28">
        <v>43830</v>
      </c>
      <c r="B141" s="30">
        <f t="shared" ref="B141:Q141" si="28">+B25+B83-B82</f>
        <v>17650518</v>
      </c>
      <c r="C141" s="46">
        <f t="shared" si="28"/>
        <v>0</v>
      </c>
      <c r="D141" s="30">
        <f t="shared" si="28"/>
        <v>1422636</v>
      </c>
      <c r="E141" s="30">
        <f t="shared" si="28"/>
        <v>368658</v>
      </c>
      <c r="F141" s="46">
        <f t="shared" si="28"/>
        <v>4552</v>
      </c>
      <c r="G141" s="30">
        <f t="shared" si="28"/>
        <v>11976706</v>
      </c>
      <c r="H141" s="30">
        <f t="shared" si="28"/>
        <v>2959155</v>
      </c>
      <c r="I141" s="46">
        <f t="shared" si="28"/>
        <v>261</v>
      </c>
      <c r="J141" s="30">
        <f t="shared" si="28"/>
        <v>0</v>
      </c>
      <c r="K141" s="46">
        <f t="shared" si="28"/>
        <v>254015</v>
      </c>
      <c r="L141" s="46">
        <f t="shared" si="28"/>
        <v>31617374</v>
      </c>
      <c r="M141" s="46">
        <f t="shared" si="28"/>
        <v>14173947</v>
      </c>
      <c r="N141" s="30">
        <f t="shared" si="28"/>
        <v>13886984</v>
      </c>
      <c r="O141" s="30">
        <f t="shared" si="28"/>
        <v>1297588</v>
      </c>
      <c r="P141" s="30">
        <f t="shared" si="28"/>
        <v>0</v>
      </c>
      <c r="Q141" s="46">
        <f t="shared" si="28"/>
        <v>23698445</v>
      </c>
      <c r="R141" s="46">
        <f t="shared" si="22"/>
        <v>119310839</v>
      </c>
      <c r="S141" s="30">
        <f t="shared" si="14"/>
        <v>95612394</v>
      </c>
    </row>
    <row r="142" spans="1:20" hidden="1" x14ac:dyDescent="0.25">
      <c r="A142" s="28">
        <v>43861</v>
      </c>
      <c r="B142" s="30">
        <f t="shared" ref="B142:Q142" si="29">+B26+B84-B83</f>
        <v>21443608</v>
      </c>
      <c r="C142" s="46">
        <f t="shared" si="29"/>
        <v>0</v>
      </c>
      <c r="D142" s="30">
        <f t="shared" si="29"/>
        <v>1522757</v>
      </c>
      <c r="E142" s="30">
        <f t="shared" si="29"/>
        <v>431249</v>
      </c>
      <c r="F142" s="46">
        <f t="shared" si="29"/>
        <v>4887</v>
      </c>
      <c r="G142" s="30">
        <f t="shared" si="29"/>
        <v>14478708</v>
      </c>
      <c r="H142" s="30">
        <f t="shared" si="29"/>
        <v>3309514</v>
      </c>
      <c r="I142" s="46">
        <f t="shared" si="29"/>
        <v>85</v>
      </c>
      <c r="J142" s="30">
        <f t="shared" si="29"/>
        <v>0</v>
      </c>
      <c r="K142" s="46">
        <f t="shared" si="29"/>
        <v>256203</v>
      </c>
      <c r="L142" s="46">
        <f t="shared" si="29"/>
        <v>32467716</v>
      </c>
      <c r="M142" s="46">
        <f t="shared" si="29"/>
        <v>12220363</v>
      </c>
      <c r="N142" s="30">
        <f t="shared" si="29"/>
        <v>9693367</v>
      </c>
      <c r="O142" s="30">
        <f t="shared" si="29"/>
        <v>362331</v>
      </c>
      <c r="P142" s="30">
        <f t="shared" si="29"/>
        <v>0</v>
      </c>
      <c r="Q142" s="46">
        <f t="shared" si="29"/>
        <v>21168090</v>
      </c>
      <c r="R142" s="46">
        <f t="shared" ref="R142:R154" si="30">SUM(B142:Q142)</f>
        <v>117358878</v>
      </c>
      <c r="S142" s="30">
        <f t="shared" si="14"/>
        <v>96190788</v>
      </c>
    </row>
    <row r="143" spans="1:20" hidden="1" x14ac:dyDescent="0.25">
      <c r="A143" s="28">
        <v>43890</v>
      </c>
      <c r="B143" s="30">
        <f t="shared" ref="B143:Q143" si="31">+B27+B85-B84</f>
        <v>17506775</v>
      </c>
      <c r="C143" s="46">
        <f t="shared" si="31"/>
        <v>0</v>
      </c>
      <c r="D143" s="30">
        <f t="shared" si="31"/>
        <v>1322495</v>
      </c>
      <c r="E143" s="30">
        <f t="shared" si="31"/>
        <v>393372</v>
      </c>
      <c r="F143" s="46">
        <f t="shared" si="31"/>
        <v>4650</v>
      </c>
      <c r="G143" s="30">
        <f t="shared" si="31"/>
        <v>11970901</v>
      </c>
      <c r="H143" s="30">
        <f t="shared" si="31"/>
        <v>2889473</v>
      </c>
      <c r="I143" s="46">
        <f t="shared" si="31"/>
        <v>341</v>
      </c>
      <c r="J143" s="30">
        <f t="shared" si="31"/>
        <v>0</v>
      </c>
      <c r="K143" s="46">
        <f t="shared" si="31"/>
        <v>228991</v>
      </c>
      <c r="L143" s="46">
        <f t="shared" si="31"/>
        <v>30355704</v>
      </c>
      <c r="M143" s="46">
        <f t="shared" si="31"/>
        <v>11897437</v>
      </c>
      <c r="N143" s="30">
        <f t="shared" si="31"/>
        <v>7438730</v>
      </c>
      <c r="O143" s="30">
        <f t="shared" si="31"/>
        <v>761639</v>
      </c>
      <c r="P143" s="30">
        <f t="shared" si="31"/>
        <v>0</v>
      </c>
      <c r="Q143" s="46">
        <f t="shared" si="31"/>
        <v>17401464</v>
      </c>
      <c r="R143" s="46">
        <f t="shared" si="30"/>
        <v>102171972</v>
      </c>
      <c r="S143" s="30">
        <f t="shared" si="14"/>
        <v>84770508</v>
      </c>
    </row>
    <row r="144" spans="1:20" hidden="1" x14ac:dyDescent="0.25">
      <c r="A144" s="28">
        <v>43921</v>
      </c>
      <c r="B144" s="30">
        <f t="shared" ref="B144:Q144" si="32">+B28+B86-B85</f>
        <v>17635811</v>
      </c>
      <c r="C144" s="46">
        <f t="shared" si="32"/>
        <v>0</v>
      </c>
      <c r="D144" s="30">
        <f t="shared" si="32"/>
        <v>1356275</v>
      </c>
      <c r="E144" s="30">
        <f t="shared" si="32"/>
        <v>297569</v>
      </c>
      <c r="F144" s="46">
        <f t="shared" si="32"/>
        <v>4903</v>
      </c>
      <c r="G144" s="30">
        <f t="shared" si="32"/>
        <v>11812961</v>
      </c>
      <c r="H144" s="30">
        <f t="shared" si="32"/>
        <v>3033699</v>
      </c>
      <c r="I144" s="46">
        <f t="shared" si="32"/>
        <v>182</v>
      </c>
      <c r="J144" s="30">
        <f t="shared" si="32"/>
        <v>0</v>
      </c>
      <c r="K144" s="46">
        <f t="shared" si="32"/>
        <v>229265</v>
      </c>
      <c r="L144" s="46">
        <f t="shared" si="32"/>
        <v>32606618</v>
      </c>
      <c r="M144" s="46">
        <f t="shared" si="32"/>
        <v>15670834</v>
      </c>
      <c r="N144" s="30">
        <f t="shared" si="32"/>
        <v>14229128</v>
      </c>
      <c r="O144" s="30">
        <f t="shared" si="32"/>
        <v>3004872</v>
      </c>
      <c r="P144" s="30">
        <f t="shared" si="32"/>
        <v>0</v>
      </c>
      <c r="Q144" s="46">
        <f t="shared" si="32"/>
        <v>22397689</v>
      </c>
      <c r="R144" s="46">
        <f t="shared" si="30"/>
        <v>122279806</v>
      </c>
      <c r="S144" s="30">
        <f t="shared" si="14"/>
        <v>99882117</v>
      </c>
    </row>
    <row r="145" spans="1:20" hidden="1" x14ac:dyDescent="0.25">
      <c r="A145" s="28">
        <v>43951</v>
      </c>
      <c r="B145" s="30">
        <f t="shared" ref="B145:Q145" si="33">+B29+B87-B86</f>
        <v>13930299</v>
      </c>
      <c r="C145" s="46">
        <f t="shared" si="33"/>
        <v>0</v>
      </c>
      <c r="D145" s="30">
        <f t="shared" si="33"/>
        <v>1128418</v>
      </c>
      <c r="E145" s="30">
        <f t="shared" si="33"/>
        <v>537766</v>
      </c>
      <c r="F145" s="46">
        <f t="shared" si="33"/>
        <v>3889</v>
      </c>
      <c r="G145" s="30">
        <f t="shared" si="33"/>
        <v>8554564</v>
      </c>
      <c r="H145" s="30">
        <f t="shared" si="33"/>
        <v>2377971</v>
      </c>
      <c r="I145" s="46">
        <f t="shared" si="33"/>
        <v>193</v>
      </c>
      <c r="J145" s="30">
        <f t="shared" si="33"/>
        <v>0</v>
      </c>
      <c r="K145" s="46">
        <f t="shared" si="33"/>
        <v>189521</v>
      </c>
      <c r="L145" s="46">
        <f t="shared" si="33"/>
        <v>27153616</v>
      </c>
      <c r="M145" s="46">
        <f t="shared" si="33"/>
        <v>13569738</v>
      </c>
      <c r="N145" s="30">
        <f t="shared" si="33"/>
        <v>11001952</v>
      </c>
      <c r="O145" s="30">
        <f t="shared" si="33"/>
        <v>3430843</v>
      </c>
      <c r="P145" s="30">
        <f t="shared" si="33"/>
        <v>0</v>
      </c>
      <c r="Q145" s="46">
        <f t="shared" si="33"/>
        <v>18242418</v>
      </c>
      <c r="R145" s="46">
        <f t="shared" si="30"/>
        <v>100121188</v>
      </c>
      <c r="S145" s="30">
        <f t="shared" si="14"/>
        <v>81878770</v>
      </c>
    </row>
    <row r="146" spans="1:20" hidden="1" x14ac:dyDescent="0.25">
      <c r="A146" s="28">
        <v>43982</v>
      </c>
      <c r="B146" s="30">
        <f t="shared" ref="B146:Q146" si="34">+B30+B88-B87</f>
        <v>6809502</v>
      </c>
      <c r="C146" s="46">
        <f t="shared" si="34"/>
        <v>0</v>
      </c>
      <c r="D146" s="30">
        <f t="shared" si="34"/>
        <v>713209</v>
      </c>
      <c r="E146" s="30">
        <f t="shared" si="34"/>
        <v>222952</v>
      </c>
      <c r="F146" s="46">
        <f t="shared" si="34"/>
        <v>2219</v>
      </c>
      <c r="G146" s="30">
        <f t="shared" si="34"/>
        <v>4127918</v>
      </c>
      <c r="H146" s="30">
        <f t="shared" si="34"/>
        <v>1489675</v>
      </c>
      <c r="I146" s="46">
        <f t="shared" si="34"/>
        <v>0</v>
      </c>
      <c r="J146" s="30">
        <f t="shared" si="34"/>
        <v>0</v>
      </c>
      <c r="K146" s="46">
        <f t="shared" si="34"/>
        <v>139474</v>
      </c>
      <c r="L146" s="46">
        <f t="shared" si="34"/>
        <v>29220834</v>
      </c>
      <c r="M146" s="46">
        <f t="shared" si="34"/>
        <v>2198918</v>
      </c>
      <c r="N146" s="30">
        <f t="shared" si="34"/>
        <v>791584</v>
      </c>
      <c r="O146" s="30">
        <f t="shared" si="34"/>
        <v>447784</v>
      </c>
      <c r="P146" s="30">
        <f t="shared" si="34"/>
        <v>0</v>
      </c>
      <c r="Q146" s="46">
        <f t="shared" si="34"/>
        <v>12993634</v>
      </c>
      <c r="R146" s="46">
        <f t="shared" si="30"/>
        <v>59157703</v>
      </c>
      <c r="S146" s="30">
        <f t="shared" si="14"/>
        <v>46164069</v>
      </c>
    </row>
    <row r="147" spans="1:20" hidden="1" x14ac:dyDescent="0.25">
      <c r="A147" s="28">
        <v>44012</v>
      </c>
      <c r="B147" s="30">
        <f t="shared" ref="B147:Q147" si="35">+B31+B89-B88</f>
        <v>5005480</v>
      </c>
      <c r="C147" s="46">
        <f t="shared" si="35"/>
        <v>0</v>
      </c>
      <c r="D147" s="30">
        <f t="shared" si="35"/>
        <v>637229</v>
      </c>
      <c r="E147" s="30">
        <f t="shared" si="35"/>
        <v>433558</v>
      </c>
      <c r="F147" s="46">
        <f t="shared" si="35"/>
        <v>2099</v>
      </c>
      <c r="G147" s="30">
        <f t="shared" si="35"/>
        <v>3158885</v>
      </c>
      <c r="H147" s="30">
        <f t="shared" si="35"/>
        <v>1216237</v>
      </c>
      <c r="I147" s="46">
        <f t="shared" si="35"/>
        <v>0</v>
      </c>
      <c r="J147" s="30">
        <f t="shared" si="35"/>
        <v>0</v>
      </c>
      <c r="K147" s="46">
        <f t="shared" si="35"/>
        <v>109505</v>
      </c>
      <c r="L147" s="46">
        <f t="shared" si="35"/>
        <v>27661973</v>
      </c>
      <c r="M147" s="46">
        <f t="shared" si="35"/>
        <v>3015900</v>
      </c>
      <c r="N147" s="30">
        <f t="shared" si="35"/>
        <v>1306946</v>
      </c>
      <c r="O147" s="30">
        <f t="shared" si="35"/>
        <v>736401</v>
      </c>
      <c r="P147" s="30">
        <f t="shared" si="35"/>
        <v>0</v>
      </c>
      <c r="Q147" s="46">
        <f t="shared" si="35"/>
        <v>11632274</v>
      </c>
      <c r="R147" s="46">
        <f t="shared" si="30"/>
        <v>54916487</v>
      </c>
      <c r="S147" s="30">
        <f t="shared" si="14"/>
        <v>43284213</v>
      </c>
    </row>
    <row r="148" spans="1:20" hidden="1" x14ac:dyDescent="0.25">
      <c r="A148" s="28">
        <v>44043</v>
      </c>
      <c r="B148" s="30">
        <f t="shared" ref="B148:Q148" si="36">+B32+B90-B89</f>
        <v>4024864</v>
      </c>
      <c r="C148" s="46">
        <f t="shared" si="36"/>
        <v>0</v>
      </c>
      <c r="D148" s="30">
        <f t="shared" si="36"/>
        <v>562464</v>
      </c>
      <c r="E148" s="30">
        <f t="shared" si="36"/>
        <v>335278</v>
      </c>
      <c r="F148" s="46">
        <f t="shared" si="36"/>
        <v>943</v>
      </c>
      <c r="G148" s="30">
        <f t="shared" si="36"/>
        <v>2836474</v>
      </c>
      <c r="H148" s="30">
        <f t="shared" si="36"/>
        <v>1217402</v>
      </c>
      <c r="I148" s="46">
        <f t="shared" si="36"/>
        <v>0</v>
      </c>
      <c r="J148" s="30">
        <f t="shared" si="36"/>
        <v>0</v>
      </c>
      <c r="K148" s="46">
        <f t="shared" si="36"/>
        <v>106383</v>
      </c>
      <c r="L148" s="46">
        <f t="shared" si="36"/>
        <v>28966911</v>
      </c>
      <c r="M148" s="46">
        <f t="shared" si="36"/>
        <v>9874110</v>
      </c>
      <c r="N148" s="30">
        <f t="shared" si="36"/>
        <v>5180231</v>
      </c>
      <c r="O148" s="30">
        <f t="shared" si="36"/>
        <v>1984278</v>
      </c>
      <c r="P148" s="30">
        <f t="shared" si="36"/>
        <v>0</v>
      </c>
      <c r="Q148" s="46">
        <f t="shared" si="36"/>
        <v>13659055</v>
      </c>
      <c r="R148" s="46">
        <f t="shared" si="30"/>
        <v>68748393</v>
      </c>
      <c r="S148" s="30">
        <f t="shared" ref="S148:S154" si="37">+B148+F148+G148+C148+D148+E148+J148+L148+M148+N148+O148</f>
        <v>53765553</v>
      </c>
    </row>
    <row r="149" spans="1:20" hidden="1" x14ac:dyDescent="0.25">
      <c r="A149" s="28">
        <v>44074</v>
      </c>
      <c r="B149" s="30">
        <f t="shared" ref="B149:Q149" si="38">+B33+B91-B90</f>
        <v>2732363</v>
      </c>
      <c r="C149" s="46">
        <f t="shared" si="38"/>
        <v>0</v>
      </c>
      <c r="D149" s="30">
        <f t="shared" si="38"/>
        <v>497342</v>
      </c>
      <c r="E149" s="30">
        <f t="shared" si="38"/>
        <v>298740</v>
      </c>
      <c r="F149" s="46">
        <f t="shared" si="38"/>
        <v>816</v>
      </c>
      <c r="G149" s="30">
        <f t="shared" si="38"/>
        <v>2165794</v>
      </c>
      <c r="H149" s="30">
        <f t="shared" si="38"/>
        <v>956939</v>
      </c>
      <c r="I149" s="46">
        <f t="shared" si="38"/>
        <v>0</v>
      </c>
      <c r="J149" s="30">
        <f t="shared" si="38"/>
        <v>0</v>
      </c>
      <c r="K149" s="46">
        <f t="shared" si="38"/>
        <v>100500</v>
      </c>
      <c r="L149" s="46">
        <f t="shared" si="38"/>
        <v>32340707</v>
      </c>
      <c r="M149" s="46">
        <f t="shared" si="38"/>
        <v>13157147</v>
      </c>
      <c r="N149" s="30">
        <f t="shared" si="38"/>
        <v>10278160</v>
      </c>
      <c r="O149" s="30">
        <f t="shared" si="38"/>
        <v>4334957</v>
      </c>
      <c r="P149" s="30">
        <f t="shared" si="38"/>
        <v>0</v>
      </c>
      <c r="Q149" s="46">
        <f t="shared" si="38"/>
        <v>17515872</v>
      </c>
      <c r="R149" s="46">
        <f t="shared" si="30"/>
        <v>84379337</v>
      </c>
      <c r="S149" s="30">
        <f t="shared" si="37"/>
        <v>65806026</v>
      </c>
    </row>
    <row r="150" spans="1:20" hidden="1" x14ac:dyDescent="0.25">
      <c r="A150" s="28">
        <v>44104</v>
      </c>
      <c r="B150" s="30">
        <f t="shared" ref="B150:Q150" si="39">+B34+B92-B91</f>
        <v>2948480</v>
      </c>
      <c r="C150" s="46">
        <f t="shared" si="39"/>
        <v>0</v>
      </c>
      <c r="D150" s="30">
        <f t="shared" si="39"/>
        <v>620797</v>
      </c>
      <c r="E150" s="30">
        <f t="shared" si="39"/>
        <v>341767</v>
      </c>
      <c r="F150" s="46">
        <f t="shared" si="39"/>
        <v>643</v>
      </c>
      <c r="G150" s="30">
        <f t="shared" si="39"/>
        <v>2450387</v>
      </c>
      <c r="H150" s="30">
        <f t="shared" si="39"/>
        <v>933559</v>
      </c>
      <c r="I150" s="46">
        <f t="shared" si="39"/>
        <v>0</v>
      </c>
      <c r="J150" s="30">
        <f t="shared" si="39"/>
        <v>0</v>
      </c>
      <c r="K150" s="46">
        <f t="shared" si="39"/>
        <v>94559</v>
      </c>
      <c r="L150" s="46">
        <f t="shared" si="39"/>
        <v>34240639</v>
      </c>
      <c r="M150" s="46">
        <f t="shared" si="39"/>
        <v>14061705</v>
      </c>
      <c r="N150" s="30">
        <f t="shared" si="39"/>
        <v>12575104</v>
      </c>
      <c r="O150" s="30">
        <f t="shared" si="39"/>
        <v>5435910</v>
      </c>
      <c r="P150" s="30">
        <f t="shared" si="39"/>
        <v>0</v>
      </c>
      <c r="Q150" s="46">
        <f t="shared" si="39"/>
        <v>16862906</v>
      </c>
      <c r="R150" s="46">
        <f t="shared" si="30"/>
        <v>90566456</v>
      </c>
      <c r="S150" s="30">
        <f t="shared" si="37"/>
        <v>72675432</v>
      </c>
    </row>
    <row r="151" spans="1:20" hidden="1" x14ac:dyDescent="0.25">
      <c r="A151" s="28">
        <v>44135</v>
      </c>
      <c r="B151" s="30">
        <f t="shared" ref="B151:Q151" si="40">+B35+B93-B92</f>
        <v>4232461</v>
      </c>
      <c r="C151" s="46">
        <f t="shared" si="40"/>
        <v>0</v>
      </c>
      <c r="D151" s="30">
        <f t="shared" si="40"/>
        <v>1000739</v>
      </c>
      <c r="E151" s="30">
        <f t="shared" si="40"/>
        <v>374010</v>
      </c>
      <c r="F151" s="46">
        <f t="shared" si="40"/>
        <v>3290</v>
      </c>
      <c r="G151" s="30">
        <f t="shared" si="40"/>
        <v>3183599</v>
      </c>
      <c r="H151" s="30">
        <f t="shared" si="40"/>
        <v>506452</v>
      </c>
      <c r="I151" s="46">
        <f t="shared" si="40"/>
        <v>0</v>
      </c>
      <c r="J151" s="30">
        <f t="shared" si="40"/>
        <v>0</v>
      </c>
      <c r="K151" s="46">
        <f t="shared" si="40"/>
        <v>178840</v>
      </c>
      <c r="L151" s="46">
        <f t="shared" si="40"/>
        <v>36890125</v>
      </c>
      <c r="M151" s="46">
        <f t="shared" si="40"/>
        <v>9459059</v>
      </c>
      <c r="N151" s="30">
        <f t="shared" si="40"/>
        <v>8268305</v>
      </c>
      <c r="O151" s="30">
        <f t="shared" si="40"/>
        <v>1590604</v>
      </c>
      <c r="P151" s="30">
        <f t="shared" si="40"/>
        <v>0</v>
      </c>
      <c r="Q151" s="46">
        <f t="shared" si="40"/>
        <v>13938535</v>
      </c>
      <c r="R151" s="46">
        <f t="shared" si="30"/>
        <v>79626019</v>
      </c>
      <c r="S151" s="30">
        <f t="shared" si="37"/>
        <v>65002192</v>
      </c>
    </row>
    <row r="152" spans="1:20" hidden="1" x14ac:dyDescent="0.25">
      <c r="A152" s="28">
        <v>44165</v>
      </c>
      <c r="B152" s="30">
        <f t="shared" ref="B152:Q152" si="41">+B36-B93</f>
        <v>6886950</v>
      </c>
      <c r="C152" s="46">
        <f t="shared" si="41"/>
        <v>0</v>
      </c>
      <c r="D152" s="30">
        <f t="shared" si="41"/>
        <v>615235</v>
      </c>
      <c r="E152" s="30">
        <f t="shared" si="41"/>
        <v>224068</v>
      </c>
      <c r="F152" s="46">
        <f t="shared" si="41"/>
        <v>0</v>
      </c>
      <c r="G152" s="30">
        <f t="shared" si="41"/>
        <v>4428383</v>
      </c>
      <c r="H152" s="30">
        <f t="shared" si="41"/>
        <v>570674</v>
      </c>
      <c r="I152" s="46">
        <f t="shared" si="41"/>
        <v>0</v>
      </c>
      <c r="J152" s="30">
        <f t="shared" si="41"/>
        <v>0</v>
      </c>
      <c r="K152" s="46">
        <f t="shared" si="41"/>
        <v>0</v>
      </c>
      <c r="L152" s="46">
        <f t="shared" si="41"/>
        <v>-43037</v>
      </c>
      <c r="M152" s="46">
        <f t="shared" si="41"/>
        <v>0</v>
      </c>
      <c r="N152" s="30">
        <f t="shared" si="41"/>
        <v>0</v>
      </c>
      <c r="O152" s="30">
        <f t="shared" si="41"/>
        <v>0</v>
      </c>
      <c r="P152" s="30">
        <f t="shared" si="41"/>
        <v>0</v>
      </c>
      <c r="Q152" s="46">
        <f t="shared" si="41"/>
        <v>0</v>
      </c>
      <c r="R152" s="46">
        <f t="shared" si="30"/>
        <v>12682273</v>
      </c>
      <c r="S152" s="30">
        <f t="shared" si="37"/>
        <v>12111599</v>
      </c>
      <c r="T152" s="27" t="s">
        <v>56</v>
      </c>
    </row>
    <row r="153" spans="1:20" hidden="1" x14ac:dyDescent="0.25">
      <c r="A153" s="28">
        <v>44165</v>
      </c>
      <c r="B153" s="30">
        <f t="shared" ref="B153:Q153" si="42">+B37+B94</f>
        <v>3564962</v>
      </c>
      <c r="C153" s="46">
        <f t="shared" si="42"/>
        <v>0</v>
      </c>
      <c r="D153" s="30">
        <f t="shared" si="42"/>
        <v>255052</v>
      </c>
      <c r="E153" s="30">
        <f t="shared" si="42"/>
        <v>108414</v>
      </c>
      <c r="F153" s="46">
        <f t="shared" si="42"/>
        <v>5658</v>
      </c>
      <c r="G153" s="30">
        <f t="shared" si="42"/>
        <v>2059842</v>
      </c>
      <c r="H153" s="30">
        <f t="shared" si="42"/>
        <v>341335</v>
      </c>
      <c r="I153" s="46">
        <f t="shared" si="42"/>
        <v>0</v>
      </c>
      <c r="J153" s="30">
        <f t="shared" si="42"/>
        <v>0</v>
      </c>
      <c r="K153" s="46">
        <f t="shared" si="42"/>
        <v>220318</v>
      </c>
      <c r="L153" s="46">
        <f t="shared" si="42"/>
        <v>38203799</v>
      </c>
      <c r="M153" s="46">
        <f t="shared" si="42"/>
        <v>7516479</v>
      </c>
      <c r="N153" s="30">
        <f t="shared" si="42"/>
        <v>2419246</v>
      </c>
      <c r="O153" s="30">
        <f t="shared" si="42"/>
        <v>916410</v>
      </c>
      <c r="P153" s="30">
        <f t="shared" si="42"/>
        <v>0</v>
      </c>
      <c r="Q153" s="46">
        <f t="shared" si="42"/>
        <v>13316554</v>
      </c>
      <c r="R153" s="46">
        <f t="shared" ref="R153" si="43">SUM(B153:Q153)</f>
        <v>68928069</v>
      </c>
      <c r="S153" s="30">
        <f t="shared" ref="S153" si="44">+B153+F153+G153+C153+D153+E153+J153+L153+M153+N153+O153</f>
        <v>55049862</v>
      </c>
      <c r="T153" s="27" t="s">
        <v>57</v>
      </c>
    </row>
    <row r="154" spans="1:20" hidden="1" x14ac:dyDescent="0.25">
      <c r="A154" s="28">
        <v>44196</v>
      </c>
      <c r="B154" s="30">
        <f t="shared" ref="B154:Q154" si="45">+B38+B95-B94</f>
        <v>18475354</v>
      </c>
      <c r="C154" s="46">
        <f t="shared" si="45"/>
        <v>0</v>
      </c>
      <c r="D154" s="30">
        <f t="shared" si="45"/>
        <v>1356324</v>
      </c>
      <c r="E154" s="30">
        <f t="shared" si="45"/>
        <v>419977</v>
      </c>
      <c r="F154" s="46">
        <f t="shared" si="45"/>
        <v>7535</v>
      </c>
      <c r="G154" s="30">
        <f t="shared" si="45"/>
        <v>12051598</v>
      </c>
      <c r="H154" s="30">
        <f t="shared" si="45"/>
        <v>1502233</v>
      </c>
      <c r="I154" s="46">
        <f t="shared" si="45"/>
        <v>0</v>
      </c>
      <c r="J154" s="30">
        <f t="shared" si="45"/>
        <v>0</v>
      </c>
      <c r="K154" s="46">
        <f t="shared" si="45"/>
        <v>244469</v>
      </c>
      <c r="L154" s="46">
        <f t="shared" si="45"/>
        <v>37243979</v>
      </c>
      <c r="M154" s="46">
        <f t="shared" si="45"/>
        <v>13353201</v>
      </c>
      <c r="N154" s="30">
        <f t="shared" si="45"/>
        <v>9176642</v>
      </c>
      <c r="O154" s="30">
        <f t="shared" si="45"/>
        <v>764453</v>
      </c>
      <c r="P154" s="30">
        <f t="shared" si="45"/>
        <v>0</v>
      </c>
      <c r="Q154" s="46">
        <f t="shared" si="45"/>
        <v>15396753</v>
      </c>
      <c r="R154" s="46">
        <f t="shared" si="30"/>
        <v>109992518</v>
      </c>
      <c r="S154" s="30">
        <f t="shared" si="37"/>
        <v>92849063</v>
      </c>
    </row>
    <row r="155" spans="1:20" hidden="1" x14ac:dyDescent="0.25">
      <c r="A155" s="28">
        <v>44227</v>
      </c>
      <c r="B155" s="30">
        <f t="shared" ref="B155:Q155" si="46">+B39+B96-B95</f>
        <v>19685299</v>
      </c>
      <c r="C155" s="46">
        <f t="shared" si="46"/>
        <v>0</v>
      </c>
      <c r="D155" s="30">
        <f t="shared" si="46"/>
        <v>1264480</v>
      </c>
      <c r="E155" s="30">
        <f t="shared" si="46"/>
        <v>431368</v>
      </c>
      <c r="F155" s="46">
        <f t="shared" si="46"/>
        <v>12694</v>
      </c>
      <c r="G155" s="30">
        <f t="shared" si="46"/>
        <v>12849986</v>
      </c>
      <c r="H155" s="30">
        <f t="shared" si="46"/>
        <v>1460025</v>
      </c>
      <c r="I155" s="46">
        <f t="shared" si="46"/>
        <v>0</v>
      </c>
      <c r="J155" s="30">
        <f t="shared" si="46"/>
        <v>0</v>
      </c>
      <c r="K155" s="46">
        <f t="shared" si="46"/>
        <v>248648</v>
      </c>
      <c r="L155" s="46">
        <f t="shared" si="46"/>
        <v>39534451</v>
      </c>
      <c r="M155" s="46">
        <f t="shared" si="46"/>
        <v>12333204</v>
      </c>
      <c r="N155" s="30">
        <f t="shared" si="46"/>
        <v>5190781</v>
      </c>
      <c r="O155" s="30">
        <f t="shared" si="46"/>
        <v>252622</v>
      </c>
      <c r="P155" s="30">
        <f t="shared" si="46"/>
        <v>0</v>
      </c>
      <c r="Q155" s="46">
        <f t="shared" si="46"/>
        <v>13945929</v>
      </c>
      <c r="R155" s="46">
        <f t="shared" ref="R155:R164" si="47">SUM(B155:Q155)</f>
        <v>107209487</v>
      </c>
      <c r="S155" s="30">
        <f t="shared" ref="S155:S167" si="48">+B155+F155+G155+C155+D155+E155+J155+L155+M155+N155+O155</f>
        <v>91554885</v>
      </c>
    </row>
    <row r="156" spans="1:20" hidden="1" x14ac:dyDescent="0.25">
      <c r="A156" s="28">
        <v>44255</v>
      </c>
      <c r="B156" s="30">
        <f t="shared" ref="B156:Q156" si="49">+B40+B97-B96</f>
        <v>18599534</v>
      </c>
      <c r="C156" s="46">
        <f t="shared" si="49"/>
        <v>0</v>
      </c>
      <c r="D156" s="30">
        <f t="shared" si="49"/>
        <v>1226133</v>
      </c>
      <c r="E156" s="30">
        <f t="shared" si="49"/>
        <v>372501</v>
      </c>
      <c r="F156" s="46">
        <f t="shared" si="49"/>
        <v>7553</v>
      </c>
      <c r="G156" s="30">
        <f t="shared" si="49"/>
        <v>12050270</v>
      </c>
      <c r="H156" s="30">
        <f t="shared" si="49"/>
        <v>1413677</v>
      </c>
      <c r="I156" s="46">
        <f t="shared" si="49"/>
        <v>0</v>
      </c>
      <c r="J156" s="30">
        <f t="shared" si="49"/>
        <v>0</v>
      </c>
      <c r="K156" s="46">
        <f t="shared" si="49"/>
        <v>239855</v>
      </c>
      <c r="L156" s="46">
        <f t="shared" si="49"/>
        <v>36249518</v>
      </c>
      <c r="M156" s="46">
        <f t="shared" si="49"/>
        <v>10471909</v>
      </c>
      <c r="N156" s="30">
        <f t="shared" si="49"/>
        <v>5382227</v>
      </c>
      <c r="O156" s="30">
        <f t="shared" si="49"/>
        <v>982292</v>
      </c>
      <c r="P156" s="30">
        <f t="shared" si="49"/>
        <v>0</v>
      </c>
      <c r="Q156" s="46">
        <f t="shared" si="49"/>
        <v>14040754</v>
      </c>
      <c r="R156" s="46">
        <f t="shared" si="47"/>
        <v>101036223</v>
      </c>
      <c r="S156" s="30">
        <f t="shared" si="48"/>
        <v>85341937</v>
      </c>
    </row>
    <row r="157" spans="1:20" hidden="1" x14ac:dyDescent="0.25">
      <c r="A157" s="28">
        <v>44286</v>
      </c>
      <c r="B157" s="30">
        <f t="shared" ref="B157:Q157" si="50">+B41+B98-B97</f>
        <v>19676756</v>
      </c>
      <c r="C157" s="46">
        <f t="shared" si="50"/>
        <v>0</v>
      </c>
      <c r="D157" s="30">
        <f t="shared" si="50"/>
        <v>1362750</v>
      </c>
      <c r="E157" s="30">
        <f t="shared" si="50"/>
        <v>456093</v>
      </c>
      <c r="F157" s="46">
        <f t="shared" si="50"/>
        <v>3998</v>
      </c>
      <c r="G157" s="30">
        <f t="shared" si="50"/>
        <v>13158991</v>
      </c>
      <c r="H157" s="30">
        <f t="shared" si="50"/>
        <v>1484437</v>
      </c>
      <c r="I157" s="46">
        <f t="shared" si="50"/>
        <v>0</v>
      </c>
      <c r="J157" s="30">
        <f t="shared" si="50"/>
        <v>0</v>
      </c>
      <c r="K157" s="46">
        <f t="shared" si="50"/>
        <v>234583</v>
      </c>
      <c r="L157" s="46">
        <f t="shared" si="50"/>
        <v>38737982</v>
      </c>
      <c r="M157" s="46">
        <f t="shared" si="50"/>
        <v>15050505</v>
      </c>
      <c r="N157" s="30">
        <f t="shared" si="50"/>
        <v>10973891</v>
      </c>
      <c r="O157" s="30">
        <f t="shared" si="50"/>
        <v>2069033</v>
      </c>
      <c r="P157" s="30">
        <f t="shared" si="50"/>
        <v>0</v>
      </c>
      <c r="Q157" s="46">
        <f t="shared" si="50"/>
        <v>18544154</v>
      </c>
      <c r="R157" s="46">
        <f t="shared" si="47"/>
        <v>121753173</v>
      </c>
      <c r="S157" s="30">
        <f t="shared" si="48"/>
        <v>101489999</v>
      </c>
    </row>
    <row r="158" spans="1:20" hidden="1" x14ac:dyDescent="0.25">
      <c r="A158" s="28">
        <v>44316</v>
      </c>
      <c r="B158" s="30">
        <f t="shared" ref="B158:Q158" si="51">+B42+B99-B98</f>
        <v>13567783</v>
      </c>
      <c r="C158" s="46">
        <f t="shared" si="51"/>
        <v>0</v>
      </c>
      <c r="D158" s="30">
        <f t="shared" si="51"/>
        <v>1066951</v>
      </c>
      <c r="E158" s="30">
        <f t="shared" si="51"/>
        <v>426217</v>
      </c>
      <c r="F158" s="46">
        <f t="shared" si="51"/>
        <v>2200</v>
      </c>
      <c r="G158" s="30">
        <f t="shared" si="51"/>
        <v>9154067</v>
      </c>
      <c r="H158" s="30">
        <f t="shared" si="51"/>
        <v>1134637</v>
      </c>
      <c r="I158" s="46">
        <f t="shared" si="51"/>
        <v>0</v>
      </c>
      <c r="J158" s="30">
        <f t="shared" si="51"/>
        <v>0</v>
      </c>
      <c r="K158" s="46">
        <f t="shared" si="51"/>
        <v>180576</v>
      </c>
      <c r="L158" s="46">
        <f t="shared" si="51"/>
        <v>36210898</v>
      </c>
      <c r="M158" s="46">
        <f t="shared" si="51"/>
        <v>6562711</v>
      </c>
      <c r="N158" s="30">
        <f t="shared" si="51"/>
        <v>12896888</v>
      </c>
      <c r="O158" s="30">
        <f t="shared" si="51"/>
        <v>8378207</v>
      </c>
      <c r="P158" s="30">
        <f t="shared" si="51"/>
        <v>0</v>
      </c>
      <c r="Q158" s="46">
        <f t="shared" si="51"/>
        <v>13747305</v>
      </c>
      <c r="R158" s="46">
        <f t="shared" si="47"/>
        <v>103328440</v>
      </c>
      <c r="S158" s="30">
        <f t="shared" si="48"/>
        <v>88265922</v>
      </c>
    </row>
    <row r="159" spans="1:20" x14ac:dyDescent="0.25">
      <c r="A159" s="28">
        <v>44347</v>
      </c>
      <c r="B159" s="30">
        <f t="shared" ref="B159:Q159" si="52">+B43+B100-B99</f>
        <v>6623364</v>
      </c>
      <c r="C159" s="46">
        <f t="shared" si="52"/>
        <v>0</v>
      </c>
      <c r="D159" s="30">
        <f t="shared" si="52"/>
        <v>680086</v>
      </c>
      <c r="E159" s="30">
        <f t="shared" si="52"/>
        <v>286219</v>
      </c>
      <c r="F159" s="46">
        <f t="shared" si="52"/>
        <v>3602</v>
      </c>
      <c r="G159" s="30">
        <f t="shared" si="52"/>
        <v>4930955</v>
      </c>
      <c r="H159" s="30">
        <f t="shared" si="52"/>
        <v>641375</v>
      </c>
      <c r="I159" s="46">
        <f t="shared" si="52"/>
        <v>0</v>
      </c>
      <c r="J159" s="30">
        <f t="shared" si="52"/>
        <v>0</v>
      </c>
      <c r="K159" s="46">
        <f t="shared" si="52"/>
        <v>143789</v>
      </c>
      <c r="L159" s="46">
        <f t="shared" si="52"/>
        <v>34143279</v>
      </c>
      <c r="M159" s="46">
        <f t="shared" si="52"/>
        <v>364</v>
      </c>
      <c r="N159" s="30">
        <f t="shared" si="52"/>
        <v>5871337</v>
      </c>
      <c r="O159" s="30">
        <f t="shared" si="52"/>
        <v>2903752</v>
      </c>
      <c r="P159" s="30">
        <f t="shared" si="52"/>
        <v>0</v>
      </c>
      <c r="Q159" s="46">
        <f t="shared" si="52"/>
        <v>17521829</v>
      </c>
      <c r="R159" s="46">
        <f t="shared" si="47"/>
        <v>73749951</v>
      </c>
      <c r="S159" s="30">
        <f t="shared" si="48"/>
        <v>55442958</v>
      </c>
    </row>
    <row r="160" spans="1:20" x14ac:dyDescent="0.25">
      <c r="A160" s="28">
        <v>44377</v>
      </c>
      <c r="B160" s="30">
        <f t="shared" ref="B160:Q160" si="53">+B44+B101-B100</f>
        <v>5165480</v>
      </c>
      <c r="C160" s="46">
        <f t="shared" si="53"/>
        <v>0</v>
      </c>
      <c r="D160" s="30">
        <f t="shared" si="53"/>
        <v>585095</v>
      </c>
      <c r="E160" s="30">
        <f t="shared" si="53"/>
        <v>448138</v>
      </c>
      <c r="F160" s="46">
        <f t="shared" si="53"/>
        <v>1512</v>
      </c>
      <c r="G160" s="30">
        <f t="shared" si="53"/>
        <v>4017478</v>
      </c>
      <c r="H160" s="30">
        <f t="shared" si="53"/>
        <v>510200</v>
      </c>
      <c r="I160" s="46">
        <f t="shared" si="53"/>
        <v>0</v>
      </c>
      <c r="J160" s="30">
        <f t="shared" si="53"/>
        <v>0</v>
      </c>
      <c r="K160" s="46">
        <f t="shared" si="53"/>
        <v>104510</v>
      </c>
      <c r="L160" s="46">
        <f t="shared" si="53"/>
        <v>32699223</v>
      </c>
      <c r="M160" s="46">
        <f t="shared" si="53"/>
        <v>10580854</v>
      </c>
      <c r="N160" s="30">
        <f t="shared" si="53"/>
        <v>9297912</v>
      </c>
      <c r="O160" s="30">
        <f t="shared" si="53"/>
        <v>5368620</v>
      </c>
      <c r="P160" s="30">
        <f t="shared" si="53"/>
        <v>0</v>
      </c>
      <c r="Q160" s="46">
        <f t="shared" si="53"/>
        <v>17571659</v>
      </c>
      <c r="R160" s="46">
        <f t="shared" si="47"/>
        <v>86350681</v>
      </c>
      <c r="S160" s="30">
        <f t="shared" si="48"/>
        <v>68164312</v>
      </c>
    </row>
    <row r="161" spans="1:20" x14ac:dyDescent="0.25">
      <c r="A161" s="28">
        <v>44408</v>
      </c>
      <c r="B161" s="30">
        <f t="shared" ref="B161:Q161" si="54">+B45+B102-B101</f>
        <v>3043741</v>
      </c>
      <c r="C161" s="46">
        <f t="shared" si="54"/>
        <v>0</v>
      </c>
      <c r="D161" s="30">
        <f t="shared" si="54"/>
        <v>496382</v>
      </c>
      <c r="E161" s="30">
        <f t="shared" si="54"/>
        <v>260037</v>
      </c>
      <c r="F161" s="46">
        <f t="shared" si="54"/>
        <v>1203</v>
      </c>
      <c r="G161" s="30">
        <f t="shared" si="54"/>
        <v>2731524</v>
      </c>
      <c r="H161" s="30">
        <f t="shared" si="54"/>
        <v>333326</v>
      </c>
      <c r="I161" s="46">
        <f t="shared" si="54"/>
        <v>0</v>
      </c>
      <c r="J161" s="30">
        <f t="shared" si="54"/>
        <v>0</v>
      </c>
      <c r="K161" s="46">
        <f t="shared" si="54"/>
        <v>88811</v>
      </c>
      <c r="L161" s="46">
        <f t="shared" si="54"/>
        <v>29641199</v>
      </c>
      <c r="M161" s="46">
        <f t="shared" si="54"/>
        <v>14701743</v>
      </c>
      <c r="N161" s="30">
        <f t="shared" si="54"/>
        <v>12217042</v>
      </c>
      <c r="O161" s="30">
        <f t="shared" si="54"/>
        <v>8620267</v>
      </c>
      <c r="P161" s="30">
        <f t="shared" si="54"/>
        <v>0</v>
      </c>
      <c r="Q161" s="46">
        <f t="shared" si="54"/>
        <v>20305280</v>
      </c>
      <c r="R161" s="46">
        <f t="shared" si="47"/>
        <v>92440555</v>
      </c>
      <c r="S161" s="30">
        <f t="shared" si="48"/>
        <v>71713138</v>
      </c>
    </row>
    <row r="162" spans="1:20" x14ac:dyDescent="0.25">
      <c r="A162" s="28">
        <v>44439</v>
      </c>
      <c r="B162" s="30">
        <f t="shared" ref="B162:Q162" si="55">+B46+B103-B102</f>
        <v>2658664</v>
      </c>
      <c r="C162" s="46">
        <f t="shared" si="55"/>
        <v>0</v>
      </c>
      <c r="D162" s="30">
        <f t="shared" si="55"/>
        <v>465585</v>
      </c>
      <c r="E162" s="30">
        <f t="shared" si="55"/>
        <v>315534</v>
      </c>
      <c r="F162" s="46">
        <f t="shared" si="55"/>
        <v>1834</v>
      </c>
      <c r="G162" s="30">
        <f t="shared" si="55"/>
        <v>2572912</v>
      </c>
      <c r="H162" s="30">
        <f t="shared" si="55"/>
        <v>304207</v>
      </c>
      <c r="I162" s="46">
        <f t="shared" si="55"/>
        <v>0</v>
      </c>
      <c r="J162" s="30">
        <f t="shared" si="55"/>
        <v>0</v>
      </c>
      <c r="K162" s="46">
        <f t="shared" si="55"/>
        <v>103033</v>
      </c>
      <c r="L162" s="46">
        <f t="shared" si="55"/>
        <v>30352096</v>
      </c>
      <c r="M162" s="46">
        <f t="shared" si="55"/>
        <v>14849398</v>
      </c>
      <c r="N162" s="30">
        <f t="shared" si="55"/>
        <v>12371540</v>
      </c>
      <c r="O162" s="30">
        <f t="shared" si="55"/>
        <v>6769382</v>
      </c>
      <c r="P162" s="30">
        <f t="shared" si="55"/>
        <v>0</v>
      </c>
      <c r="Q162" s="46">
        <f t="shared" si="55"/>
        <v>22223899</v>
      </c>
      <c r="R162" s="46">
        <f t="shared" si="47"/>
        <v>92988084</v>
      </c>
      <c r="S162" s="30">
        <f t="shared" si="48"/>
        <v>70356945</v>
      </c>
    </row>
    <row r="163" spans="1:20" x14ac:dyDescent="0.25">
      <c r="A163" s="28">
        <v>44469</v>
      </c>
      <c r="B163" s="30">
        <f t="shared" ref="B163:Q163" si="56">+B47+B104-B103</f>
        <v>3024586</v>
      </c>
      <c r="C163" s="46">
        <f t="shared" si="56"/>
        <v>0</v>
      </c>
      <c r="D163" s="30">
        <f t="shared" si="56"/>
        <v>585259</v>
      </c>
      <c r="E163" s="30">
        <f t="shared" si="56"/>
        <v>292711</v>
      </c>
      <c r="F163" s="46">
        <f t="shared" si="56"/>
        <v>2215</v>
      </c>
      <c r="G163" s="30">
        <f t="shared" si="56"/>
        <v>2784423</v>
      </c>
      <c r="H163" s="30">
        <f t="shared" si="56"/>
        <v>323275</v>
      </c>
      <c r="I163" s="46">
        <f t="shared" si="56"/>
        <v>0</v>
      </c>
      <c r="J163" s="30">
        <f t="shared" si="56"/>
        <v>0</v>
      </c>
      <c r="K163" s="46">
        <f t="shared" si="56"/>
        <v>127498</v>
      </c>
      <c r="L163" s="46">
        <f t="shared" si="56"/>
        <v>32241556</v>
      </c>
      <c r="M163" s="46">
        <f t="shared" si="56"/>
        <v>13988315</v>
      </c>
      <c r="N163" s="30">
        <f t="shared" si="56"/>
        <v>13923327</v>
      </c>
      <c r="O163" s="30">
        <f t="shared" si="56"/>
        <v>4570873</v>
      </c>
      <c r="P163" s="30">
        <f t="shared" si="56"/>
        <v>0</v>
      </c>
      <c r="Q163" s="46">
        <f t="shared" si="56"/>
        <v>20545514</v>
      </c>
      <c r="R163" s="46">
        <f t="shared" si="47"/>
        <v>92409552</v>
      </c>
      <c r="S163" s="30">
        <f t="shared" si="48"/>
        <v>71413265</v>
      </c>
    </row>
    <row r="164" spans="1:20" x14ac:dyDescent="0.25">
      <c r="A164" s="28">
        <v>44500</v>
      </c>
      <c r="B164" s="30">
        <f t="shared" ref="B164:Q164" si="57">+B48+B105-B104</f>
        <v>5302722</v>
      </c>
      <c r="C164" s="46">
        <f t="shared" si="57"/>
        <v>0</v>
      </c>
      <c r="D164" s="30">
        <f t="shared" si="57"/>
        <v>1219426</v>
      </c>
      <c r="E164" s="30">
        <f t="shared" si="57"/>
        <v>334722</v>
      </c>
      <c r="F164" s="46">
        <f t="shared" si="57"/>
        <v>3066</v>
      </c>
      <c r="G164" s="30">
        <f t="shared" si="57"/>
        <v>3968867</v>
      </c>
      <c r="H164" s="30">
        <f t="shared" si="57"/>
        <v>529394</v>
      </c>
      <c r="I164" s="46">
        <f t="shared" si="57"/>
        <v>0</v>
      </c>
      <c r="J164" s="30">
        <f t="shared" si="57"/>
        <v>0</v>
      </c>
      <c r="K164" s="46">
        <f t="shared" si="57"/>
        <v>188282</v>
      </c>
      <c r="L164" s="46">
        <f t="shared" si="57"/>
        <v>36147853</v>
      </c>
      <c r="M164" s="46">
        <f t="shared" si="57"/>
        <v>10167896</v>
      </c>
      <c r="N164" s="30">
        <f t="shared" si="57"/>
        <v>10295353</v>
      </c>
      <c r="O164" s="30">
        <f t="shared" si="57"/>
        <v>4181139</v>
      </c>
      <c r="P164" s="30">
        <f t="shared" si="57"/>
        <v>0</v>
      </c>
      <c r="Q164" s="46">
        <f t="shared" si="57"/>
        <v>15732010</v>
      </c>
      <c r="R164" s="46">
        <f t="shared" si="47"/>
        <v>88070730</v>
      </c>
      <c r="S164" s="30">
        <f t="shared" si="48"/>
        <v>71621044</v>
      </c>
    </row>
    <row r="165" spans="1:20" x14ac:dyDescent="0.25">
      <c r="A165" s="28">
        <v>44530</v>
      </c>
      <c r="B165" s="30">
        <f>+B49-B105</f>
        <v>6875152</v>
      </c>
      <c r="C165" s="46">
        <f t="shared" ref="C165:R165" si="58">+C49-C105</f>
        <v>0</v>
      </c>
      <c r="D165" s="30">
        <f t="shared" si="58"/>
        <v>687044</v>
      </c>
      <c r="E165" s="30">
        <f t="shared" si="58"/>
        <v>274192</v>
      </c>
      <c r="F165" s="46">
        <f t="shared" si="58"/>
        <v>0</v>
      </c>
      <c r="G165" s="30">
        <f t="shared" si="58"/>
        <v>4648667</v>
      </c>
      <c r="H165" s="30">
        <f t="shared" si="58"/>
        <v>554223</v>
      </c>
      <c r="I165" s="46">
        <f t="shared" si="58"/>
        <v>0</v>
      </c>
      <c r="J165" s="30">
        <f t="shared" si="58"/>
        <v>0</v>
      </c>
      <c r="K165" s="46">
        <f t="shared" si="58"/>
        <v>0</v>
      </c>
      <c r="L165" s="46">
        <f t="shared" si="58"/>
        <v>0</v>
      </c>
      <c r="M165" s="46">
        <f t="shared" si="58"/>
        <v>0</v>
      </c>
      <c r="N165" s="30">
        <f t="shared" si="58"/>
        <v>0</v>
      </c>
      <c r="O165" s="30">
        <f t="shared" si="58"/>
        <v>305909</v>
      </c>
      <c r="P165" s="30">
        <f t="shared" si="58"/>
        <v>0</v>
      </c>
      <c r="Q165" s="46">
        <f t="shared" si="58"/>
        <v>0</v>
      </c>
      <c r="R165" s="46">
        <f t="shared" si="58"/>
        <v>13345187</v>
      </c>
      <c r="S165" s="30">
        <f t="shared" si="48"/>
        <v>12790964</v>
      </c>
      <c r="T165" s="27" t="s">
        <v>56</v>
      </c>
    </row>
    <row r="166" spans="1:20" x14ac:dyDescent="0.25">
      <c r="A166" s="28">
        <v>44530</v>
      </c>
      <c r="B166" s="30">
        <f>+B50+B106</f>
        <v>3055417</v>
      </c>
      <c r="C166" s="46">
        <f t="shared" ref="C166:R166" si="59">+C50+C106</f>
        <v>0</v>
      </c>
      <c r="D166" s="30">
        <f t="shared" si="59"/>
        <v>241794</v>
      </c>
      <c r="E166" s="30">
        <f t="shared" si="59"/>
        <v>98046</v>
      </c>
      <c r="F166" s="46">
        <f t="shared" si="59"/>
        <v>5052</v>
      </c>
      <c r="G166" s="30">
        <f t="shared" si="59"/>
        <v>1834948</v>
      </c>
      <c r="H166" s="30">
        <f t="shared" si="59"/>
        <v>314142</v>
      </c>
      <c r="I166" s="46">
        <f t="shared" si="59"/>
        <v>0</v>
      </c>
      <c r="J166" s="30">
        <f t="shared" si="59"/>
        <v>0</v>
      </c>
      <c r="K166" s="46">
        <f t="shared" si="59"/>
        <v>215369</v>
      </c>
      <c r="L166" s="46">
        <f t="shared" si="59"/>
        <v>34679208</v>
      </c>
      <c r="M166" s="46">
        <f t="shared" si="59"/>
        <v>13522374</v>
      </c>
      <c r="N166" s="30">
        <f t="shared" si="59"/>
        <v>7960245</v>
      </c>
      <c r="O166" s="30">
        <f t="shared" si="59"/>
        <v>449463</v>
      </c>
      <c r="P166" s="30">
        <f t="shared" si="59"/>
        <v>0</v>
      </c>
      <c r="Q166" s="46">
        <f t="shared" si="59"/>
        <v>15762994</v>
      </c>
      <c r="R166" s="46">
        <f t="shared" si="59"/>
        <v>78139052</v>
      </c>
      <c r="S166" s="30">
        <f t="shared" si="48"/>
        <v>61846547</v>
      </c>
      <c r="T166" s="27" t="s">
        <v>57</v>
      </c>
    </row>
    <row r="167" spans="1:20" x14ac:dyDescent="0.25">
      <c r="A167" s="28">
        <v>44561</v>
      </c>
      <c r="B167" s="30">
        <f>+B51+B107-B106</f>
        <v>16399782</v>
      </c>
      <c r="C167" s="46">
        <f t="shared" ref="C167:R177" si="60">+C51+C107-C106</f>
        <v>0</v>
      </c>
      <c r="D167" s="30">
        <f t="shared" si="60"/>
        <v>1371971</v>
      </c>
      <c r="E167" s="30">
        <f t="shared" si="60"/>
        <v>456838</v>
      </c>
      <c r="F167" s="46">
        <f t="shared" si="60"/>
        <v>14032</v>
      </c>
      <c r="G167" s="30">
        <f t="shared" si="60"/>
        <v>10769619</v>
      </c>
      <c r="H167" s="30">
        <f t="shared" si="60"/>
        <v>1248673</v>
      </c>
      <c r="I167" s="46">
        <f t="shared" si="60"/>
        <v>0</v>
      </c>
      <c r="J167" s="30">
        <f t="shared" si="60"/>
        <v>0</v>
      </c>
      <c r="K167" s="46">
        <f t="shared" si="60"/>
        <v>271190</v>
      </c>
      <c r="L167" s="46">
        <f t="shared" si="60"/>
        <v>33971503</v>
      </c>
      <c r="M167" s="46">
        <f t="shared" si="60"/>
        <v>10372937</v>
      </c>
      <c r="N167" s="30">
        <f t="shared" si="60"/>
        <v>8559438</v>
      </c>
      <c r="O167" s="30">
        <f t="shared" si="60"/>
        <v>490739</v>
      </c>
      <c r="P167" s="30">
        <f t="shared" si="60"/>
        <v>0</v>
      </c>
      <c r="Q167" s="46">
        <f t="shared" si="60"/>
        <v>20144479</v>
      </c>
      <c r="R167" s="46">
        <f t="shared" si="60"/>
        <v>104071201</v>
      </c>
      <c r="S167" s="30">
        <f t="shared" si="48"/>
        <v>82406859</v>
      </c>
    </row>
    <row r="168" spans="1:20" x14ac:dyDescent="0.25">
      <c r="A168" s="28">
        <v>44592</v>
      </c>
      <c r="B168" s="30">
        <f t="shared" ref="B168:Q177" si="61">+B52+B108-B107</f>
        <v>0</v>
      </c>
      <c r="C168" s="46">
        <f t="shared" si="61"/>
        <v>0</v>
      </c>
      <c r="D168" s="30">
        <f t="shared" si="61"/>
        <v>0</v>
      </c>
      <c r="E168" s="30">
        <f t="shared" si="61"/>
        <v>0</v>
      </c>
      <c r="F168" s="46">
        <f t="shared" si="61"/>
        <v>-14032</v>
      </c>
      <c r="G168" s="30">
        <f t="shared" si="61"/>
        <v>0</v>
      </c>
      <c r="H168" s="30">
        <f t="shared" si="61"/>
        <v>-101592</v>
      </c>
      <c r="I168" s="46">
        <f t="shared" si="61"/>
        <v>0</v>
      </c>
      <c r="J168" s="30">
        <f t="shared" si="61"/>
        <v>0</v>
      </c>
      <c r="K168" s="46">
        <f t="shared" si="61"/>
        <v>-271190</v>
      </c>
      <c r="L168" s="46">
        <f t="shared" si="61"/>
        <v>-33971503</v>
      </c>
      <c r="M168" s="46">
        <f t="shared" si="61"/>
        <v>-10372937</v>
      </c>
      <c r="N168" s="30">
        <f t="shared" si="61"/>
        <v>-8559438</v>
      </c>
      <c r="O168" s="30">
        <f t="shared" si="61"/>
        <v>-490739</v>
      </c>
      <c r="P168" s="30">
        <f t="shared" si="61"/>
        <v>0</v>
      </c>
      <c r="Q168" s="46">
        <f t="shared" si="61"/>
        <v>-20144479</v>
      </c>
      <c r="R168" s="46">
        <f t="shared" si="60"/>
        <v>-73925910</v>
      </c>
      <c r="S168" s="30">
        <f t="shared" ref="S168:S177" si="62">+B168+F168+G168+C168+D168+E168+J168+L168+M168+N168+O168</f>
        <v>-53408649</v>
      </c>
    </row>
    <row r="169" spans="1:20" x14ac:dyDescent="0.25">
      <c r="A169" s="28">
        <v>44620</v>
      </c>
      <c r="B169" s="30">
        <f t="shared" si="61"/>
        <v>0</v>
      </c>
      <c r="C169" s="46">
        <f t="shared" si="60"/>
        <v>0</v>
      </c>
      <c r="D169" s="30">
        <f t="shared" si="60"/>
        <v>0</v>
      </c>
      <c r="E169" s="30">
        <f t="shared" si="60"/>
        <v>0</v>
      </c>
      <c r="F169" s="46">
        <f t="shared" si="60"/>
        <v>0</v>
      </c>
      <c r="G169" s="30">
        <f t="shared" si="60"/>
        <v>0</v>
      </c>
      <c r="H169" s="30">
        <f t="shared" si="60"/>
        <v>0</v>
      </c>
      <c r="I169" s="46">
        <f t="shared" si="60"/>
        <v>0</v>
      </c>
      <c r="J169" s="30">
        <f t="shared" si="60"/>
        <v>0</v>
      </c>
      <c r="K169" s="46">
        <f t="shared" si="60"/>
        <v>0</v>
      </c>
      <c r="L169" s="46">
        <f t="shared" si="60"/>
        <v>0</v>
      </c>
      <c r="M169" s="46">
        <f t="shared" si="60"/>
        <v>0</v>
      </c>
      <c r="N169" s="30">
        <f t="shared" si="60"/>
        <v>0</v>
      </c>
      <c r="O169" s="30">
        <f t="shared" si="60"/>
        <v>0</v>
      </c>
      <c r="P169" s="30">
        <f t="shared" si="60"/>
        <v>0</v>
      </c>
      <c r="Q169" s="46">
        <f t="shared" si="60"/>
        <v>0</v>
      </c>
      <c r="R169" s="46">
        <f t="shared" si="60"/>
        <v>0</v>
      </c>
      <c r="S169" s="30">
        <f t="shared" si="62"/>
        <v>0</v>
      </c>
    </row>
    <row r="170" spans="1:20" x14ac:dyDescent="0.25">
      <c r="A170" s="28">
        <v>44651</v>
      </c>
      <c r="B170" s="30">
        <f t="shared" si="61"/>
        <v>0</v>
      </c>
      <c r="C170" s="46">
        <f t="shared" si="60"/>
        <v>0</v>
      </c>
      <c r="D170" s="30">
        <f t="shared" si="60"/>
        <v>0</v>
      </c>
      <c r="E170" s="30">
        <f t="shared" si="60"/>
        <v>0</v>
      </c>
      <c r="F170" s="46">
        <f t="shared" si="60"/>
        <v>0</v>
      </c>
      <c r="G170" s="30">
        <f t="shared" si="60"/>
        <v>0</v>
      </c>
      <c r="H170" s="30">
        <f t="shared" si="60"/>
        <v>0</v>
      </c>
      <c r="I170" s="46">
        <f t="shared" si="60"/>
        <v>0</v>
      </c>
      <c r="J170" s="30">
        <f t="shared" si="60"/>
        <v>0</v>
      </c>
      <c r="K170" s="46">
        <f t="shared" si="60"/>
        <v>0</v>
      </c>
      <c r="L170" s="46">
        <f t="shared" si="60"/>
        <v>0</v>
      </c>
      <c r="M170" s="46">
        <f t="shared" si="60"/>
        <v>0</v>
      </c>
      <c r="N170" s="30">
        <f t="shared" si="60"/>
        <v>0</v>
      </c>
      <c r="O170" s="30">
        <f t="shared" si="60"/>
        <v>0</v>
      </c>
      <c r="P170" s="30">
        <f t="shared" si="60"/>
        <v>0</v>
      </c>
      <c r="Q170" s="46">
        <f t="shared" si="60"/>
        <v>0</v>
      </c>
      <c r="R170" s="46">
        <f t="shared" si="60"/>
        <v>0</v>
      </c>
      <c r="S170" s="30">
        <f t="shared" si="62"/>
        <v>0</v>
      </c>
    </row>
    <row r="171" spans="1:20" x14ac:dyDescent="0.25">
      <c r="A171" s="28">
        <v>44681</v>
      </c>
      <c r="B171" s="30">
        <f t="shared" si="61"/>
        <v>0</v>
      </c>
      <c r="C171" s="46">
        <f t="shared" si="60"/>
        <v>0</v>
      </c>
      <c r="D171" s="30">
        <f t="shared" si="60"/>
        <v>0</v>
      </c>
      <c r="E171" s="30">
        <f t="shared" si="60"/>
        <v>0</v>
      </c>
      <c r="F171" s="46">
        <f t="shared" si="60"/>
        <v>0</v>
      </c>
      <c r="G171" s="30">
        <f t="shared" si="60"/>
        <v>0</v>
      </c>
      <c r="H171" s="30">
        <f t="shared" si="60"/>
        <v>0</v>
      </c>
      <c r="I171" s="46">
        <f t="shared" si="60"/>
        <v>0</v>
      </c>
      <c r="J171" s="30">
        <f t="shared" si="60"/>
        <v>0</v>
      </c>
      <c r="K171" s="46">
        <f t="shared" si="60"/>
        <v>0</v>
      </c>
      <c r="L171" s="46">
        <f t="shared" si="60"/>
        <v>0</v>
      </c>
      <c r="M171" s="46">
        <f t="shared" si="60"/>
        <v>0</v>
      </c>
      <c r="N171" s="30">
        <f t="shared" si="60"/>
        <v>0</v>
      </c>
      <c r="O171" s="30">
        <f t="shared" si="60"/>
        <v>0</v>
      </c>
      <c r="P171" s="30">
        <f t="shared" si="60"/>
        <v>0</v>
      </c>
      <c r="Q171" s="46">
        <f t="shared" si="60"/>
        <v>0</v>
      </c>
      <c r="R171" s="46">
        <f t="shared" si="60"/>
        <v>0</v>
      </c>
      <c r="S171" s="30">
        <f t="shared" si="62"/>
        <v>0</v>
      </c>
    </row>
    <row r="172" spans="1:20" hidden="1" x14ac:dyDescent="0.25">
      <c r="A172" s="28">
        <v>44712</v>
      </c>
      <c r="B172" s="30">
        <f t="shared" si="61"/>
        <v>0</v>
      </c>
      <c r="C172" s="46">
        <f t="shared" si="60"/>
        <v>0</v>
      </c>
      <c r="D172" s="30">
        <f t="shared" si="60"/>
        <v>0</v>
      </c>
      <c r="E172" s="30">
        <f t="shared" si="60"/>
        <v>0</v>
      </c>
      <c r="F172" s="46">
        <f t="shared" si="60"/>
        <v>0</v>
      </c>
      <c r="G172" s="30">
        <f t="shared" si="60"/>
        <v>0</v>
      </c>
      <c r="H172" s="30">
        <f t="shared" si="60"/>
        <v>0</v>
      </c>
      <c r="I172" s="46">
        <f t="shared" si="60"/>
        <v>0</v>
      </c>
      <c r="J172" s="30">
        <f t="shared" si="60"/>
        <v>0</v>
      </c>
      <c r="K172" s="46">
        <f t="shared" si="60"/>
        <v>0</v>
      </c>
      <c r="L172" s="46">
        <f t="shared" si="60"/>
        <v>0</v>
      </c>
      <c r="M172" s="46">
        <f t="shared" si="60"/>
        <v>0</v>
      </c>
      <c r="N172" s="30">
        <f t="shared" si="60"/>
        <v>0</v>
      </c>
      <c r="O172" s="30">
        <f t="shared" si="60"/>
        <v>0</v>
      </c>
      <c r="P172" s="30">
        <f t="shared" si="60"/>
        <v>0</v>
      </c>
      <c r="Q172" s="46">
        <f t="shared" si="60"/>
        <v>0</v>
      </c>
      <c r="R172" s="46">
        <f t="shared" si="60"/>
        <v>0</v>
      </c>
      <c r="S172" s="30">
        <f t="shared" si="62"/>
        <v>0</v>
      </c>
    </row>
    <row r="173" spans="1:20" hidden="1" x14ac:dyDescent="0.25">
      <c r="A173" s="28">
        <v>44742</v>
      </c>
      <c r="B173" s="30">
        <f t="shared" si="61"/>
        <v>0</v>
      </c>
      <c r="C173" s="46">
        <f t="shared" si="60"/>
        <v>0</v>
      </c>
      <c r="D173" s="30">
        <f t="shared" si="60"/>
        <v>0</v>
      </c>
      <c r="E173" s="30">
        <f t="shared" si="60"/>
        <v>0</v>
      </c>
      <c r="F173" s="46">
        <f t="shared" si="60"/>
        <v>0</v>
      </c>
      <c r="G173" s="30">
        <f t="shared" si="60"/>
        <v>0</v>
      </c>
      <c r="H173" s="30">
        <f t="shared" si="60"/>
        <v>0</v>
      </c>
      <c r="I173" s="46">
        <f t="shared" si="60"/>
        <v>0</v>
      </c>
      <c r="J173" s="30">
        <f t="shared" si="60"/>
        <v>0</v>
      </c>
      <c r="K173" s="46">
        <f t="shared" si="60"/>
        <v>0</v>
      </c>
      <c r="L173" s="46">
        <f t="shared" si="60"/>
        <v>0</v>
      </c>
      <c r="M173" s="46">
        <f t="shared" si="60"/>
        <v>0</v>
      </c>
      <c r="N173" s="30">
        <f t="shared" si="60"/>
        <v>0</v>
      </c>
      <c r="O173" s="30">
        <f t="shared" si="60"/>
        <v>0</v>
      </c>
      <c r="P173" s="30">
        <f t="shared" si="60"/>
        <v>0</v>
      </c>
      <c r="Q173" s="46">
        <f t="shared" si="60"/>
        <v>0</v>
      </c>
      <c r="R173" s="46">
        <f t="shared" si="60"/>
        <v>0</v>
      </c>
      <c r="S173" s="30">
        <f t="shared" si="62"/>
        <v>0</v>
      </c>
    </row>
    <row r="174" spans="1:20" hidden="1" x14ac:dyDescent="0.25">
      <c r="A174" s="28">
        <v>44773</v>
      </c>
      <c r="B174" s="30">
        <f t="shared" si="61"/>
        <v>0</v>
      </c>
      <c r="C174" s="46">
        <f t="shared" si="60"/>
        <v>0</v>
      </c>
      <c r="D174" s="30">
        <f t="shared" si="60"/>
        <v>0</v>
      </c>
      <c r="E174" s="30">
        <f t="shared" si="60"/>
        <v>0</v>
      </c>
      <c r="F174" s="46">
        <f t="shared" si="60"/>
        <v>0</v>
      </c>
      <c r="G174" s="30">
        <f t="shared" si="60"/>
        <v>0</v>
      </c>
      <c r="H174" s="30">
        <f t="shared" si="60"/>
        <v>0</v>
      </c>
      <c r="I174" s="46">
        <f t="shared" si="60"/>
        <v>0</v>
      </c>
      <c r="J174" s="30">
        <f t="shared" si="60"/>
        <v>0</v>
      </c>
      <c r="K174" s="46">
        <f t="shared" si="60"/>
        <v>0</v>
      </c>
      <c r="L174" s="46">
        <f t="shared" si="60"/>
        <v>0</v>
      </c>
      <c r="M174" s="46">
        <f t="shared" si="60"/>
        <v>0</v>
      </c>
      <c r="N174" s="30">
        <f t="shared" si="60"/>
        <v>0</v>
      </c>
      <c r="O174" s="30">
        <f t="shared" si="60"/>
        <v>0</v>
      </c>
      <c r="P174" s="30">
        <f t="shared" si="60"/>
        <v>0</v>
      </c>
      <c r="Q174" s="46">
        <f t="shared" si="60"/>
        <v>0</v>
      </c>
      <c r="R174" s="46">
        <f t="shared" si="60"/>
        <v>0</v>
      </c>
      <c r="S174" s="30">
        <f t="shared" si="62"/>
        <v>0</v>
      </c>
    </row>
    <row r="175" spans="1:20" hidden="1" x14ac:dyDescent="0.25">
      <c r="A175" s="28">
        <v>44804</v>
      </c>
      <c r="B175" s="30">
        <f t="shared" si="61"/>
        <v>0</v>
      </c>
      <c r="C175" s="46">
        <f t="shared" si="60"/>
        <v>0</v>
      </c>
      <c r="D175" s="30">
        <f t="shared" si="60"/>
        <v>0</v>
      </c>
      <c r="E175" s="30">
        <f t="shared" si="60"/>
        <v>0</v>
      </c>
      <c r="F175" s="46">
        <f t="shared" si="60"/>
        <v>0</v>
      </c>
      <c r="G175" s="30">
        <f t="shared" si="60"/>
        <v>0</v>
      </c>
      <c r="H175" s="30">
        <f t="shared" si="60"/>
        <v>0</v>
      </c>
      <c r="I175" s="46">
        <f t="shared" si="60"/>
        <v>0</v>
      </c>
      <c r="J175" s="30">
        <f t="shared" si="60"/>
        <v>0</v>
      </c>
      <c r="K175" s="46">
        <f t="shared" si="60"/>
        <v>0</v>
      </c>
      <c r="L175" s="46">
        <f t="shared" si="60"/>
        <v>0</v>
      </c>
      <c r="M175" s="46">
        <f t="shared" si="60"/>
        <v>0</v>
      </c>
      <c r="N175" s="30">
        <f t="shared" si="60"/>
        <v>0</v>
      </c>
      <c r="O175" s="30">
        <f t="shared" si="60"/>
        <v>0</v>
      </c>
      <c r="P175" s="30">
        <f t="shared" si="60"/>
        <v>0</v>
      </c>
      <c r="Q175" s="46">
        <f t="shared" si="60"/>
        <v>0</v>
      </c>
      <c r="R175" s="46">
        <f t="shared" si="60"/>
        <v>0</v>
      </c>
      <c r="S175" s="30">
        <f t="shared" si="62"/>
        <v>0</v>
      </c>
    </row>
    <row r="176" spans="1:20" hidden="1" x14ac:dyDescent="0.25">
      <c r="A176" s="28">
        <v>44834</v>
      </c>
      <c r="B176" s="30">
        <f t="shared" si="61"/>
        <v>0</v>
      </c>
      <c r="C176" s="46">
        <f t="shared" si="60"/>
        <v>0</v>
      </c>
      <c r="D176" s="30">
        <f t="shared" si="60"/>
        <v>0</v>
      </c>
      <c r="E176" s="30">
        <f t="shared" si="60"/>
        <v>0</v>
      </c>
      <c r="F176" s="46">
        <f t="shared" si="60"/>
        <v>0</v>
      </c>
      <c r="G176" s="30">
        <f t="shared" si="60"/>
        <v>0</v>
      </c>
      <c r="H176" s="30">
        <f t="shared" si="60"/>
        <v>0</v>
      </c>
      <c r="I176" s="46">
        <f t="shared" si="60"/>
        <v>0</v>
      </c>
      <c r="J176" s="30">
        <f t="shared" si="60"/>
        <v>0</v>
      </c>
      <c r="K176" s="46">
        <f t="shared" si="60"/>
        <v>0</v>
      </c>
      <c r="L176" s="46">
        <f t="shared" si="60"/>
        <v>0</v>
      </c>
      <c r="M176" s="46">
        <f t="shared" si="60"/>
        <v>0</v>
      </c>
      <c r="N176" s="30">
        <f t="shared" si="60"/>
        <v>0</v>
      </c>
      <c r="O176" s="30">
        <f t="shared" si="60"/>
        <v>0</v>
      </c>
      <c r="P176" s="30">
        <f t="shared" si="60"/>
        <v>0</v>
      </c>
      <c r="Q176" s="46">
        <f t="shared" si="60"/>
        <v>0</v>
      </c>
      <c r="R176" s="46">
        <f t="shared" si="60"/>
        <v>0</v>
      </c>
      <c r="S176" s="30">
        <f t="shared" si="62"/>
        <v>0</v>
      </c>
    </row>
    <row r="177" spans="1:19" hidden="1" x14ac:dyDescent="0.25">
      <c r="A177" s="28">
        <v>44865</v>
      </c>
      <c r="B177" s="30">
        <f t="shared" si="61"/>
        <v>0</v>
      </c>
      <c r="C177" s="46">
        <f t="shared" si="60"/>
        <v>0</v>
      </c>
      <c r="D177" s="30">
        <f t="shared" si="60"/>
        <v>0</v>
      </c>
      <c r="E177" s="30">
        <f t="shared" si="60"/>
        <v>0</v>
      </c>
      <c r="F177" s="46">
        <f t="shared" si="60"/>
        <v>0</v>
      </c>
      <c r="G177" s="30">
        <f t="shared" si="60"/>
        <v>0</v>
      </c>
      <c r="H177" s="30">
        <f t="shared" si="60"/>
        <v>0</v>
      </c>
      <c r="I177" s="46">
        <f t="shared" si="60"/>
        <v>0</v>
      </c>
      <c r="J177" s="30">
        <f t="shared" si="60"/>
        <v>0</v>
      </c>
      <c r="K177" s="46">
        <f t="shared" si="60"/>
        <v>0</v>
      </c>
      <c r="L177" s="46">
        <f t="shared" si="60"/>
        <v>0</v>
      </c>
      <c r="M177" s="46">
        <f t="shared" si="60"/>
        <v>0</v>
      </c>
      <c r="N177" s="30">
        <f t="shared" si="60"/>
        <v>0</v>
      </c>
      <c r="O177" s="30">
        <f t="shared" si="60"/>
        <v>0</v>
      </c>
      <c r="P177" s="30">
        <f t="shared" si="60"/>
        <v>0</v>
      </c>
      <c r="Q177" s="46">
        <f t="shared" si="60"/>
        <v>0</v>
      </c>
      <c r="R177" s="46">
        <f t="shared" si="60"/>
        <v>0</v>
      </c>
      <c r="S177" s="30">
        <f t="shared" si="62"/>
        <v>0</v>
      </c>
    </row>
    <row r="178" spans="1:19" x14ac:dyDescent="0.25">
      <c r="A178" s="28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</row>
    <row r="179" spans="1:19" x14ac:dyDescent="0.25">
      <c r="A179" s="28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</row>
    <row r="180" spans="1:19" x14ac:dyDescent="0.25">
      <c r="A180" s="28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</row>
    <row r="181" spans="1:19" x14ac:dyDescent="0.25">
      <c r="A181" s="28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</row>
    <row r="182" spans="1:19" x14ac:dyDescent="0.25">
      <c r="A182" s="28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</row>
    <row r="183" spans="1:19" x14ac:dyDescent="0.25">
      <c r="A183" s="28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</row>
    <row r="184" spans="1:19" x14ac:dyDescent="0.25">
      <c r="A184" s="28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</row>
    <row r="185" spans="1:19" x14ac:dyDescent="0.25">
      <c r="A185" s="28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</row>
    <row r="186" spans="1:19" x14ac:dyDescent="0.25">
      <c r="A186" s="28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</row>
    <row r="187" spans="1:19" x14ac:dyDescent="0.25">
      <c r="A187" s="28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</row>
    <row r="188" spans="1:19" x14ac:dyDescent="0.25">
      <c r="A188" s="28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</row>
    <row r="189" spans="1:19" x14ac:dyDescent="0.25">
      <c r="A189" s="28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</row>
    <row r="190" spans="1:19" x14ac:dyDescent="0.25">
      <c r="A190" s="28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</row>
    <row r="191" spans="1:19" x14ac:dyDescent="0.25">
      <c r="A191" s="28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</row>
    <row r="192" spans="1:19" x14ac:dyDescent="0.25">
      <c r="A192" s="28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</row>
    <row r="193" spans="1:19" x14ac:dyDescent="0.25">
      <c r="A193" s="28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</row>
    <row r="194" spans="1:19" x14ac:dyDescent="0.25">
      <c r="A194" s="28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</row>
    <row r="195" spans="1:19" x14ac:dyDescent="0.25">
      <c r="A195" s="28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</row>
    <row r="196" spans="1:19" ht="15" hidden="1" customHeight="1" x14ac:dyDescent="0.25">
      <c r="A196" s="28"/>
      <c r="B196" s="114" t="s">
        <v>51</v>
      </c>
      <c r="C196" s="114"/>
      <c r="D196" s="114"/>
      <c r="E196" s="114"/>
      <c r="F196" s="114"/>
      <c r="G196" s="114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</row>
    <row r="197" spans="1:19" ht="15" hidden="1" customHeight="1" x14ac:dyDescent="0.25">
      <c r="A197" s="28"/>
      <c r="B197" s="30"/>
      <c r="C197" s="30"/>
      <c r="D197" s="85" t="s">
        <v>52</v>
      </c>
      <c r="E197" s="85" t="s">
        <v>53</v>
      </c>
      <c r="G197" s="85" t="s">
        <v>3</v>
      </c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3"/>
    </row>
    <row r="198" spans="1:19" ht="15" hidden="1" customHeight="1" x14ac:dyDescent="0.25">
      <c r="D198" s="37" t="s">
        <v>5</v>
      </c>
      <c r="E198" s="37" t="s">
        <v>5</v>
      </c>
      <c r="G198" s="37" t="s">
        <v>5</v>
      </c>
    </row>
    <row r="199" spans="1:19" ht="15" hidden="1" customHeight="1" x14ac:dyDescent="0.25">
      <c r="B199" s="44">
        <v>4800</v>
      </c>
      <c r="C199" s="42">
        <v>503</v>
      </c>
      <c r="D199" s="30">
        <f>566+1717648</f>
        <v>1718214</v>
      </c>
      <c r="E199" s="41">
        <v>996895</v>
      </c>
      <c r="G199" s="30">
        <f t="shared" ref="G199:G205" si="63">+D199+E199</f>
        <v>2715109</v>
      </c>
    </row>
    <row r="200" spans="1:19" ht="15" hidden="1" customHeight="1" x14ac:dyDescent="0.25">
      <c r="B200" s="44">
        <v>4809</v>
      </c>
      <c r="C200" s="42">
        <v>505</v>
      </c>
      <c r="D200" s="30">
        <v>383509</v>
      </c>
      <c r="E200" s="41">
        <v>160070</v>
      </c>
      <c r="G200" s="30">
        <f t="shared" si="63"/>
        <v>543579</v>
      </c>
      <c r="I200" s="43" t="s">
        <v>54</v>
      </c>
      <c r="J200" s="43"/>
      <c r="K200" s="43"/>
      <c r="L200" s="43"/>
      <c r="M200" s="43"/>
      <c r="N200" s="43"/>
    </row>
    <row r="201" spans="1:19" ht="15" hidden="1" customHeight="1" x14ac:dyDescent="0.25">
      <c r="B201" s="44">
        <v>4809</v>
      </c>
      <c r="C201" s="42">
        <v>511</v>
      </c>
      <c r="D201" s="30">
        <v>168651</v>
      </c>
      <c r="E201" s="41">
        <v>88492</v>
      </c>
      <c r="G201" s="30">
        <f t="shared" si="63"/>
        <v>257143</v>
      </c>
      <c r="I201" s="53" t="s">
        <v>61</v>
      </c>
      <c r="J201" s="53"/>
      <c r="K201" s="53"/>
      <c r="L201" s="53"/>
      <c r="M201" s="53"/>
      <c r="N201" s="53"/>
    </row>
    <row r="202" spans="1:19" ht="15" hidden="1" customHeight="1" x14ac:dyDescent="0.25">
      <c r="B202" s="44">
        <v>4810</v>
      </c>
      <c r="C202" s="42">
        <v>504</v>
      </c>
      <c r="D202" s="30">
        <f>1815568-124</f>
        <v>1815444</v>
      </c>
      <c r="E202" s="41">
        <v>986030</v>
      </c>
      <c r="G202" s="30">
        <f t="shared" si="63"/>
        <v>2801474</v>
      </c>
    </row>
    <row r="203" spans="1:19" ht="15" hidden="1" customHeight="1" x14ac:dyDescent="0.25">
      <c r="B203" s="44">
        <v>4810</v>
      </c>
      <c r="C203" s="42">
        <v>511</v>
      </c>
      <c r="D203" s="30">
        <v>258610</v>
      </c>
      <c r="E203" s="41">
        <v>137321</v>
      </c>
      <c r="G203" s="30">
        <f t="shared" si="63"/>
        <v>395931</v>
      </c>
    </row>
    <row r="204" spans="1:19" ht="15" hidden="1" customHeight="1" x14ac:dyDescent="0.25">
      <c r="B204" s="44">
        <v>4810</v>
      </c>
      <c r="C204" s="84" t="s">
        <v>30</v>
      </c>
      <c r="D204" s="30">
        <v>124</v>
      </c>
      <c r="E204" s="41">
        <v>0</v>
      </c>
      <c r="G204" s="30">
        <f t="shared" si="63"/>
        <v>124</v>
      </c>
    </row>
    <row r="205" spans="1:19" ht="15" hidden="1" customHeight="1" x14ac:dyDescent="0.25">
      <c r="B205" s="44">
        <v>4813</v>
      </c>
      <c r="C205" s="42">
        <v>570</v>
      </c>
      <c r="D205" s="30">
        <v>8245</v>
      </c>
      <c r="E205" s="41">
        <v>111904</v>
      </c>
      <c r="G205" s="30">
        <f t="shared" si="63"/>
        <v>120149</v>
      </c>
    </row>
  </sheetData>
  <sortState xmlns:xlrd2="http://schemas.microsoft.com/office/spreadsheetml/2017/richdata2" ref="B134:I140">
    <sortCondition ref="B134:B140"/>
    <sortCondition ref="C134:C140"/>
  </sortState>
  <mergeCells count="18">
    <mergeCell ref="B64:S64"/>
    <mergeCell ref="B120:S120"/>
    <mergeCell ref="C65:E65"/>
    <mergeCell ref="F65:H65"/>
    <mergeCell ref="I65:J65"/>
    <mergeCell ref="M65:O65"/>
    <mergeCell ref="C121:E121"/>
    <mergeCell ref="F121:H121"/>
    <mergeCell ref="I121:J121"/>
    <mergeCell ref="M121:O121"/>
    <mergeCell ref="B196:G196"/>
    <mergeCell ref="M5:O5"/>
    <mergeCell ref="A1:E1"/>
    <mergeCell ref="A2:E2"/>
    <mergeCell ref="F5:H5"/>
    <mergeCell ref="C5:E5"/>
    <mergeCell ref="I5:J5"/>
    <mergeCell ref="B4:S4"/>
  </mergeCells>
  <printOptions horizontalCentered="1"/>
  <pageMargins left="0.25" right="0.25" top="0.75" bottom="0.75" header="0.3" footer="0.3"/>
  <pageSetup scale="66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6">
    <tabColor theme="5" tint="-0.249977111117893"/>
  </sheetPr>
  <dimension ref="A1"/>
  <sheetViews>
    <sheetView topLeftCell="B4" zoomScale="75" workbookViewId="0">
      <selection activeCell="J20" sqref="J20"/>
    </sheetView>
  </sheetViews>
  <sheetFormatPr defaultRowHeight="15.75" x14ac:dyDescent="0.2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4"/>
  <sheetViews>
    <sheetView tabSelected="1" view="pageBreakPreview" zoomScaleNormal="100" zoomScaleSheetLayoutView="100" workbookViewId="0">
      <selection activeCell="P10" sqref="P10"/>
    </sheetView>
  </sheetViews>
  <sheetFormatPr defaultColWidth="8.88671875" defaultRowHeight="12.75" outlineLevelCol="1" x14ac:dyDescent="0.2"/>
  <cols>
    <col min="1" max="2" width="8.88671875" style="1"/>
    <col min="3" max="3" width="10.109375" style="1" customWidth="1"/>
    <col min="4" max="4" width="8.88671875" style="1"/>
    <col min="5" max="5" width="10.21875" style="1" customWidth="1"/>
    <col min="6" max="6" width="8.88671875" style="1"/>
    <col min="7" max="7" width="13.109375" style="1" customWidth="1"/>
    <col min="8" max="8" width="11.6640625" style="1" customWidth="1"/>
    <col min="9" max="9" width="1.21875" style="1" customWidth="1"/>
    <col min="10" max="10" width="11" style="1" hidden="1" customWidth="1" outlineLevel="1"/>
    <col min="11" max="11" width="10.21875" style="1" hidden="1" customWidth="1" outlineLevel="1"/>
    <col min="12" max="12" width="9" style="15" hidden="1" customWidth="1" outlineLevel="1"/>
    <col min="13" max="13" width="10.33203125" style="15" hidden="1" customWidth="1" outlineLevel="1"/>
    <col min="14" max="14" width="3.44140625" style="1" customWidth="1" collapsed="1"/>
    <col min="15" max="15" width="8.88671875" style="1"/>
    <col min="16" max="16" width="9.21875" style="1" bestFit="1" customWidth="1"/>
    <col min="17" max="17" width="9.6640625" style="1" bestFit="1" customWidth="1"/>
    <col min="18" max="16384" width="8.88671875" style="1"/>
  </cols>
  <sheetData>
    <row r="1" spans="1:16" x14ac:dyDescent="0.2">
      <c r="A1" s="126" t="s">
        <v>6</v>
      </c>
      <c r="B1" s="127"/>
      <c r="C1" s="128" t="s">
        <v>7</v>
      </c>
      <c r="D1" s="128"/>
      <c r="E1" s="128"/>
      <c r="F1" s="128"/>
      <c r="G1" s="128"/>
      <c r="H1" s="129"/>
      <c r="I1" s="79"/>
      <c r="J1" s="16"/>
    </row>
    <row r="2" spans="1:16" x14ac:dyDescent="0.2">
      <c r="A2" s="122" t="s">
        <v>8</v>
      </c>
      <c r="B2" s="123"/>
      <c r="C2" s="124" t="s">
        <v>34</v>
      </c>
      <c r="D2" s="124"/>
      <c r="E2" s="124"/>
      <c r="F2" s="124"/>
      <c r="G2" s="124"/>
      <c r="H2" s="125"/>
      <c r="I2" s="79"/>
      <c r="J2" s="16"/>
    </row>
    <row r="3" spans="1:16" x14ac:dyDescent="0.2">
      <c r="A3" s="122" t="s">
        <v>9</v>
      </c>
      <c r="B3" s="123"/>
      <c r="C3" s="124" t="s">
        <v>33</v>
      </c>
      <c r="D3" s="124"/>
      <c r="E3" s="124"/>
      <c r="F3" s="124"/>
      <c r="G3" s="124"/>
      <c r="H3" s="125"/>
      <c r="I3" s="79"/>
      <c r="J3" s="16"/>
    </row>
    <row r="4" spans="1:16" x14ac:dyDescent="0.2">
      <c r="A4" s="122" t="s">
        <v>10</v>
      </c>
      <c r="B4" s="123"/>
      <c r="C4" s="124"/>
      <c r="D4" s="124"/>
      <c r="E4" s="124"/>
      <c r="F4" s="124"/>
      <c r="G4" s="124"/>
      <c r="H4" s="125"/>
      <c r="I4" s="79"/>
      <c r="J4" s="16"/>
    </row>
    <row r="5" spans="1:16" x14ac:dyDescent="0.2">
      <c r="A5" s="122" t="s">
        <v>11</v>
      </c>
      <c r="B5" s="123"/>
      <c r="C5" s="124" t="s">
        <v>18</v>
      </c>
      <c r="D5" s="124"/>
      <c r="E5" s="124"/>
      <c r="F5" s="124"/>
      <c r="G5" s="124"/>
      <c r="H5" s="125"/>
      <c r="I5" s="79"/>
      <c r="J5" s="16"/>
    </row>
    <row r="6" spans="1:16" x14ac:dyDescent="0.2">
      <c r="A6" s="122" t="s">
        <v>12</v>
      </c>
      <c r="B6" s="123"/>
      <c r="C6" s="124" t="s">
        <v>72</v>
      </c>
      <c r="D6" s="124"/>
      <c r="E6" s="124"/>
      <c r="F6" s="124"/>
      <c r="G6" s="124"/>
      <c r="H6" s="125"/>
      <c r="I6" s="79"/>
      <c r="J6" s="16"/>
    </row>
    <row r="7" spans="1:16" ht="13.5" thickBot="1" x14ac:dyDescent="0.25">
      <c r="A7" s="116" t="s">
        <v>13</v>
      </c>
      <c r="B7" s="117"/>
      <c r="C7" s="118" t="s">
        <v>35</v>
      </c>
      <c r="D7" s="118"/>
      <c r="E7" s="118"/>
      <c r="F7" s="118"/>
      <c r="G7" s="118"/>
      <c r="H7" s="119"/>
      <c r="I7" s="80"/>
      <c r="J7" s="19"/>
    </row>
    <row r="8" spans="1:16" x14ac:dyDescent="0.2">
      <c r="A8" s="23"/>
      <c r="B8" s="23"/>
      <c r="C8" s="24"/>
      <c r="D8" s="24"/>
      <c r="E8" s="24"/>
      <c r="F8" s="24"/>
      <c r="G8" s="24"/>
      <c r="H8" s="24"/>
      <c r="I8" s="24"/>
      <c r="K8" s="25"/>
    </row>
    <row r="9" spans="1:16" x14ac:dyDescent="0.2">
      <c r="A9" s="2"/>
      <c r="D9" s="120" t="s">
        <v>19</v>
      </c>
      <c r="E9" s="120"/>
      <c r="F9" s="120"/>
    </row>
    <row r="10" spans="1:16" s="57" customFormat="1" ht="39" customHeight="1" x14ac:dyDescent="0.2">
      <c r="A10" s="3" t="s">
        <v>20</v>
      </c>
      <c r="B10" s="3" t="s">
        <v>4</v>
      </c>
      <c r="C10" s="3" t="s">
        <v>5</v>
      </c>
      <c r="D10" s="3" t="s">
        <v>14</v>
      </c>
      <c r="E10" s="3" t="s">
        <v>15</v>
      </c>
      <c r="F10" s="3" t="s">
        <v>2</v>
      </c>
      <c r="G10" s="3" t="s">
        <v>0</v>
      </c>
      <c r="H10" s="3" t="s">
        <v>1</v>
      </c>
      <c r="I10" s="81"/>
      <c r="J10" s="3" t="s">
        <v>21</v>
      </c>
      <c r="K10" s="3" t="s">
        <v>22</v>
      </c>
      <c r="L10" s="13" t="s">
        <v>16</v>
      </c>
      <c r="M10" s="13" t="s">
        <v>17</v>
      </c>
      <c r="O10" s="57" t="s">
        <v>15</v>
      </c>
      <c r="P10" s="57" t="s">
        <v>75</v>
      </c>
    </row>
    <row r="11" spans="1:16" x14ac:dyDescent="0.2">
      <c r="A11" s="20"/>
      <c r="B11" s="20"/>
      <c r="C11" s="20"/>
      <c r="D11" s="20"/>
      <c r="E11" s="20"/>
      <c r="F11" s="20"/>
      <c r="G11" s="20"/>
      <c r="H11" s="18"/>
      <c r="I11" s="82"/>
      <c r="J11" s="19"/>
    </row>
    <row r="12" spans="1:16" x14ac:dyDescent="0.2">
      <c r="A12" s="121" t="s">
        <v>39</v>
      </c>
      <c r="B12" s="121"/>
      <c r="C12" s="121"/>
      <c r="D12" s="121"/>
      <c r="E12" s="121"/>
      <c r="F12" s="121"/>
      <c r="G12" s="18">
        <v>-801265.87</v>
      </c>
      <c r="H12" s="18"/>
      <c r="I12" s="82"/>
      <c r="J12" s="26"/>
      <c r="K12" s="14"/>
    </row>
    <row r="13" spans="1:16" x14ac:dyDescent="0.2">
      <c r="A13" s="121"/>
      <c r="B13" s="121"/>
      <c r="C13" s="121"/>
      <c r="D13" s="121"/>
      <c r="E13" s="121"/>
      <c r="F13" s="121"/>
      <c r="G13" s="18"/>
      <c r="H13" s="18">
        <f>SUM(G12:G12)</f>
        <v>-801265.87</v>
      </c>
      <c r="I13" s="82"/>
      <c r="J13" s="19"/>
    </row>
    <row r="14" spans="1:16" x14ac:dyDescent="0.2">
      <c r="A14" s="17">
        <v>43343</v>
      </c>
      <c r="B14" s="32" t="s">
        <v>32</v>
      </c>
      <c r="C14" s="31">
        <f>+'Protected EDIT Base'!R4</f>
        <v>61836631</v>
      </c>
      <c r="D14" s="14">
        <f>19635.9-111661.42</f>
        <v>-92025.51999999999</v>
      </c>
      <c r="E14" s="18">
        <f>+'Protected EDIT Base'!R116</f>
        <v>34981.630000000005</v>
      </c>
      <c r="F14" s="18">
        <v>0</v>
      </c>
      <c r="G14" s="18"/>
      <c r="H14" s="18">
        <f>SUM(D14:G14)+H13</f>
        <v>-858309.76</v>
      </c>
      <c r="I14" s="82"/>
      <c r="J14" s="26">
        <v>-858309.76</v>
      </c>
      <c r="K14" s="1">
        <f>J14-H14</f>
        <v>0</v>
      </c>
      <c r="L14" s="15" t="s">
        <v>55</v>
      </c>
      <c r="M14" s="76">
        <v>43364</v>
      </c>
      <c r="O14" s="1">
        <f>+E14</f>
        <v>34981.630000000005</v>
      </c>
    </row>
    <row r="15" spans="1:16" x14ac:dyDescent="0.2">
      <c r="A15" s="17">
        <v>43373</v>
      </c>
      <c r="B15" s="32" t="s">
        <v>32</v>
      </c>
      <c r="C15" s="31">
        <f>+'Protected EDIT Base'!R5</f>
        <v>69221884</v>
      </c>
      <c r="D15" s="14">
        <v>-111661.43</v>
      </c>
      <c r="E15" s="18">
        <f>+'Protected EDIT Base'!R117</f>
        <v>53753.709999999992</v>
      </c>
      <c r="F15" s="18">
        <v>0</v>
      </c>
      <c r="G15" s="18"/>
      <c r="H15" s="18">
        <f t="shared" ref="H15:H26" si="0">SUM(D15:G15)+H14</f>
        <v>-916217.48</v>
      </c>
      <c r="I15" s="82"/>
      <c r="J15" s="26">
        <v>-916217.48</v>
      </c>
      <c r="K15" s="14">
        <f>J15-H15</f>
        <v>0</v>
      </c>
      <c r="L15" s="15" t="s">
        <v>55</v>
      </c>
      <c r="M15" s="76">
        <v>43381</v>
      </c>
      <c r="O15" s="1">
        <f t="shared" ref="O15:O54" si="1">+E15</f>
        <v>53753.709999999992</v>
      </c>
    </row>
    <row r="16" spans="1:16" x14ac:dyDescent="0.2">
      <c r="A16" s="17">
        <v>43404</v>
      </c>
      <c r="B16" s="32" t="s">
        <v>32</v>
      </c>
      <c r="C16" s="31">
        <f>+'Protected EDIT Base'!R6</f>
        <v>58118580</v>
      </c>
      <c r="D16" s="26">
        <v>-111661.42</v>
      </c>
      <c r="E16" s="18">
        <f>+'Protected EDIT Base'!R118</f>
        <v>66520.710000000006</v>
      </c>
      <c r="F16" s="18">
        <v>0</v>
      </c>
      <c r="G16" s="19"/>
      <c r="H16" s="21">
        <f t="shared" si="0"/>
        <v>-961358.19</v>
      </c>
      <c r="I16" s="83"/>
      <c r="J16" s="26">
        <v>-961358.19</v>
      </c>
      <c r="K16" s="14">
        <f t="shared" ref="K16:K26" si="2">J16-H16</f>
        <v>0</v>
      </c>
      <c r="L16" s="15" t="s">
        <v>55</v>
      </c>
      <c r="M16" s="76">
        <v>43411</v>
      </c>
      <c r="O16" s="1">
        <f t="shared" si="1"/>
        <v>66520.710000000006</v>
      </c>
    </row>
    <row r="17" spans="1:18" x14ac:dyDescent="0.2">
      <c r="A17" s="17">
        <v>43434</v>
      </c>
      <c r="B17" s="32" t="s">
        <v>60</v>
      </c>
      <c r="C17" s="31">
        <f>+'Protected EDIT Base'!R8+'Protected EDIT Base'!R7</f>
        <v>43389765</v>
      </c>
      <c r="D17" s="26">
        <v>-111661.43</v>
      </c>
      <c r="E17" s="18">
        <f>+'Protected EDIT Base'!R120+'Protected EDIT Base'!R119</f>
        <v>86514.12</v>
      </c>
      <c r="F17" s="18">
        <v>0</v>
      </c>
      <c r="G17" s="19"/>
      <c r="H17" s="21">
        <f t="shared" si="0"/>
        <v>-986505.5</v>
      </c>
      <c r="I17" s="83"/>
      <c r="J17" s="1">
        <v>-986505.5</v>
      </c>
      <c r="K17" s="14">
        <f t="shared" si="2"/>
        <v>0</v>
      </c>
      <c r="L17" s="15" t="s">
        <v>55</v>
      </c>
      <c r="M17" s="76">
        <v>43444</v>
      </c>
      <c r="O17" s="1">
        <f t="shared" si="1"/>
        <v>86514.12</v>
      </c>
    </row>
    <row r="18" spans="1:18" x14ac:dyDescent="0.2">
      <c r="A18" s="17">
        <v>43465</v>
      </c>
      <c r="B18" s="32" t="s">
        <v>32</v>
      </c>
      <c r="C18" s="31">
        <f>+'Protected EDIT Base'!R9</f>
        <v>80158637</v>
      </c>
      <c r="D18" s="26">
        <v>-184967.18</v>
      </c>
      <c r="E18" s="18">
        <f>+'Protected EDIT Base'!R121</f>
        <v>170724.37999999998</v>
      </c>
      <c r="F18" s="18">
        <v>0</v>
      </c>
      <c r="G18" s="19"/>
      <c r="H18" s="21">
        <f t="shared" si="0"/>
        <v>-1000748.3</v>
      </c>
      <c r="I18" s="83"/>
      <c r="J18" s="1">
        <v>-1000748.3</v>
      </c>
      <c r="K18" s="14">
        <f t="shared" si="2"/>
        <v>0</v>
      </c>
      <c r="L18" s="15" t="s">
        <v>55</v>
      </c>
      <c r="M18" s="76">
        <v>43482</v>
      </c>
      <c r="O18" s="1">
        <f t="shared" si="1"/>
        <v>170724.37999999998</v>
      </c>
      <c r="P18" s="1">
        <f>SUM(O14:O18)</f>
        <v>412494.54999999993</v>
      </c>
      <c r="R18" s="102"/>
    </row>
    <row r="19" spans="1:18" x14ac:dyDescent="0.2">
      <c r="A19" s="17">
        <v>43496</v>
      </c>
      <c r="B19" s="32" t="s">
        <v>32</v>
      </c>
      <c r="C19" s="31">
        <f>+'Protected EDIT Base'!R10</f>
        <v>86264908</v>
      </c>
      <c r="D19" s="26">
        <v>-126096.29</v>
      </c>
      <c r="E19" s="18">
        <f>+'Protected EDIT Base'!R122</f>
        <v>191670.15</v>
      </c>
      <c r="F19" s="18">
        <v>0</v>
      </c>
      <c r="G19" s="19"/>
      <c r="H19" s="21">
        <f t="shared" si="0"/>
        <v>-935174.44000000006</v>
      </c>
      <c r="I19" s="83"/>
      <c r="J19" s="1">
        <v>-935174.44</v>
      </c>
      <c r="K19" s="14">
        <f t="shared" si="2"/>
        <v>0</v>
      </c>
      <c r="L19" s="15" t="s">
        <v>55</v>
      </c>
      <c r="M19" s="76">
        <v>43531</v>
      </c>
      <c r="O19" s="1">
        <f t="shared" si="1"/>
        <v>191670.15</v>
      </c>
    </row>
    <row r="20" spans="1:18" x14ac:dyDescent="0.2">
      <c r="A20" s="17">
        <v>43524</v>
      </c>
      <c r="B20" s="32" t="s">
        <v>32</v>
      </c>
      <c r="C20" s="31">
        <f>+'Protected EDIT Base'!R11</f>
        <v>82269503</v>
      </c>
      <c r="D20" s="26">
        <v>-126096.29</v>
      </c>
      <c r="E20" s="18">
        <f>+'Protected EDIT Base'!R123</f>
        <v>200335.82</v>
      </c>
      <c r="F20" s="18">
        <v>0</v>
      </c>
      <c r="G20" s="19"/>
      <c r="H20" s="21">
        <f t="shared" si="0"/>
        <v>-860934.91</v>
      </c>
      <c r="I20" s="83"/>
      <c r="J20" s="1">
        <v>-860934.91</v>
      </c>
      <c r="K20" s="14">
        <f t="shared" si="2"/>
        <v>0</v>
      </c>
      <c r="L20" s="15" t="s">
        <v>55</v>
      </c>
      <c r="M20" s="76">
        <v>43531</v>
      </c>
      <c r="O20" s="1">
        <f t="shared" si="1"/>
        <v>200335.82</v>
      </c>
    </row>
    <row r="21" spans="1:18" x14ac:dyDescent="0.2">
      <c r="A21" s="17">
        <v>43555</v>
      </c>
      <c r="B21" s="32" t="s">
        <v>32</v>
      </c>
      <c r="C21" s="31">
        <f>+'Protected EDIT Base'!R12</f>
        <v>84736435</v>
      </c>
      <c r="D21" s="26">
        <v>-126096.29</v>
      </c>
      <c r="E21" s="18">
        <f>+'Protected EDIT Base'!R124</f>
        <v>217106.23</v>
      </c>
      <c r="F21" s="18">
        <v>0</v>
      </c>
      <c r="G21" s="19"/>
      <c r="H21" s="21">
        <f t="shared" si="0"/>
        <v>-769924.97</v>
      </c>
      <c r="I21" s="83"/>
      <c r="J21" s="1">
        <v>-769924.97</v>
      </c>
      <c r="K21" s="14">
        <f t="shared" si="2"/>
        <v>0</v>
      </c>
      <c r="L21" s="15" t="s">
        <v>55</v>
      </c>
      <c r="M21" s="76">
        <v>43560</v>
      </c>
      <c r="O21" s="1">
        <f t="shared" si="1"/>
        <v>217106.23</v>
      </c>
    </row>
    <row r="22" spans="1:18" x14ac:dyDescent="0.2">
      <c r="A22" s="17">
        <v>43585</v>
      </c>
      <c r="B22" s="32" t="s">
        <v>32</v>
      </c>
      <c r="C22" s="31">
        <f>+'Protected EDIT Base'!R13</f>
        <v>62230455</v>
      </c>
      <c r="D22" s="14">
        <v>-126096.29</v>
      </c>
      <c r="E22" s="18">
        <f>+'Protected EDIT Base'!R125</f>
        <v>129029.56999999999</v>
      </c>
      <c r="F22" s="18">
        <v>0</v>
      </c>
      <c r="H22" s="21">
        <f t="shared" si="0"/>
        <v>-766991.69</v>
      </c>
      <c r="I22" s="83"/>
      <c r="J22" s="1">
        <v>-766991.69</v>
      </c>
      <c r="K22" s="14">
        <f t="shared" si="2"/>
        <v>0</v>
      </c>
      <c r="L22" s="15" t="s">
        <v>55</v>
      </c>
      <c r="M22" s="76">
        <v>43593</v>
      </c>
      <c r="O22" s="1">
        <f t="shared" si="1"/>
        <v>129029.56999999999</v>
      </c>
    </row>
    <row r="23" spans="1:18" x14ac:dyDescent="0.2">
      <c r="A23" s="17">
        <v>43616</v>
      </c>
      <c r="B23" s="32" t="s">
        <v>32</v>
      </c>
      <c r="C23" s="31">
        <f>+'Protected EDIT Base'!R14</f>
        <v>50477479</v>
      </c>
      <c r="D23" s="14">
        <v>-126096.29</v>
      </c>
      <c r="E23" s="18">
        <f>+'Protected EDIT Base'!R126</f>
        <v>83880.939999999988</v>
      </c>
      <c r="F23" s="18">
        <v>0</v>
      </c>
      <c r="H23" s="21">
        <f t="shared" si="0"/>
        <v>-809207.03999999992</v>
      </c>
      <c r="I23" s="83"/>
      <c r="J23" s="1">
        <v>-809207.04</v>
      </c>
      <c r="K23" s="14">
        <f t="shared" si="2"/>
        <v>0</v>
      </c>
      <c r="L23" s="15" t="s">
        <v>55</v>
      </c>
      <c r="M23" s="76">
        <v>43623</v>
      </c>
      <c r="O23" s="1">
        <f t="shared" si="1"/>
        <v>83880.939999999988</v>
      </c>
    </row>
    <row r="24" spans="1:18" x14ac:dyDescent="0.2">
      <c r="A24" s="17">
        <v>43646</v>
      </c>
      <c r="B24" s="32" t="s">
        <v>32</v>
      </c>
      <c r="C24" s="31">
        <f>+'Protected EDIT Base'!R15</f>
        <v>51732018</v>
      </c>
      <c r="D24" s="14">
        <v>-126096.29</v>
      </c>
      <c r="E24" s="18">
        <f>+'Protected EDIT Base'!R127</f>
        <v>60084.77</v>
      </c>
      <c r="F24" s="18">
        <v>0</v>
      </c>
      <c r="H24" s="21">
        <f t="shared" si="0"/>
        <v>-875218.55999999994</v>
      </c>
      <c r="I24" s="83"/>
      <c r="J24" s="1">
        <v>-875218.56</v>
      </c>
      <c r="K24" s="14">
        <f t="shared" si="2"/>
        <v>0</v>
      </c>
      <c r="L24" s="15" t="s">
        <v>55</v>
      </c>
      <c r="M24" s="76">
        <v>43654</v>
      </c>
      <c r="O24" s="1">
        <f t="shared" si="1"/>
        <v>60084.77</v>
      </c>
    </row>
    <row r="25" spans="1:18" x14ac:dyDescent="0.2">
      <c r="A25" s="17">
        <v>43677</v>
      </c>
      <c r="B25" s="32" t="s">
        <v>32</v>
      </c>
      <c r="C25" s="31">
        <f>+'Protected EDIT Base'!R16</f>
        <v>67400695</v>
      </c>
      <c r="D25" s="14">
        <v>-126096.29</v>
      </c>
      <c r="E25" s="18">
        <f>+'Protected EDIT Base'!R128</f>
        <v>61861.409999999996</v>
      </c>
      <c r="F25" s="18">
        <v>0</v>
      </c>
      <c r="H25" s="21">
        <f t="shared" si="0"/>
        <v>-939453.43999999994</v>
      </c>
      <c r="I25" s="83"/>
      <c r="J25" s="1">
        <v>-939453.43999999994</v>
      </c>
      <c r="K25" s="14">
        <f t="shared" si="2"/>
        <v>0</v>
      </c>
      <c r="L25" s="15" t="s">
        <v>55</v>
      </c>
      <c r="M25" s="76">
        <v>43685</v>
      </c>
      <c r="O25" s="1">
        <f t="shared" si="1"/>
        <v>61861.409999999996</v>
      </c>
    </row>
    <row r="26" spans="1:18" x14ac:dyDescent="0.2">
      <c r="A26" s="17">
        <v>43708</v>
      </c>
      <c r="B26" s="32" t="s">
        <v>32</v>
      </c>
      <c r="C26" s="31">
        <f>+'Protected EDIT Base'!R17</f>
        <v>76438837</v>
      </c>
      <c r="D26" s="14">
        <v>-126096.29</v>
      </c>
      <c r="E26" s="18">
        <f>+'Protected EDIT Base'!R129</f>
        <v>63152.43</v>
      </c>
      <c r="F26" s="18">
        <v>0</v>
      </c>
      <c r="H26" s="21">
        <f t="shared" si="0"/>
        <v>-1002397.2999999999</v>
      </c>
      <c r="I26" s="83"/>
      <c r="J26" s="1">
        <v>-1002397.3</v>
      </c>
      <c r="K26" s="14">
        <f t="shared" si="2"/>
        <v>0</v>
      </c>
      <c r="L26" s="15" t="s">
        <v>55</v>
      </c>
      <c r="M26" s="76">
        <v>43717</v>
      </c>
      <c r="O26" s="1">
        <f t="shared" si="1"/>
        <v>63152.43</v>
      </c>
    </row>
    <row r="27" spans="1:18" x14ac:dyDescent="0.2">
      <c r="A27" s="17">
        <v>43738</v>
      </c>
      <c r="B27" s="32" t="s">
        <v>32</v>
      </c>
      <c r="C27" s="31">
        <f>+'Protected EDIT Base'!R18</f>
        <v>73218474</v>
      </c>
      <c r="D27" s="14">
        <v>-126096.29</v>
      </c>
      <c r="E27" s="18">
        <f>+'Protected EDIT Base'!R130</f>
        <v>60796.270000000011</v>
      </c>
      <c r="F27" s="18">
        <v>0</v>
      </c>
      <c r="H27" s="21">
        <f t="shared" ref="H27:H30" si="3">SUM(D27:G27)+H26</f>
        <v>-1067697.3199999998</v>
      </c>
      <c r="I27" s="83"/>
      <c r="J27" s="1">
        <v>-1067697.32</v>
      </c>
      <c r="K27" s="14">
        <f t="shared" ref="K27:K30" si="4">J27-H27</f>
        <v>0</v>
      </c>
      <c r="L27" s="15" t="s">
        <v>55</v>
      </c>
      <c r="M27" s="76">
        <v>43745</v>
      </c>
      <c r="O27" s="1">
        <f t="shared" si="1"/>
        <v>60796.270000000011</v>
      </c>
    </row>
    <row r="28" spans="1:18" x14ac:dyDescent="0.2">
      <c r="A28" s="17">
        <v>43769</v>
      </c>
      <c r="B28" s="32" t="s">
        <v>32</v>
      </c>
      <c r="C28" s="31">
        <f>+'Protected EDIT Base'!R19</f>
        <v>62211815</v>
      </c>
      <c r="D28" s="14">
        <v>-126096.29</v>
      </c>
      <c r="E28" s="18">
        <f>+'Protected EDIT Base'!R131</f>
        <v>86035.85</v>
      </c>
      <c r="F28" s="18">
        <v>0</v>
      </c>
      <c r="H28" s="21">
        <f t="shared" si="3"/>
        <v>-1107757.7599999998</v>
      </c>
      <c r="I28" s="83"/>
      <c r="J28" s="1">
        <v>-1107757.76</v>
      </c>
      <c r="K28" s="14">
        <f t="shared" si="4"/>
        <v>0</v>
      </c>
      <c r="L28" s="15" t="s">
        <v>55</v>
      </c>
      <c r="M28" s="76">
        <v>43776</v>
      </c>
      <c r="O28" s="1">
        <f t="shared" si="1"/>
        <v>86035.85</v>
      </c>
    </row>
    <row r="29" spans="1:18" x14ac:dyDescent="0.2">
      <c r="A29" s="17">
        <v>43799</v>
      </c>
      <c r="B29" s="32" t="s">
        <v>60</v>
      </c>
      <c r="C29" s="31">
        <f>+'Protected EDIT Base'!R20+'Protected EDIT Base'!R21</f>
        <v>72608604</v>
      </c>
      <c r="D29" s="14">
        <v>-126096.29</v>
      </c>
      <c r="E29" s="18">
        <f>+'Protected EDIT Base'!R132+'Protected EDIT Base'!R133</f>
        <v>136594.44</v>
      </c>
      <c r="F29" s="18">
        <v>0</v>
      </c>
      <c r="H29" s="21">
        <f t="shared" si="3"/>
        <v>-1097259.6099999999</v>
      </c>
      <c r="I29" s="83"/>
      <c r="J29" s="1">
        <v>-1097259.6100000001</v>
      </c>
      <c r="K29" s="14">
        <f t="shared" si="4"/>
        <v>0</v>
      </c>
      <c r="L29" s="15" t="s">
        <v>55</v>
      </c>
      <c r="M29" s="76">
        <v>43808</v>
      </c>
      <c r="O29" s="1">
        <f t="shared" si="1"/>
        <v>136594.44</v>
      </c>
    </row>
    <row r="30" spans="1:18" x14ac:dyDescent="0.2">
      <c r="A30" s="17">
        <v>43830</v>
      </c>
      <c r="B30" s="32" t="s">
        <v>32</v>
      </c>
      <c r="C30" s="31">
        <f>+'Protected EDIT Base'!R22</f>
        <v>95612394</v>
      </c>
      <c r="D30" s="14">
        <v>-126096.29</v>
      </c>
      <c r="E30" s="18">
        <f>+'Protected EDIT Base'!R134</f>
        <v>208864.79999999996</v>
      </c>
      <c r="F30" s="18">
        <v>0</v>
      </c>
      <c r="H30" s="21">
        <f t="shared" si="3"/>
        <v>-1014491.0999999999</v>
      </c>
      <c r="I30" s="83"/>
      <c r="J30" s="1">
        <v>-1014491.1</v>
      </c>
      <c r="K30" s="14">
        <f t="shared" si="4"/>
        <v>0</v>
      </c>
      <c r="L30" s="15" t="s">
        <v>55</v>
      </c>
      <c r="M30" s="76">
        <v>43838</v>
      </c>
      <c r="O30" s="1">
        <f t="shared" si="1"/>
        <v>208864.79999999996</v>
      </c>
      <c r="P30" s="1">
        <f>SUM(O19:O30)</f>
        <v>1499412.68</v>
      </c>
    </row>
    <row r="31" spans="1:18" x14ac:dyDescent="0.2">
      <c r="A31" s="17">
        <v>43861</v>
      </c>
      <c r="B31" s="32" t="s">
        <v>32</v>
      </c>
      <c r="C31" s="31">
        <f>+'Protected EDIT Base'!R23</f>
        <v>96190788</v>
      </c>
      <c r="D31" s="14">
        <v>-111949.58</v>
      </c>
      <c r="E31" s="18">
        <f>+'Protected EDIT Base'!R135</f>
        <v>241582.44</v>
      </c>
      <c r="F31" s="18">
        <v>0</v>
      </c>
      <c r="H31" s="21">
        <f t="shared" ref="H31:H42" si="5">SUM(D31:G31)+H30</f>
        <v>-884858.23999999987</v>
      </c>
      <c r="I31" s="83"/>
      <c r="J31" s="1">
        <v>-884858.24</v>
      </c>
      <c r="K31" s="14">
        <f t="shared" ref="K31:K42" si="6">J31-H31</f>
        <v>0</v>
      </c>
      <c r="L31" s="15" t="s">
        <v>55</v>
      </c>
      <c r="M31" s="76">
        <v>43871</v>
      </c>
      <c r="O31" s="1">
        <f t="shared" si="1"/>
        <v>241582.44</v>
      </c>
    </row>
    <row r="32" spans="1:18" x14ac:dyDescent="0.2">
      <c r="A32" s="17">
        <v>43890</v>
      </c>
      <c r="B32" s="32" t="s">
        <v>32</v>
      </c>
      <c r="C32" s="31">
        <f>+'Protected EDIT Base'!R24</f>
        <v>84770508</v>
      </c>
      <c r="D32" s="14">
        <v>-111949.58</v>
      </c>
      <c r="E32" s="18">
        <f>+'Protected EDIT Base'!R136</f>
        <v>201853.16000000003</v>
      </c>
      <c r="F32" s="18">
        <v>0</v>
      </c>
      <c r="H32" s="21">
        <f t="shared" si="5"/>
        <v>-794954.6599999998</v>
      </c>
      <c r="I32" s="83"/>
      <c r="J32" s="1">
        <v>-794954.66</v>
      </c>
      <c r="K32" s="14">
        <f t="shared" si="6"/>
        <v>0</v>
      </c>
      <c r="L32" s="15" t="s">
        <v>55</v>
      </c>
      <c r="M32" s="76">
        <v>43899</v>
      </c>
      <c r="O32" s="1">
        <f t="shared" si="1"/>
        <v>201853.16000000003</v>
      </c>
    </row>
    <row r="33" spans="1:16" x14ac:dyDescent="0.2">
      <c r="A33" s="17">
        <v>43921</v>
      </c>
      <c r="B33" s="32" t="s">
        <v>32</v>
      </c>
      <c r="C33" s="31">
        <f>+'Protected EDIT Base'!R25</f>
        <v>99882117</v>
      </c>
      <c r="D33" s="14">
        <v>-111949.58</v>
      </c>
      <c r="E33" s="18">
        <f>+'Protected EDIT Base'!R137</f>
        <v>210250.82</v>
      </c>
      <c r="F33" s="18">
        <v>0</v>
      </c>
      <c r="H33" s="21">
        <f t="shared" si="5"/>
        <v>-696653.41999999981</v>
      </c>
      <c r="I33" s="83"/>
      <c r="J33" s="1">
        <v>-696653.42</v>
      </c>
      <c r="K33" s="14">
        <f t="shared" si="6"/>
        <v>0</v>
      </c>
      <c r="L33" s="15" t="s">
        <v>55</v>
      </c>
      <c r="M33" s="76">
        <v>43929</v>
      </c>
      <c r="O33" s="1">
        <f t="shared" si="1"/>
        <v>210250.82</v>
      </c>
    </row>
    <row r="34" spans="1:16" x14ac:dyDescent="0.2">
      <c r="A34" s="17">
        <v>43951</v>
      </c>
      <c r="B34" s="32" t="s">
        <v>32</v>
      </c>
      <c r="C34" s="31">
        <f>+'Protected EDIT Base'!R26</f>
        <v>81878770</v>
      </c>
      <c r="D34" s="14">
        <v>-111949.58</v>
      </c>
      <c r="E34" s="18">
        <f>+'Protected EDIT Base'!R138</f>
        <v>165155.15000000002</v>
      </c>
      <c r="F34" s="18">
        <v>0</v>
      </c>
      <c r="H34" s="21">
        <f t="shared" si="5"/>
        <v>-643447.84999999974</v>
      </c>
      <c r="I34" s="83"/>
      <c r="J34" s="1">
        <v>-643447.85</v>
      </c>
      <c r="K34" s="14">
        <f t="shared" si="6"/>
        <v>0</v>
      </c>
      <c r="L34" s="15" t="s">
        <v>55</v>
      </c>
      <c r="M34" s="76">
        <v>43959</v>
      </c>
      <c r="O34" s="1">
        <f t="shared" si="1"/>
        <v>165155.15000000002</v>
      </c>
    </row>
    <row r="35" spans="1:16" x14ac:dyDescent="0.2">
      <c r="A35" s="17">
        <v>43982</v>
      </c>
      <c r="B35" s="32" t="s">
        <v>32</v>
      </c>
      <c r="C35" s="31">
        <f>+'Protected EDIT Base'!R27</f>
        <v>46164069</v>
      </c>
      <c r="D35" s="14">
        <v>-111949.58</v>
      </c>
      <c r="E35" s="18">
        <f>+'Protected EDIT Base'!R139</f>
        <v>84774.720000000001</v>
      </c>
      <c r="F35" s="18">
        <v>0</v>
      </c>
      <c r="H35" s="21">
        <f t="shared" si="5"/>
        <v>-670622.70999999973</v>
      </c>
      <c r="I35" s="83"/>
      <c r="J35" s="1">
        <v>-670622.71</v>
      </c>
      <c r="K35" s="14">
        <f t="shared" si="6"/>
        <v>0</v>
      </c>
      <c r="L35" s="15" t="s">
        <v>55</v>
      </c>
      <c r="M35" s="76">
        <v>43990</v>
      </c>
      <c r="O35" s="1">
        <f t="shared" si="1"/>
        <v>84774.720000000001</v>
      </c>
    </row>
    <row r="36" spans="1:16" x14ac:dyDescent="0.2">
      <c r="A36" s="17">
        <v>44012</v>
      </c>
      <c r="B36" s="32" t="s">
        <v>32</v>
      </c>
      <c r="C36" s="31">
        <f>+'Protected EDIT Base'!R28</f>
        <v>43284213</v>
      </c>
      <c r="D36" s="14">
        <v>-111949.58</v>
      </c>
      <c r="E36" s="18">
        <f>+'Protected EDIT Base'!R140</f>
        <v>68891.88</v>
      </c>
      <c r="F36" s="18">
        <v>0</v>
      </c>
      <c r="H36" s="21">
        <f t="shared" si="5"/>
        <v>-713680.40999999968</v>
      </c>
      <c r="I36" s="83"/>
      <c r="J36" s="1">
        <v>-713680.41</v>
      </c>
      <c r="K36" s="14">
        <f t="shared" si="6"/>
        <v>0</v>
      </c>
      <c r="L36" s="15" t="s">
        <v>55</v>
      </c>
      <c r="M36" s="76">
        <v>44019</v>
      </c>
      <c r="O36" s="1">
        <f t="shared" si="1"/>
        <v>68891.88</v>
      </c>
    </row>
    <row r="37" spans="1:16" x14ac:dyDescent="0.2">
      <c r="A37" s="17">
        <v>44043</v>
      </c>
      <c r="B37" s="32" t="s">
        <v>32</v>
      </c>
      <c r="C37" s="31">
        <f>+'Protected EDIT Base'!R29</f>
        <v>55089338</v>
      </c>
      <c r="D37" s="14">
        <v>-111949.58</v>
      </c>
      <c r="E37" s="18">
        <f>+'Protected EDIT Base'!R141</f>
        <v>68123.239999999991</v>
      </c>
      <c r="F37" s="18">
        <v>0</v>
      </c>
      <c r="H37" s="21">
        <f t="shared" si="5"/>
        <v>-757506.74999999965</v>
      </c>
      <c r="I37" s="83"/>
      <c r="J37" s="1">
        <v>-757506.75</v>
      </c>
      <c r="K37" s="14">
        <f t="shared" si="6"/>
        <v>0</v>
      </c>
      <c r="L37" s="15" t="s">
        <v>55</v>
      </c>
      <c r="M37" s="76">
        <v>44053</v>
      </c>
      <c r="O37" s="1">
        <f t="shared" si="1"/>
        <v>68123.239999999991</v>
      </c>
    </row>
    <row r="38" spans="1:16" x14ac:dyDescent="0.2">
      <c r="A38" s="17">
        <v>44074</v>
      </c>
      <c r="B38" s="32" t="s">
        <v>32</v>
      </c>
      <c r="C38" s="31">
        <f>+'Protected EDIT Base'!R30</f>
        <v>66863465</v>
      </c>
      <c r="D38" s="14">
        <v>-111949.58</v>
      </c>
      <c r="E38" s="18">
        <f>+'Protected EDIT Base'!R142</f>
        <v>63819.41</v>
      </c>
      <c r="F38" s="18">
        <v>0</v>
      </c>
      <c r="H38" s="21">
        <f t="shared" si="5"/>
        <v>-805636.91999999969</v>
      </c>
      <c r="I38" s="83"/>
      <c r="J38" s="1">
        <v>-805636.92</v>
      </c>
      <c r="K38" s="14">
        <f t="shared" si="6"/>
        <v>0</v>
      </c>
      <c r="L38" s="15" t="s">
        <v>55</v>
      </c>
      <c r="M38" s="76">
        <v>44084</v>
      </c>
      <c r="O38" s="1">
        <f t="shared" si="1"/>
        <v>63819.41</v>
      </c>
    </row>
    <row r="39" spans="1:16" x14ac:dyDescent="0.2">
      <c r="A39" s="17">
        <v>44104</v>
      </c>
      <c r="B39" s="32" t="s">
        <v>32</v>
      </c>
      <c r="C39" s="31">
        <f>+'Protected EDIT Base'!R31</f>
        <v>73703550</v>
      </c>
      <c r="D39" s="14">
        <v>-111949.58</v>
      </c>
      <c r="E39" s="18">
        <f>+'Protected EDIT Base'!R143</f>
        <v>70220.72</v>
      </c>
      <c r="F39" s="18">
        <v>0</v>
      </c>
      <c r="H39" s="21">
        <f t="shared" si="5"/>
        <v>-847365.77999999968</v>
      </c>
      <c r="I39" s="83"/>
      <c r="J39" s="1">
        <v>-847365.78</v>
      </c>
      <c r="K39" s="14">
        <f t="shared" si="6"/>
        <v>0</v>
      </c>
      <c r="L39" s="15" t="s">
        <v>55</v>
      </c>
      <c r="M39" s="76">
        <v>44111</v>
      </c>
      <c r="O39" s="1">
        <f t="shared" si="1"/>
        <v>70220.72</v>
      </c>
    </row>
    <row r="40" spans="1:16" x14ac:dyDescent="0.2">
      <c r="A40" s="17">
        <v>44135</v>
      </c>
      <c r="B40" s="32" t="s">
        <v>32</v>
      </c>
      <c r="C40" s="31">
        <f>+'Protected EDIT Base'!R32</f>
        <v>65687484</v>
      </c>
      <c r="D40" s="14">
        <v>-111949.58</v>
      </c>
      <c r="E40" s="18">
        <f>+'Protected EDIT Base'!R144</f>
        <v>76264.689999999988</v>
      </c>
      <c r="F40" s="18">
        <v>0</v>
      </c>
      <c r="H40" s="21">
        <f t="shared" si="5"/>
        <v>-883050.66999999969</v>
      </c>
      <c r="I40" s="83"/>
      <c r="J40" s="1">
        <v>-883050.67</v>
      </c>
      <c r="K40" s="14">
        <f t="shared" si="6"/>
        <v>0</v>
      </c>
      <c r="L40" s="15" t="s">
        <v>55</v>
      </c>
      <c r="M40" s="76">
        <v>44141</v>
      </c>
      <c r="O40" s="1">
        <f t="shared" si="1"/>
        <v>76264.689999999988</v>
      </c>
    </row>
    <row r="41" spans="1:16" x14ac:dyDescent="0.2">
      <c r="A41" s="17">
        <v>44165</v>
      </c>
      <c r="B41" s="32" t="s">
        <v>32</v>
      </c>
      <c r="C41" s="31">
        <f>+'Protected EDIT Base'!R33+'Protected EDIT Base'!R34</f>
        <v>68293788</v>
      </c>
      <c r="D41" s="14">
        <v>-111949.58</v>
      </c>
      <c r="E41" s="18">
        <f>+'Protected EDIT Base'!R145+'Protected EDIT Base'!R146</f>
        <v>119648.27999999998</v>
      </c>
      <c r="F41" s="18">
        <v>0</v>
      </c>
      <c r="H41" s="21">
        <f t="shared" si="5"/>
        <v>-875351.96999999974</v>
      </c>
      <c r="I41" s="83"/>
      <c r="J41" s="1">
        <v>-875351.97</v>
      </c>
      <c r="K41" s="14">
        <f t="shared" si="6"/>
        <v>0</v>
      </c>
      <c r="L41" s="15" t="s">
        <v>55</v>
      </c>
      <c r="M41" s="76">
        <v>44173</v>
      </c>
      <c r="O41" s="1">
        <f t="shared" si="1"/>
        <v>119648.27999999998</v>
      </c>
    </row>
    <row r="42" spans="1:16" x14ac:dyDescent="0.2">
      <c r="A42" s="17">
        <v>44196</v>
      </c>
      <c r="B42" s="32" t="s">
        <v>32</v>
      </c>
      <c r="C42" s="31">
        <f>+'Protected EDIT Base'!R35</f>
        <v>94595765</v>
      </c>
      <c r="D42" s="14">
        <v>-68950.240000000005</v>
      </c>
      <c r="E42" s="18">
        <f>+'Protected EDIT Base'!R147</f>
        <v>187415.29000000004</v>
      </c>
      <c r="F42" s="18">
        <v>0</v>
      </c>
      <c r="H42" s="21">
        <f t="shared" si="5"/>
        <v>-756886.91999999969</v>
      </c>
      <c r="I42" s="83"/>
      <c r="J42" s="1">
        <v>-756886.92</v>
      </c>
      <c r="K42" s="14">
        <f t="shared" si="6"/>
        <v>0</v>
      </c>
      <c r="L42" s="15" t="s">
        <v>55</v>
      </c>
      <c r="M42" s="76">
        <v>44204</v>
      </c>
      <c r="O42" s="1">
        <f t="shared" si="1"/>
        <v>187415.29000000004</v>
      </c>
      <c r="P42" s="1">
        <f>SUM(O31:O42)</f>
        <v>1557999.8</v>
      </c>
    </row>
    <row r="43" spans="1:16" x14ac:dyDescent="0.2">
      <c r="A43" s="17">
        <v>44227</v>
      </c>
      <c r="B43" s="32" t="s">
        <v>32</v>
      </c>
      <c r="C43" s="31">
        <f>+'Protected EDIT Base'!R36</f>
        <v>93263558</v>
      </c>
      <c r="D43" s="14">
        <v>-135688.74</v>
      </c>
      <c r="E43" s="18">
        <f>+'Protected EDIT Base'!R148</f>
        <v>195469.82000000007</v>
      </c>
      <c r="F43" s="18">
        <v>0</v>
      </c>
      <c r="H43" s="21">
        <f t="shared" ref="H43:H52" si="7">SUM(D43:G43)+H42</f>
        <v>-697105.83999999962</v>
      </c>
      <c r="I43" s="83"/>
      <c r="J43" s="1">
        <v>-697105.84</v>
      </c>
      <c r="K43" s="14">
        <f t="shared" ref="K43:K52" si="8">J43-H43</f>
        <v>0</v>
      </c>
      <c r="L43" s="15" t="s">
        <v>55</v>
      </c>
      <c r="M43" s="76">
        <v>44232</v>
      </c>
      <c r="O43" s="1">
        <f t="shared" si="1"/>
        <v>195469.82000000007</v>
      </c>
    </row>
    <row r="44" spans="1:16" x14ac:dyDescent="0.2">
      <c r="A44" s="17">
        <v>44255</v>
      </c>
      <c r="B44" s="32" t="s">
        <v>32</v>
      </c>
      <c r="C44" s="31">
        <f>+'Protected EDIT Base'!R37</f>
        <v>86995469</v>
      </c>
      <c r="D44" s="14">
        <v>-135688.74</v>
      </c>
      <c r="E44" s="18">
        <f>+'Protected EDIT Base'!R149</f>
        <v>183864.47999999998</v>
      </c>
      <c r="F44" s="18">
        <v>0</v>
      </c>
      <c r="H44" s="21">
        <f t="shared" si="7"/>
        <v>-648930.09999999963</v>
      </c>
      <c r="I44" s="83"/>
      <c r="J44" s="1">
        <v>-648930.1</v>
      </c>
      <c r="K44" s="14">
        <f t="shared" si="8"/>
        <v>0</v>
      </c>
      <c r="L44" s="15" t="s">
        <v>55</v>
      </c>
      <c r="M44" s="76">
        <v>44263</v>
      </c>
      <c r="O44" s="1">
        <f t="shared" si="1"/>
        <v>183864.47999999998</v>
      </c>
    </row>
    <row r="45" spans="1:16" x14ac:dyDescent="0.2">
      <c r="A45" s="17">
        <v>44286</v>
      </c>
      <c r="B45" s="32" t="s">
        <v>32</v>
      </c>
      <c r="C45" s="31">
        <f>+'Protected EDIT Base'!R38</f>
        <v>103209019</v>
      </c>
      <c r="D45" s="14">
        <v>-135688.74</v>
      </c>
      <c r="E45" s="18">
        <f>+'Protected EDIT Base'!R150</f>
        <v>201599.41000000003</v>
      </c>
      <c r="F45" s="18">
        <v>0</v>
      </c>
      <c r="H45" s="21">
        <f t="shared" si="7"/>
        <v>-583019.42999999959</v>
      </c>
      <c r="I45" s="83"/>
      <c r="J45" s="1">
        <v>-583019.43000000005</v>
      </c>
      <c r="K45" s="14">
        <f t="shared" si="8"/>
        <v>0</v>
      </c>
      <c r="L45" s="15" t="s">
        <v>55</v>
      </c>
      <c r="M45" s="76">
        <v>44293</v>
      </c>
      <c r="O45" s="1">
        <f t="shared" si="1"/>
        <v>201599.41000000003</v>
      </c>
    </row>
    <row r="46" spans="1:16" x14ac:dyDescent="0.2">
      <c r="A46" s="17">
        <v>44316</v>
      </c>
      <c r="B46" s="32" t="s">
        <v>32</v>
      </c>
      <c r="C46" s="31">
        <f>+'Protected EDIT Base'!R39</f>
        <v>89581135</v>
      </c>
      <c r="D46" s="14">
        <v>-135688.74</v>
      </c>
      <c r="E46" s="18">
        <f>+'Protected EDIT Base'!R151</f>
        <v>148799.98000000004</v>
      </c>
      <c r="F46" s="18">
        <v>0</v>
      </c>
      <c r="H46" s="21">
        <f t="shared" si="7"/>
        <v>-569908.18999999948</v>
      </c>
      <c r="I46" s="83"/>
      <c r="J46" s="1">
        <v>-569908.18999999994</v>
      </c>
      <c r="K46" s="14">
        <f t="shared" si="8"/>
        <v>0</v>
      </c>
      <c r="L46" s="15" t="s">
        <v>55</v>
      </c>
      <c r="M46" s="76">
        <v>44326</v>
      </c>
      <c r="O46" s="1">
        <f t="shared" si="1"/>
        <v>148799.98000000004</v>
      </c>
    </row>
    <row r="47" spans="1:16" x14ac:dyDescent="0.2">
      <c r="A47" s="17">
        <v>44347</v>
      </c>
      <c r="B47" s="32" t="s">
        <v>32</v>
      </c>
      <c r="C47" s="31">
        <f>+'Protected EDIT Base'!R40</f>
        <v>56228122</v>
      </c>
      <c r="D47" s="14">
        <v>-135688.74</v>
      </c>
      <c r="E47" s="18">
        <f>+'Protected EDIT Base'!R152</f>
        <v>80993.25</v>
      </c>
      <c r="F47" s="18">
        <v>0</v>
      </c>
      <c r="H47" s="21">
        <f t="shared" si="7"/>
        <v>-624603.67999999947</v>
      </c>
      <c r="I47" s="83"/>
      <c r="J47" s="1">
        <v>-624603.68000000005</v>
      </c>
      <c r="K47" s="14">
        <f t="shared" si="8"/>
        <v>0</v>
      </c>
      <c r="L47" s="15" t="s">
        <v>55</v>
      </c>
      <c r="M47" s="76">
        <v>44354</v>
      </c>
      <c r="O47" s="1">
        <f t="shared" si="1"/>
        <v>80993.25</v>
      </c>
    </row>
    <row r="48" spans="1:16" x14ac:dyDescent="0.2">
      <c r="A48" s="17">
        <v>44377</v>
      </c>
      <c r="B48" s="32" t="s">
        <v>32</v>
      </c>
      <c r="C48" s="31">
        <f>+'Protected EDIT Base'!R41</f>
        <v>68779022</v>
      </c>
      <c r="D48" s="14">
        <v>-135688.74</v>
      </c>
      <c r="E48" s="18">
        <f>+'Protected EDIT Base'!R153</f>
        <v>76272.47</v>
      </c>
      <c r="F48" s="18">
        <v>0</v>
      </c>
      <c r="H48" s="21">
        <f t="shared" si="7"/>
        <v>-684019.94999999949</v>
      </c>
      <c r="I48" s="83"/>
      <c r="J48" s="1">
        <v>-684019.95</v>
      </c>
      <c r="K48" s="14">
        <f t="shared" si="8"/>
        <v>0</v>
      </c>
      <c r="L48" s="15" t="s">
        <v>55</v>
      </c>
      <c r="M48" s="76">
        <v>44386</v>
      </c>
      <c r="O48" s="1">
        <f t="shared" si="1"/>
        <v>76272.47</v>
      </c>
    </row>
    <row r="49" spans="1:16" x14ac:dyDescent="0.2">
      <c r="A49" s="17">
        <v>44408</v>
      </c>
      <c r="B49" s="32" t="s">
        <v>32</v>
      </c>
      <c r="C49" s="31">
        <f>+'Protected EDIT Base'!R42</f>
        <v>72135275</v>
      </c>
      <c r="D49" s="14">
        <v>-135688.74</v>
      </c>
      <c r="E49" s="18">
        <f>+'Protected EDIT Base'!R154</f>
        <v>61843.22</v>
      </c>
      <c r="F49" s="18">
        <v>0</v>
      </c>
      <c r="H49" s="21">
        <f t="shared" si="7"/>
        <v>-757865.46999999951</v>
      </c>
      <c r="I49" s="83"/>
      <c r="J49" s="1">
        <v>-757865.47</v>
      </c>
      <c r="K49" s="14">
        <f t="shared" si="8"/>
        <v>0</v>
      </c>
      <c r="L49" s="15" t="s">
        <v>55</v>
      </c>
      <c r="M49" s="76">
        <v>44417</v>
      </c>
      <c r="O49" s="1">
        <f t="shared" si="1"/>
        <v>61843.22</v>
      </c>
    </row>
    <row r="50" spans="1:16" x14ac:dyDescent="0.2">
      <c r="A50" s="17">
        <v>44439</v>
      </c>
      <c r="B50" s="32" t="s">
        <v>32</v>
      </c>
      <c r="C50" s="31">
        <f>+'Protected EDIT Base'!R43</f>
        <v>70764185</v>
      </c>
      <c r="D50" s="14">
        <v>-135688.74</v>
      </c>
      <c r="E50" s="18">
        <f>+'Protected EDIT Base'!R155</f>
        <v>58682.770000000004</v>
      </c>
      <c r="F50" s="18">
        <v>0</v>
      </c>
      <c r="H50" s="21">
        <f t="shared" si="7"/>
        <v>-834871.43999999948</v>
      </c>
      <c r="I50" s="83"/>
      <c r="J50" s="1">
        <v>-834871.44</v>
      </c>
      <c r="K50" s="14">
        <f t="shared" si="8"/>
        <v>0</v>
      </c>
      <c r="L50" s="15" t="s">
        <v>55</v>
      </c>
      <c r="M50" s="76">
        <v>44448</v>
      </c>
      <c r="O50" s="1">
        <f t="shared" si="1"/>
        <v>58682.770000000004</v>
      </c>
    </row>
    <row r="51" spans="1:16" x14ac:dyDescent="0.2">
      <c r="A51" s="17">
        <v>44469</v>
      </c>
      <c r="B51" s="32" t="s">
        <v>32</v>
      </c>
      <c r="C51" s="31">
        <f>+'Protected EDIT Base'!R44</f>
        <v>71864038</v>
      </c>
      <c r="D51" s="14">
        <v>-135688.74</v>
      </c>
      <c r="E51" s="18">
        <f>+'Protected EDIT Base'!R156</f>
        <v>62059.02</v>
      </c>
      <c r="F51" s="18">
        <v>0</v>
      </c>
      <c r="H51" s="21">
        <f t="shared" si="7"/>
        <v>-908501.15999999945</v>
      </c>
      <c r="I51" s="83"/>
      <c r="J51" s="1">
        <v>-908501.16</v>
      </c>
      <c r="K51" s="14">
        <f t="shared" si="8"/>
        <v>0</v>
      </c>
      <c r="L51" s="15" t="s">
        <v>55</v>
      </c>
      <c r="M51" s="76">
        <v>44476</v>
      </c>
      <c r="O51" s="1">
        <f t="shared" si="1"/>
        <v>62059.02</v>
      </c>
    </row>
    <row r="52" spans="1:16" x14ac:dyDescent="0.2">
      <c r="A52" s="17">
        <v>44500</v>
      </c>
      <c r="B52" s="32" t="s">
        <v>32</v>
      </c>
      <c r="C52" s="31">
        <f>+'Protected EDIT Base'!R45</f>
        <v>72338720</v>
      </c>
      <c r="D52" s="14">
        <v>-135688.74</v>
      </c>
      <c r="E52" s="18">
        <f>+'Protected EDIT Base'!R157</f>
        <v>79716.850000000006</v>
      </c>
      <c r="F52" s="18">
        <v>0</v>
      </c>
      <c r="H52" s="21">
        <f t="shared" si="7"/>
        <v>-964473.04999999946</v>
      </c>
      <c r="I52" s="83"/>
      <c r="J52" s="1">
        <v>-964473.05</v>
      </c>
      <c r="K52" s="14">
        <f t="shared" si="8"/>
        <v>0</v>
      </c>
      <c r="L52" s="15" t="s">
        <v>55</v>
      </c>
      <c r="M52" s="76">
        <v>44505</v>
      </c>
      <c r="O52" s="1">
        <f t="shared" si="1"/>
        <v>79716.850000000006</v>
      </c>
    </row>
    <row r="53" spans="1:16" x14ac:dyDescent="0.2">
      <c r="A53" s="17">
        <v>44530</v>
      </c>
      <c r="B53" s="32" t="s">
        <v>32</v>
      </c>
      <c r="C53" s="31">
        <f>+'Protected EDIT Base'!R46+'Protected EDIT Base'!R47</f>
        <v>75721245</v>
      </c>
      <c r="D53" s="14">
        <v>-135688.74</v>
      </c>
      <c r="E53" s="18">
        <f>+'Protected EDIT Base'!R158+'Protected EDIT Base'!R159</f>
        <v>114027.53</v>
      </c>
      <c r="F53" s="18">
        <v>0</v>
      </c>
      <c r="H53" s="21">
        <f t="shared" ref="H53" si="9">SUM(D53:G53)+H52</f>
        <v>-986134.25999999943</v>
      </c>
      <c r="I53" s="83"/>
      <c r="J53" s="1">
        <v>-986134.26</v>
      </c>
      <c r="K53" s="14">
        <f t="shared" ref="K53" si="10">J53-H53</f>
        <v>0</v>
      </c>
      <c r="L53" s="15" t="s">
        <v>55</v>
      </c>
      <c r="M53" s="76">
        <v>44538</v>
      </c>
      <c r="O53" s="1">
        <f t="shared" si="1"/>
        <v>114027.53</v>
      </c>
    </row>
    <row r="54" spans="1:16" x14ac:dyDescent="0.2">
      <c r="A54" s="17">
        <v>44561</v>
      </c>
      <c r="B54" s="32" t="s">
        <v>32</v>
      </c>
      <c r="C54" s="31">
        <f>+'Protected EDIT Base'!R48</f>
        <v>83926722</v>
      </c>
      <c r="D54" s="14">
        <v>-252164.55</v>
      </c>
      <c r="E54" s="18">
        <f>+'Protected EDIT Base'!R160</f>
        <v>169832.88</v>
      </c>
      <c r="F54" s="18">
        <v>0</v>
      </c>
      <c r="H54" s="21">
        <f t="shared" ref="H54:H64" si="11">SUM(D54:G54)+H53</f>
        <v>-1068465.9299999995</v>
      </c>
      <c r="I54" s="83"/>
      <c r="J54" s="1">
        <v>-1068465.93</v>
      </c>
      <c r="K54" s="14">
        <f t="shared" ref="K54:K64" si="12">J54-H54</f>
        <v>0</v>
      </c>
      <c r="L54" s="15" t="s">
        <v>55</v>
      </c>
      <c r="M54" s="76">
        <v>44567</v>
      </c>
      <c r="O54" s="1">
        <f t="shared" si="1"/>
        <v>169832.88</v>
      </c>
      <c r="P54" s="1">
        <f>SUM(O43:O54)</f>
        <v>1433161.6800000002</v>
      </c>
    </row>
    <row r="55" spans="1:16" x14ac:dyDescent="0.2">
      <c r="A55" s="17"/>
      <c r="B55" s="32"/>
      <c r="C55" s="31"/>
      <c r="D55" s="14"/>
      <c r="E55" s="18"/>
      <c r="F55" s="18"/>
      <c r="H55" s="21"/>
      <c r="I55" s="83"/>
      <c r="K55" s="14">
        <f t="shared" si="12"/>
        <v>0</v>
      </c>
      <c r="M55" s="76"/>
    </row>
    <row r="56" spans="1:16" x14ac:dyDescent="0.2">
      <c r="A56" s="17"/>
      <c r="B56" s="32"/>
      <c r="C56" s="31"/>
      <c r="D56" s="14"/>
      <c r="E56" s="18"/>
      <c r="F56" s="18"/>
      <c r="H56" s="21"/>
      <c r="I56" s="83"/>
      <c r="K56" s="14">
        <f t="shared" si="12"/>
        <v>0</v>
      </c>
      <c r="M56" s="76"/>
    </row>
    <row r="57" spans="1:16" x14ac:dyDescent="0.2">
      <c r="A57" s="17"/>
      <c r="B57" s="32"/>
      <c r="C57" s="31"/>
      <c r="D57" s="14"/>
      <c r="E57" s="18"/>
      <c r="F57" s="18"/>
      <c r="H57" s="21"/>
      <c r="I57" s="83"/>
      <c r="K57" s="14">
        <f t="shared" si="12"/>
        <v>0</v>
      </c>
      <c r="M57" s="76"/>
    </row>
    <row r="58" spans="1:16" x14ac:dyDescent="0.2">
      <c r="A58" s="17"/>
      <c r="B58" s="32"/>
      <c r="C58" s="31"/>
      <c r="D58" s="14"/>
      <c r="E58" s="18"/>
      <c r="F58" s="18"/>
      <c r="H58" s="21"/>
      <c r="I58" s="83"/>
      <c r="K58" s="14">
        <f t="shared" si="12"/>
        <v>0</v>
      </c>
      <c r="M58" s="76"/>
    </row>
    <row r="59" spans="1:16" x14ac:dyDescent="0.2">
      <c r="A59" s="17"/>
      <c r="B59" s="32"/>
      <c r="C59" s="31"/>
      <c r="D59" s="14"/>
      <c r="E59" s="18"/>
      <c r="F59" s="18"/>
      <c r="H59" s="21"/>
      <c r="I59" s="83"/>
      <c r="K59" s="14">
        <f t="shared" si="12"/>
        <v>0</v>
      </c>
      <c r="M59" s="76"/>
    </row>
    <row r="60" spans="1:16" x14ac:dyDescent="0.2">
      <c r="A60" s="17"/>
      <c r="B60" s="32"/>
      <c r="C60" s="31"/>
      <c r="D60" s="14"/>
      <c r="E60" s="18"/>
      <c r="F60" s="18"/>
      <c r="H60" s="21"/>
      <c r="I60" s="83"/>
      <c r="K60" s="14">
        <f t="shared" si="12"/>
        <v>0</v>
      </c>
      <c r="M60" s="76"/>
    </row>
    <row r="61" spans="1:16" x14ac:dyDescent="0.2">
      <c r="A61" s="17"/>
      <c r="B61" s="32"/>
      <c r="C61" s="31"/>
      <c r="D61" s="14"/>
      <c r="E61" s="18"/>
      <c r="F61" s="18"/>
      <c r="H61" s="21"/>
      <c r="I61" s="83"/>
      <c r="K61" s="14">
        <f t="shared" si="12"/>
        <v>0</v>
      </c>
      <c r="M61" s="76"/>
    </row>
    <row r="62" spans="1:16" x14ac:dyDescent="0.2">
      <c r="A62" s="17"/>
      <c r="B62" s="32"/>
      <c r="C62" s="31"/>
      <c r="D62" s="14"/>
      <c r="E62" s="18"/>
      <c r="F62" s="18"/>
      <c r="H62" s="21"/>
      <c r="I62" s="83"/>
      <c r="K62" s="14">
        <f t="shared" si="12"/>
        <v>0</v>
      </c>
      <c r="M62" s="76"/>
    </row>
    <row r="63" spans="1:16" x14ac:dyDescent="0.2">
      <c r="A63" s="17"/>
      <c r="B63" s="32"/>
      <c r="C63" s="31"/>
      <c r="D63" s="14"/>
      <c r="E63" s="18"/>
      <c r="F63" s="18"/>
      <c r="H63" s="21"/>
      <c r="I63" s="83"/>
      <c r="K63" s="14">
        <f t="shared" si="12"/>
        <v>0</v>
      </c>
      <c r="M63" s="76"/>
    </row>
    <row r="64" spans="1:16" x14ac:dyDescent="0.2">
      <c r="A64" s="17"/>
      <c r="B64" s="32"/>
      <c r="C64" s="31"/>
      <c r="D64" s="14"/>
      <c r="E64" s="18"/>
      <c r="F64" s="18"/>
      <c r="H64" s="21"/>
      <c r="I64" s="83"/>
      <c r="K64" s="14">
        <f t="shared" si="12"/>
        <v>0</v>
      </c>
      <c r="M64" s="76"/>
    </row>
  </sheetData>
  <mergeCells count="17">
    <mergeCell ref="A1:B1"/>
    <mergeCell ref="C1:H1"/>
    <mergeCell ref="A2:B2"/>
    <mergeCell ref="C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H7"/>
    <mergeCell ref="D9:F9"/>
    <mergeCell ref="A12:F12"/>
    <mergeCell ref="A13:F13"/>
  </mergeCells>
  <pageMargins left="0.7" right="0.7" top="0.75" bottom="0.75" header="0.3" footer="0.3"/>
  <pageSetup scale="99" fitToHeight="0" orientation="landscape" r:id="rId1"/>
  <headerFooter>
    <oddFooter>&amp;LWA Tax Amort&amp;C&amp;A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AN197"/>
  <sheetViews>
    <sheetView zoomScaleNormal="100" workbookViewId="0">
      <selection activeCell="AA87" sqref="AA87"/>
    </sheetView>
  </sheetViews>
  <sheetFormatPr defaultColWidth="8.88671875" defaultRowHeight="12.75" x14ac:dyDescent="0.2"/>
  <cols>
    <col min="1" max="1" width="6.21875" style="1" customWidth="1"/>
    <col min="2" max="2" width="9" style="1" bestFit="1" customWidth="1"/>
    <col min="3" max="3" width="7.77734375" style="1" hidden="1" customWidth="1"/>
    <col min="4" max="4" width="8.21875" style="1" bestFit="1" customWidth="1"/>
    <col min="5" max="6" width="8" style="1" customWidth="1"/>
    <col min="7" max="7" width="9" style="1" bestFit="1" customWidth="1"/>
    <col min="8" max="8" width="8.77734375" style="1" bestFit="1" customWidth="1"/>
    <col min="9" max="10" width="7.77734375" style="1" hidden="1" customWidth="1"/>
    <col min="11" max="11" width="8" style="1" customWidth="1"/>
    <col min="12" max="12" width="9.6640625" style="1" customWidth="1"/>
    <col min="13" max="13" width="9.5546875" style="1" bestFit="1" customWidth="1"/>
    <col min="14" max="14" width="9.6640625" style="1" customWidth="1"/>
    <col min="15" max="15" width="8.77734375" style="1" customWidth="1"/>
    <col min="16" max="16" width="6.6640625" style="1" hidden="1" customWidth="1"/>
    <col min="17" max="17" width="1.77734375" style="1" customWidth="1"/>
    <col min="18" max="18" width="9.5546875" style="1" customWidth="1"/>
    <col min="19" max="19" width="7.88671875" style="1" customWidth="1"/>
    <col min="20" max="22" width="8.88671875" style="1"/>
    <col min="23" max="23" width="0.33203125" style="1" customWidth="1"/>
    <col min="24" max="28" width="8.88671875" style="1"/>
    <col min="29" max="29" width="0.33203125" style="1" customWidth="1"/>
    <col min="30" max="30" width="0.77734375" style="1" customWidth="1"/>
    <col min="31" max="35" width="8.88671875" style="1"/>
    <col min="36" max="36" width="0.33203125" style="1" customWidth="1"/>
    <col min="37" max="37" width="2.109375" style="1" customWidth="1"/>
    <col min="38" max="40" width="9.6640625" style="1" bestFit="1" customWidth="1"/>
    <col min="41" max="16384" width="8.88671875" style="1"/>
  </cols>
  <sheetData>
    <row r="2" spans="1:19" ht="15.75" customHeight="1" x14ac:dyDescent="0.2">
      <c r="B2" s="86">
        <v>4800</v>
      </c>
      <c r="C2" s="130">
        <v>4809</v>
      </c>
      <c r="D2" s="131"/>
      <c r="E2" s="132"/>
      <c r="F2" s="130">
        <v>4810</v>
      </c>
      <c r="G2" s="131"/>
      <c r="H2" s="132"/>
      <c r="I2" s="130">
        <v>4811</v>
      </c>
      <c r="J2" s="132"/>
      <c r="K2" s="87">
        <v>4813</v>
      </c>
      <c r="L2" s="87">
        <v>4861</v>
      </c>
      <c r="M2" s="130">
        <v>4863</v>
      </c>
      <c r="N2" s="131"/>
      <c r="O2" s="131"/>
      <c r="P2" s="132"/>
    </row>
    <row r="3" spans="1:19" x14ac:dyDescent="0.2">
      <c r="B3" s="88">
        <v>503</v>
      </c>
      <c r="C3" s="89" t="s">
        <v>31</v>
      </c>
      <c r="D3" s="89">
        <v>505</v>
      </c>
      <c r="E3" s="90">
        <v>511</v>
      </c>
      <c r="F3" s="89" t="s">
        <v>30</v>
      </c>
      <c r="G3" s="89">
        <v>504</v>
      </c>
      <c r="H3" s="90" t="s">
        <v>64</v>
      </c>
      <c r="I3" s="89" t="s">
        <v>31</v>
      </c>
      <c r="J3" s="90">
        <v>570</v>
      </c>
      <c r="K3" s="88">
        <v>570</v>
      </c>
      <c r="L3" s="91" t="s">
        <v>70</v>
      </c>
      <c r="M3" s="92">
        <v>6631</v>
      </c>
      <c r="N3" s="92">
        <v>6633</v>
      </c>
      <c r="O3" s="92">
        <v>6635</v>
      </c>
      <c r="P3" s="93">
        <v>916</v>
      </c>
      <c r="R3" s="94" t="s">
        <v>3</v>
      </c>
    </row>
    <row r="4" spans="1:19" x14ac:dyDescent="0.2">
      <c r="A4" s="95">
        <v>43343</v>
      </c>
      <c r="B4" s="96">
        <f>+'Therm Sales Master'!B123</f>
        <v>996895</v>
      </c>
      <c r="C4" s="97">
        <f>+'Therm Sales Master'!C123</f>
        <v>0</v>
      </c>
      <c r="D4" s="97">
        <f>+'Therm Sales Master'!D123</f>
        <v>160070</v>
      </c>
      <c r="E4" s="98">
        <f>+'Therm Sales Master'!E123</f>
        <v>88492</v>
      </c>
      <c r="F4" s="97">
        <f>+'Therm Sales Master'!F123</f>
        <v>158</v>
      </c>
      <c r="G4" s="97">
        <f>+'Therm Sales Master'!G123</f>
        <v>986030</v>
      </c>
      <c r="H4" s="98">
        <f>+'Therm Sales Master'!H123</f>
        <v>137321</v>
      </c>
      <c r="I4" s="97">
        <f>+'Therm Sales Master'!I123</f>
        <v>359</v>
      </c>
      <c r="J4" s="98">
        <f>+'Therm Sales Master'!J123</f>
        <v>0</v>
      </c>
      <c r="K4" s="96">
        <f>+'Therm Sales Master'!K123</f>
        <v>93391</v>
      </c>
      <c r="L4" s="96">
        <f>+'Therm Sales Master'!L123</f>
        <v>26924983</v>
      </c>
      <c r="M4" s="97">
        <f>+'Therm Sales Master'!M123</f>
        <v>0</v>
      </c>
      <c r="N4" s="97">
        <f>+'Therm Sales Master'!N123</f>
        <v>12762544</v>
      </c>
      <c r="O4" s="97">
        <f>+'Therm Sales Master'!O123</f>
        <v>5293486</v>
      </c>
      <c r="P4" s="98">
        <f>+'Therm Sales Master'!P123</f>
        <v>14392902</v>
      </c>
      <c r="R4" s="99">
        <f t="shared" ref="R4:R15" si="0">SUM(B4:Q4)</f>
        <v>61836631</v>
      </c>
    </row>
    <row r="5" spans="1:19" x14ac:dyDescent="0.2">
      <c r="A5" s="95">
        <v>43373</v>
      </c>
      <c r="B5" s="96">
        <f>+'Therm Sales Master'!B124</f>
        <v>2809188</v>
      </c>
      <c r="C5" s="97">
        <f>+'Therm Sales Master'!C124</f>
        <v>-359</v>
      </c>
      <c r="D5" s="97">
        <f>+'Therm Sales Master'!D124</f>
        <v>648016</v>
      </c>
      <c r="E5" s="98">
        <f>+'Therm Sales Master'!E124</f>
        <v>241009</v>
      </c>
      <c r="F5" s="97">
        <f>+'Therm Sales Master'!F124</f>
        <v>501</v>
      </c>
      <c r="G5" s="97">
        <f>+'Therm Sales Master'!G124</f>
        <v>2784183</v>
      </c>
      <c r="H5" s="98">
        <f>+'Therm Sales Master'!H124</f>
        <v>384208</v>
      </c>
      <c r="I5" s="97">
        <f>+'Therm Sales Master'!I124</f>
        <v>547</v>
      </c>
      <c r="J5" s="98">
        <f>+'Therm Sales Master'!J124</f>
        <v>0</v>
      </c>
      <c r="K5" s="96">
        <f>+'Therm Sales Master'!K124</f>
        <v>118645</v>
      </c>
      <c r="L5" s="96">
        <f>+'Therm Sales Master'!L124</f>
        <v>30461110</v>
      </c>
      <c r="M5" s="97">
        <f>+'Therm Sales Master'!M124</f>
        <v>15312916</v>
      </c>
      <c r="N5" s="97">
        <f>+'Therm Sales Master'!N124</f>
        <v>14381027</v>
      </c>
      <c r="O5" s="97">
        <f>+'Therm Sales Master'!O124</f>
        <v>2080893</v>
      </c>
      <c r="P5" s="98">
        <f>+'Therm Sales Master'!P124</f>
        <v>0</v>
      </c>
      <c r="R5" s="97">
        <f t="shared" si="0"/>
        <v>69221884</v>
      </c>
    </row>
    <row r="6" spans="1:19" x14ac:dyDescent="0.2">
      <c r="A6" s="95">
        <v>43404</v>
      </c>
      <c r="B6" s="96">
        <f>+'Therm Sales Master'!B125</f>
        <v>5307116</v>
      </c>
      <c r="C6" s="97">
        <f>+'Therm Sales Master'!C125</f>
        <v>0</v>
      </c>
      <c r="D6" s="97">
        <f>+'Therm Sales Master'!D125</f>
        <v>1031586</v>
      </c>
      <c r="E6" s="98">
        <f>+'Therm Sales Master'!E125</f>
        <v>447130</v>
      </c>
      <c r="F6" s="97">
        <f>+'Therm Sales Master'!F125</f>
        <v>2079</v>
      </c>
      <c r="G6" s="97">
        <f>+'Therm Sales Master'!G125</f>
        <v>4259766</v>
      </c>
      <c r="H6" s="98">
        <f>+'Therm Sales Master'!H125</f>
        <v>674628</v>
      </c>
      <c r="I6" s="97">
        <f>+'Therm Sales Master'!I125</f>
        <v>21</v>
      </c>
      <c r="J6" s="98">
        <f>+'Therm Sales Master'!J125</f>
        <v>0</v>
      </c>
      <c r="K6" s="96">
        <f>+'Therm Sales Master'!K125</f>
        <v>197742</v>
      </c>
      <c r="L6" s="96">
        <f>+'Therm Sales Master'!L125</f>
        <v>32448578</v>
      </c>
      <c r="M6" s="97">
        <f>+'Therm Sales Master'!M125</f>
        <v>7714309</v>
      </c>
      <c r="N6" s="97">
        <f>+'Therm Sales Master'!N125</f>
        <v>4034082</v>
      </c>
      <c r="O6" s="97">
        <f>+'Therm Sales Master'!O125</f>
        <v>2001543</v>
      </c>
      <c r="P6" s="98">
        <f>+'Therm Sales Master'!P125</f>
        <v>0</v>
      </c>
      <c r="R6" s="97">
        <f t="shared" si="0"/>
        <v>58118580</v>
      </c>
    </row>
    <row r="7" spans="1:19" x14ac:dyDescent="0.2">
      <c r="A7" s="95">
        <v>43434</v>
      </c>
      <c r="B7" s="96">
        <f>+'Therm Sales Master'!B126</f>
        <v>5727490</v>
      </c>
      <c r="C7" s="97">
        <f>+'Therm Sales Master'!C126</f>
        <v>0</v>
      </c>
      <c r="D7" s="97">
        <f>+'Therm Sales Master'!D126</f>
        <v>691277</v>
      </c>
      <c r="E7" s="98">
        <f>+'Therm Sales Master'!E126</f>
        <v>107458</v>
      </c>
      <c r="F7" s="97">
        <f>+'Therm Sales Master'!F126</f>
        <v>0</v>
      </c>
      <c r="G7" s="97">
        <f>+'Therm Sales Master'!G126</f>
        <v>4031349</v>
      </c>
      <c r="H7" s="98">
        <f>+'Therm Sales Master'!H126</f>
        <v>459820</v>
      </c>
      <c r="I7" s="97">
        <f>+'Therm Sales Master'!I126</f>
        <v>0</v>
      </c>
      <c r="J7" s="98">
        <f>+'Therm Sales Master'!J126</f>
        <v>0</v>
      </c>
      <c r="K7" s="96">
        <f>+'Therm Sales Master'!K126</f>
        <v>0</v>
      </c>
      <c r="L7" s="96">
        <f>+'Therm Sales Master'!L126</f>
        <v>0</v>
      </c>
      <c r="M7" s="97">
        <f>+'Therm Sales Master'!M126</f>
        <v>0</v>
      </c>
      <c r="N7" s="97">
        <f>+'Therm Sales Master'!N126</f>
        <v>0</v>
      </c>
      <c r="O7" s="97">
        <f>+'Therm Sales Master'!O126</f>
        <v>0</v>
      </c>
      <c r="P7" s="98">
        <f>+'Therm Sales Master'!P126</f>
        <v>0</v>
      </c>
      <c r="R7" s="97">
        <f t="shared" ref="R7" si="1">SUM(B7:Q7)</f>
        <v>11017394</v>
      </c>
      <c r="S7" s="1" t="s">
        <v>56</v>
      </c>
    </row>
    <row r="8" spans="1:19" x14ac:dyDescent="0.2">
      <c r="A8" s="95">
        <v>43434</v>
      </c>
      <c r="B8" s="96">
        <f>+'Therm Sales Master'!B127</f>
        <v>3233440</v>
      </c>
      <c r="C8" s="97">
        <f>+'Therm Sales Master'!C127</f>
        <v>63</v>
      </c>
      <c r="D8" s="97">
        <f>+'Therm Sales Master'!D127</f>
        <v>298083</v>
      </c>
      <c r="E8" s="98">
        <f>+'Therm Sales Master'!E127</f>
        <v>77569</v>
      </c>
      <c r="F8" s="97">
        <f>+'Therm Sales Master'!F127</f>
        <v>3464</v>
      </c>
      <c r="G8" s="97">
        <f>+'Therm Sales Master'!G127</f>
        <v>2122532</v>
      </c>
      <c r="H8" s="98">
        <f>+'Therm Sales Master'!H127</f>
        <v>331925</v>
      </c>
      <c r="I8" s="97">
        <f>+'Therm Sales Master'!I127</f>
        <v>0</v>
      </c>
      <c r="J8" s="98">
        <f>+'Therm Sales Master'!J127</f>
        <v>0</v>
      </c>
      <c r="K8" s="96">
        <f>+'Therm Sales Master'!K127</f>
        <v>217688</v>
      </c>
      <c r="L8" s="96">
        <f>+'Therm Sales Master'!L127</f>
        <v>25948738</v>
      </c>
      <c r="M8" s="97">
        <f>+'Therm Sales Master'!M127</f>
        <v>76766</v>
      </c>
      <c r="N8" s="97">
        <f>+'Therm Sales Master'!N127</f>
        <v>28205</v>
      </c>
      <c r="O8" s="97">
        <f>+'Therm Sales Master'!O127</f>
        <v>33898</v>
      </c>
      <c r="P8" s="98">
        <f>+'Therm Sales Master'!P127</f>
        <v>0</v>
      </c>
      <c r="R8" s="97">
        <f t="shared" si="0"/>
        <v>32372371</v>
      </c>
      <c r="S8" s="1" t="s">
        <v>57</v>
      </c>
    </row>
    <row r="9" spans="1:19" x14ac:dyDescent="0.2">
      <c r="A9" s="95">
        <v>43465</v>
      </c>
      <c r="B9" s="96">
        <f>+'Therm Sales Master'!B128</f>
        <v>17031202</v>
      </c>
      <c r="C9" s="97">
        <f>+'Therm Sales Master'!C128</f>
        <v>-63</v>
      </c>
      <c r="D9" s="97">
        <f>+'Therm Sales Master'!D128</f>
        <v>1475293</v>
      </c>
      <c r="E9" s="98">
        <f>+'Therm Sales Master'!E128</f>
        <v>305292</v>
      </c>
      <c r="F9" s="97">
        <f>+'Therm Sales Master'!F128</f>
        <v>4915</v>
      </c>
      <c r="G9" s="97">
        <f>+'Therm Sales Master'!G128</f>
        <v>11460190</v>
      </c>
      <c r="H9" s="98">
        <f>+'Therm Sales Master'!H128</f>
        <v>1383646</v>
      </c>
      <c r="I9" s="97">
        <f>+'Therm Sales Master'!I128</f>
        <v>142</v>
      </c>
      <c r="J9" s="98">
        <f>+'Therm Sales Master'!J128</f>
        <v>0</v>
      </c>
      <c r="K9" s="96">
        <f>+'Therm Sales Master'!K128</f>
        <v>260482</v>
      </c>
      <c r="L9" s="96">
        <f>+'Therm Sales Master'!L128</f>
        <v>29346851</v>
      </c>
      <c r="M9" s="97">
        <f>+'Therm Sales Master'!M128</f>
        <v>14382579</v>
      </c>
      <c r="N9" s="97">
        <f>+'Therm Sales Master'!N128</f>
        <v>4450625</v>
      </c>
      <c r="O9" s="97">
        <f>+'Therm Sales Master'!O128</f>
        <v>57483</v>
      </c>
      <c r="P9" s="98">
        <f>+'Therm Sales Master'!P128</f>
        <v>0</v>
      </c>
      <c r="R9" s="97">
        <f t="shared" si="0"/>
        <v>80158637</v>
      </c>
    </row>
    <row r="10" spans="1:19" x14ac:dyDescent="0.2">
      <c r="A10" s="95">
        <v>43496</v>
      </c>
      <c r="B10" s="96">
        <f>+'Therm Sales Master'!B129</f>
        <v>19425579</v>
      </c>
      <c r="C10" s="97">
        <f>+'Therm Sales Master'!C129</f>
        <v>0</v>
      </c>
      <c r="D10" s="97">
        <f>+'Therm Sales Master'!D129</f>
        <v>1433715</v>
      </c>
      <c r="E10" s="98">
        <f>+'Therm Sales Master'!E129</f>
        <v>330955</v>
      </c>
      <c r="F10" s="97">
        <f>+'Therm Sales Master'!F129</f>
        <v>4626</v>
      </c>
      <c r="G10" s="97">
        <f>+'Therm Sales Master'!G129</f>
        <v>13117967</v>
      </c>
      <c r="H10" s="98">
        <f>+'Therm Sales Master'!H129</f>
        <v>1477641</v>
      </c>
      <c r="I10" s="97">
        <f>+'Therm Sales Master'!I129</f>
        <v>7</v>
      </c>
      <c r="J10" s="98">
        <f>+'Therm Sales Master'!J129</f>
        <v>0</v>
      </c>
      <c r="K10" s="96">
        <f>+'Therm Sales Master'!K129</f>
        <v>258811</v>
      </c>
      <c r="L10" s="96">
        <f>+'Therm Sales Master'!L129</f>
        <v>31076934</v>
      </c>
      <c r="M10" s="97">
        <f>+'Therm Sales Master'!M129</f>
        <v>14944499</v>
      </c>
      <c r="N10" s="97">
        <f>+'Therm Sales Master'!N129</f>
        <v>4088088</v>
      </c>
      <c r="O10" s="97">
        <f>+'Therm Sales Master'!O129</f>
        <v>106086</v>
      </c>
      <c r="P10" s="98">
        <f>+'Therm Sales Master'!P129</f>
        <v>0</v>
      </c>
      <c r="R10" s="97">
        <f t="shared" si="0"/>
        <v>86264908</v>
      </c>
    </row>
    <row r="11" spans="1:19" x14ac:dyDescent="0.2">
      <c r="A11" s="95">
        <v>43524</v>
      </c>
      <c r="B11" s="96">
        <f>+'Therm Sales Master'!B130</f>
        <v>20826493</v>
      </c>
      <c r="C11" s="97">
        <f>+'Therm Sales Master'!C130</f>
        <v>0</v>
      </c>
      <c r="D11" s="97">
        <f>+'Therm Sales Master'!D130</f>
        <v>1616149</v>
      </c>
      <c r="E11" s="98">
        <f>+'Therm Sales Master'!E130</f>
        <v>325966</v>
      </c>
      <c r="F11" s="97">
        <f>+'Therm Sales Master'!F130</f>
        <v>5486</v>
      </c>
      <c r="G11" s="97">
        <f>+'Therm Sales Master'!G130</f>
        <v>13988227</v>
      </c>
      <c r="H11" s="98">
        <f>+'Therm Sales Master'!H130</f>
        <v>1527495</v>
      </c>
      <c r="I11" s="97">
        <f>+'Therm Sales Master'!I130</f>
        <v>0</v>
      </c>
      <c r="J11" s="98">
        <f>+'Therm Sales Master'!J130</f>
        <v>0</v>
      </c>
      <c r="K11" s="96">
        <f>+'Therm Sales Master'!K130</f>
        <v>270184</v>
      </c>
      <c r="L11" s="96">
        <f>+'Therm Sales Master'!L130</f>
        <v>30225230</v>
      </c>
      <c r="M11" s="97">
        <f>+'Therm Sales Master'!M130</f>
        <v>7408861</v>
      </c>
      <c r="N11" s="97">
        <f>+'Therm Sales Master'!N130</f>
        <v>5846716</v>
      </c>
      <c r="O11" s="97">
        <f>+'Therm Sales Master'!O130</f>
        <v>228696</v>
      </c>
      <c r="P11" s="98">
        <f>+'Therm Sales Master'!P130</f>
        <v>0</v>
      </c>
      <c r="R11" s="97">
        <f t="shared" si="0"/>
        <v>82269503</v>
      </c>
    </row>
    <row r="12" spans="1:19" x14ac:dyDescent="0.2">
      <c r="A12" s="95">
        <v>43555</v>
      </c>
      <c r="B12" s="96">
        <f>+'Therm Sales Master'!B131</f>
        <v>22406676</v>
      </c>
      <c r="C12" s="97">
        <f>+'Therm Sales Master'!C131</f>
        <v>0</v>
      </c>
      <c r="D12" s="97">
        <f>+'Therm Sales Master'!D131</f>
        <v>1794729</v>
      </c>
      <c r="E12" s="98">
        <f>+'Therm Sales Master'!E131</f>
        <v>344448</v>
      </c>
      <c r="F12" s="97">
        <f>+'Therm Sales Master'!F131</f>
        <v>3527</v>
      </c>
      <c r="G12" s="97">
        <f>+'Therm Sales Master'!G131</f>
        <v>15941825</v>
      </c>
      <c r="H12" s="98">
        <f>+'Therm Sales Master'!H131</f>
        <v>1650107</v>
      </c>
      <c r="I12" s="97">
        <f>+'Therm Sales Master'!I131</f>
        <v>0</v>
      </c>
      <c r="J12" s="98">
        <f>+'Therm Sales Master'!J131</f>
        <v>0</v>
      </c>
      <c r="K12" s="96">
        <f>+'Therm Sales Master'!K131</f>
        <v>248145</v>
      </c>
      <c r="L12" s="96">
        <f>+'Therm Sales Master'!L131</f>
        <v>29441177</v>
      </c>
      <c r="M12" s="97">
        <f>+'Therm Sales Master'!M131</f>
        <v>9817659</v>
      </c>
      <c r="N12" s="97">
        <f>+'Therm Sales Master'!N131</f>
        <v>3088142</v>
      </c>
      <c r="O12" s="97">
        <f>+'Therm Sales Master'!O131</f>
        <v>0</v>
      </c>
      <c r="P12" s="98">
        <f>+'Therm Sales Master'!P131</f>
        <v>0</v>
      </c>
      <c r="R12" s="97">
        <f t="shared" si="0"/>
        <v>84736435</v>
      </c>
    </row>
    <row r="13" spans="1:19" x14ac:dyDescent="0.2">
      <c r="A13" s="95">
        <v>43585</v>
      </c>
      <c r="B13" s="96">
        <f>+'Therm Sales Master'!B132</f>
        <v>12262358</v>
      </c>
      <c r="C13" s="97">
        <f>+'Therm Sales Master'!C132</f>
        <v>0</v>
      </c>
      <c r="D13" s="97">
        <f>+'Therm Sales Master'!D132</f>
        <v>1331310</v>
      </c>
      <c r="E13" s="98">
        <f>+'Therm Sales Master'!E132</f>
        <v>339049</v>
      </c>
      <c r="F13" s="97">
        <f>+'Therm Sales Master'!F132</f>
        <v>2258</v>
      </c>
      <c r="G13" s="97">
        <f>+'Therm Sales Master'!G132</f>
        <v>9096547</v>
      </c>
      <c r="H13" s="98">
        <f>+'Therm Sales Master'!H132</f>
        <v>1028839</v>
      </c>
      <c r="I13" s="97">
        <f>+'Therm Sales Master'!I132</f>
        <v>128</v>
      </c>
      <c r="J13" s="98">
        <f>+'Therm Sales Master'!J132</f>
        <v>0</v>
      </c>
      <c r="K13" s="96">
        <f>+'Therm Sales Master'!K132</f>
        <v>191467</v>
      </c>
      <c r="L13" s="96">
        <f>+'Therm Sales Master'!L132</f>
        <v>27808927</v>
      </c>
      <c r="M13" s="97">
        <f>+'Therm Sales Master'!M132</f>
        <v>7594206</v>
      </c>
      <c r="N13" s="97">
        <f>+'Therm Sales Master'!N132</f>
        <v>2551096</v>
      </c>
      <c r="O13" s="97">
        <f>+'Therm Sales Master'!O132</f>
        <v>24270</v>
      </c>
      <c r="P13" s="98">
        <f>+'Therm Sales Master'!P132</f>
        <v>0</v>
      </c>
      <c r="R13" s="97">
        <f t="shared" si="0"/>
        <v>62230455</v>
      </c>
    </row>
    <row r="14" spans="1:19" x14ac:dyDescent="0.2">
      <c r="A14" s="95">
        <v>43616</v>
      </c>
      <c r="B14" s="96">
        <f>+'Therm Sales Master'!B133</f>
        <v>7409569</v>
      </c>
      <c r="C14" s="97">
        <f>+'Therm Sales Master'!C133</f>
        <v>0</v>
      </c>
      <c r="D14" s="97">
        <f>+'Therm Sales Master'!D133</f>
        <v>789879</v>
      </c>
      <c r="E14" s="98">
        <f>+'Therm Sales Master'!E133</f>
        <v>267660</v>
      </c>
      <c r="F14" s="97">
        <f>+'Therm Sales Master'!F133</f>
        <v>645</v>
      </c>
      <c r="G14" s="97">
        <f>+'Therm Sales Master'!G133</f>
        <v>5370530</v>
      </c>
      <c r="H14" s="98">
        <f>+'Therm Sales Master'!H133</f>
        <v>692205</v>
      </c>
      <c r="I14" s="97">
        <f>+'Therm Sales Master'!I133</f>
        <v>151</v>
      </c>
      <c r="J14" s="98">
        <f>+'Therm Sales Master'!J133</f>
        <v>0</v>
      </c>
      <c r="K14" s="96">
        <f>+'Therm Sales Master'!K133</f>
        <v>142256</v>
      </c>
      <c r="L14" s="96">
        <f>+'Therm Sales Master'!L133</f>
        <v>29847911</v>
      </c>
      <c r="M14" s="97">
        <f>+'Therm Sales Master'!M133</f>
        <v>5340649</v>
      </c>
      <c r="N14" s="97">
        <f>+'Therm Sales Master'!N133</f>
        <v>381981</v>
      </c>
      <c r="O14" s="97">
        <f>+'Therm Sales Master'!O133</f>
        <v>234043</v>
      </c>
      <c r="P14" s="98">
        <f>+'Therm Sales Master'!P133</f>
        <v>0</v>
      </c>
      <c r="R14" s="97">
        <f t="shared" si="0"/>
        <v>50477479</v>
      </c>
    </row>
    <row r="15" spans="1:19" x14ac:dyDescent="0.2">
      <c r="A15" s="95">
        <v>43646</v>
      </c>
      <c r="B15" s="96">
        <f>+'Therm Sales Master'!B134</f>
        <v>4046705</v>
      </c>
      <c r="C15" s="97">
        <f>+'Therm Sales Master'!C134</f>
        <v>0</v>
      </c>
      <c r="D15" s="97">
        <f>+'Therm Sales Master'!D134</f>
        <v>579038</v>
      </c>
      <c r="E15" s="98">
        <f>+'Therm Sales Master'!E134</f>
        <v>275040</v>
      </c>
      <c r="F15" s="97">
        <f>+'Therm Sales Master'!F134</f>
        <v>367</v>
      </c>
      <c r="G15" s="97">
        <f>+'Therm Sales Master'!G134</f>
        <v>3465484</v>
      </c>
      <c r="H15" s="98">
        <f>+'Therm Sales Master'!H134</f>
        <v>479946</v>
      </c>
      <c r="I15" s="97">
        <f>+'Therm Sales Master'!I134</f>
        <v>0</v>
      </c>
      <c r="J15" s="98">
        <f>+'Therm Sales Master'!J134</f>
        <v>0</v>
      </c>
      <c r="K15" s="96">
        <f>+'Therm Sales Master'!K134</f>
        <v>110987</v>
      </c>
      <c r="L15" s="96">
        <f>+'Therm Sales Master'!L134</f>
        <v>27060192</v>
      </c>
      <c r="M15" s="97">
        <f>+'Therm Sales Master'!M134</f>
        <v>7824546</v>
      </c>
      <c r="N15" s="97">
        <f>+'Therm Sales Master'!N134</f>
        <v>6776820</v>
      </c>
      <c r="O15" s="97">
        <f>+'Therm Sales Master'!O134</f>
        <v>1112893</v>
      </c>
      <c r="P15" s="98">
        <f>+'Therm Sales Master'!P134</f>
        <v>0</v>
      </c>
      <c r="R15" s="97">
        <f t="shared" si="0"/>
        <v>51732018</v>
      </c>
    </row>
    <row r="16" spans="1:19" x14ac:dyDescent="0.2">
      <c r="A16" s="95">
        <v>43677</v>
      </c>
      <c r="B16" s="96">
        <f>+'Therm Sales Master'!B135</f>
        <v>3217527</v>
      </c>
      <c r="C16" s="97">
        <f>+'Therm Sales Master'!C135</f>
        <v>0</v>
      </c>
      <c r="D16" s="97">
        <f>+'Therm Sales Master'!D135</f>
        <v>537168</v>
      </c>
      <c r="E16" s="98">
        <f>+'Therm Sales Master'!E135</f>
        <v>315197</v>
      </c>
      <c r="F16" s="97">
        <f>+'Therm Sales Master'!F135</f>
        <v>155</v>
      </c>
      <c r="G16" s="97">
        <f>+'Therm Sales Master'!G135</f>
        <v>3054528</v>
      </c>
      <c r="H16" s="98">
        <f>+'Therm Sales Master'!H135</f>
        <v>406093</v>
      </c>
      <c r="I16" s="97">
        <f>+'Therm Sales Master'!I135</f>
        <v>163</v>
      </c>
      <c r="J16" s="98">
        <f>+'Therm Sales Master'!J135</f>
        <v>0</v>
      </c>
      <c r="K16" s="96">
        <f>+'Therm Sales Master'!K135</f>
        <v>120028</v>
      </c>
      <c r="L16" s="96">
        <f>+'Therm Sales Master'!L135</f>
        <v>26075307</v>
      </c>
      <c r="M16" s="97">
        <f>+'Therm Sales Master'!M135</f>
        <v>14501183</v>
      </c>
      <c r="N16" s="97">
        <f>+'Therm Sales Master'!N135</f>
        <v>14122838</v>
      </c>
      <c r="O16" s="97">
        <f>+'Therm Sales Master'!O135</f>
        <v>5050508</v>
      </c>
      <c r="P16" s="98">
        <f>+'Therm Sales Master'!P135</f>
        <v>0</v>
      </c>
      <c r="R16" s="97">
        <f t="shared" ref="R16:R22" si="2">SUM(B16:Q16)</f>
        <v>67400695</v>
      </c>
    </row>
    <row r="17" spans="1:40" x14ac:dyDescent="0.2">
      <c r="A17" s="95">
        <v>43708</v>
      </c>
      <c r="B17" s="96">
        <f>+'Therm Sales Master'!B136</f>
        <v>2775098</v>
      </c>
      <c r="C17" s="97">
        <f>+'Therm Sales Master'!C136</f>
        <v>0</v>
      </c>
      <c r="D17" s="97">
        <f>+'Therm Sales Master'!D136</f>
        <v>564404</v>
      </c>
      <c r="E17" s="98">
        <f>+'Therm Sales Master'!E136</f>
        <v>350812</v>
      </c>
      <c r="F17" s="97">
        <f>+'Therm Sales Master'!F136</f>
        <v>138</v>
      </c>
      <c r="G17" s="97">
        <f>+'Therm Sales Master'!G136</f>
        <v>2791770</v>
      </c>
      <c r="H17" s="98">
        <f>+'Therm Sales Master'!H136</f>
        <v>400926</v>
      </c>
      <c r="I17" s="97">
        <f>+'Therm Sales Master'!I136</f>
        <v>0</v>
      </c>
      <c r="J17" s="98">
        <f>+'Therm Sales Master'!J136</f>
        <v>0</v>
      </c>
      <c r="K17" s="96">
        <f>+'Therm Sales Master'!K136</f>
        <v>93626</v>
      </c>
      <c r="L17" s="96">
        <f>+'Therm Sales Master'!L136</f>
        <v>28191126</v>
      </c>
      <c r="M17" s="97">
        <f>+'Therm Sales Master'!M136</f>
        <v>16164686</v>
      </c>
      <c r="N17" s="97">
        <f>+'Therm Sales Master'!N136</f>
        <v>15605297</v>
      </c>
      <c r="O17" s="97">
        <f>+'Therm Sales Master'!O136</f>
        <v>9500954</v>
      </c>
      <c r="P17" s="98">
        <f>+'Therm Sales Master'!P136</f>
        <v>0</v>
      </c>
      <c r="R17" s="97">
        <f t="shared" si="2"/>
        <v>76438837</v>
      </c>
    </row>
    <row r="18" spans="1:40" x14ac:dyDescent="0.2">
      <c r="A18" s="95">
        <v>43738</v>
      </c>
      <c r="B18" s="96">
        <f>+'Therm Sales Master'!B137</f>
        <v>2691847</v>
      </c>
      <c r="C18" s="97">
        <f>+'Therm Sales Master'!C137</f>
        <v>0</v>
      </c>
      <c r="D18" s="97">
        <f>+'Therm Sales Master'!D137</f>
        <v>651984</v>
      </c>
      <c r="E18" s="98">
        <f>+'Therm Sales Master'!E137</f>
        <v>310612</v>
      </c>
      <c r="F18" s="97">
        <f>+'Therm Sales Master'!F137</f>
        <v>619</v>
      </c>
      <c r="G18" s="97">
        <f>+'Therm Sales Master'!G137</f>
        <v>2672689</v>
      </c>
      <c r="H18" s="98">
        <f>+'Therm Sales Master'!H137</f>
        <v>346838</v>
      </c>
      <c r="I18" s="97">
        <f>+'Therm Sales Master'!I137</f>
        <v>411</v>
      </c>
      <c r="J18" s="98">
        <f>+'Therm Sales Master'!J137</f>
        <v>0</v>
      </c>
      <c r="K18" s="96">
        <f>+'Therm Sales Master'!K137</f>
        <v>111442</v>
      </c>
      <c r="L18" s="96">
        <f>+'Therm Sales Master'!L137</f>
        <v>31412664</v>
      </c>
      <c r="M18" s="97">
        <f>+'Therm Sales Master'!M137</f>
        <v>15653966</v>
      </c>
      <c r="N18" s="97">
        <f>+'Therm Sales Master'!N137</f>
        <v>14512835</v>
      </c>
      <c r="O18" s="97">
        <f>+'Therm Sales Master'!O137</f>
        <v>4852567</v>
      </c>
      <c r="P18" s="98">
        <f>+'Therm Sales Master'!P137</f>
        <v>0</v>
      </c>
      <c r="R18" s="97">
        <f t="shared" si="2"/>
        <v>73218474</v>
      </c>
    </row>
    <row r="19" spans="1:40" x14ac:dyDescent="0.2">
      <c r="A19" s="95">
        <v>43769</v>
      </c>
      <c r="B19" s="96">
        <f>+'Therm Sales Master'!B138</f>
        <v>6366467</v>
      </c>
      <c r="C19" s="97">
        <f>+'Therm Sales Master'!C138</f>
        <v>0</v>
      </c>
      <c r="D19" s="97">
        <f>+'Therm Sales Master'!D138</f>
        <v>1274354</v>
      </c>
      <c r="E19" s="98">
        <f>+'Therm Sales Master'!E138</f>
        <v>413276</v>
      </c>
      <c r="F19" s="97">
        <f>+'Therm Sales Master'!F138</f>
        <v>2955</v>
      </c>
      <c r="G19" s="97">
        <f>+'Therm Sales Master'!G138</f>
        <v>4853452</v>
      </c>
      <c r="H19" s="98">
        <f>+'Therm Sales Master'!H138</f>
        <v>2027719</v>
      </c>
      <c r="I19" s="97">
        <f>+'Therm Sales Master'!I138</f>
        <v>317</v>
      </c>
      <c r="J19" s="98">
        <f>+'Therm Sales Master'!J138</f>
        <v>0</v>
      </c>
      <c r="K19" s="96">
        <f>+'Therm Sales Master'!K138</f>
        <v>232820</v>
      </c>
      <c r="L19" s="96">
        <f>+'Therm Sales Master'!L138</f>
        <v>34409561</v>
      </c>
      <c r="M19" s="97">
        <f>+'Therm Sales Master'!M138</f>
        <v>11066352</v>
      </c>
      <c r="N19" s="97">
        <f>+'Therm Sales Master'!N138</f>
        <v>667138</v>
      </c>
      <c r="O19" s="97">
        <f>+'Therm Sales Master'!O138</f>
        <v>897404</v>
      </c>
      <c r="P19" s="98">
        <f>+'Therm Sales Master'!P138</f>
        <v>0</v>
      </c>
      <c r="R19" s="97">
        <f t="shared" si="2"/>
        <v>62211815</v>
      </c>
    </row>
    <row r="20" spans="1:40" x14ac:dyDescent="0.2">
      <c r="A20" s="95">
        <v>43799</v>
      </c>
      <c r="B20" s="96">
        <f>+'Therm Sales Master'!B139</f>
        <v>7622134</v>
      </c>
      <c r="C20" s="97">
        <f>+'Therm Sales Master'!C139</f>
        <v>0</v>
      </c>
      <c r="D20" s="97">
        <f>+'Therm Sales Master'!D139</f>
        <v>806453</v>
      </c>
      <c r="E20" s="98">
        <f>+'Therm Sales Master'!E139</f>
        <v>292270</v>
      </c>
      <c r="F20" s="97">
        <f>+'Therm Sales Master'!F139</f>
        <v>0</v>
      </c>
      <c r="G20" s="97">
        <f>+'Therm Sales Master'!G139</f>
        <v>5319138</v>
      </c>
      <c r="H20" s="98">
        <f>+'Therm Sales Master'!H139</f>
        <v>626870</v>
      </c>
      <c r="I20" s="97">
        <f>+'Therm Sales Master'!I139</f>
        <v>0</v>
      </c>
      <c r="J20" s="98">
        <f>+'Therm Sales Master'!J139</f>
        <v>0</v>
      </c>
      <c r="K20" s="96">
        <f>+'Therm Sales Master'!K139</f>
        <v>0</v>
      </c>
      <c r="L20" s="96">
        <f>+'Therm Sales Master'!L139</f>
        <v>132</v>
      </c>
      <c r="M20" s="97">
        <f>+'Therm Sales Master'!M139</f>
        <v>0</v>
      </c>
      <c r="N20" s="97">
        <f>+'Therm Sales Master'!N139</f>
        <v>0</v>
      </c>
      <c r="O20" s="97">
        <f>+'Therm Sales Master'!O139</f>
        <v>0</v>
      </c>
      <c r="P20" s="98">
        <f>+'Therm Sales Master'!P139</f>
        <v>0</v>
      </c>
      <c r="R20" s="97">
        <f t="shared" si="2"/>
        <v>14666997</v>
      </c>
      <c r="S20" s="1" t="s">
        <v>56</v>
      </c>
    </row>
    <row r="21" spans="1:40" x14ac:dyDescent="0.2">
      <c r="A21" s="95">
        <v>43799</v>
      </c>
      <c r="B21" s="96">
        <f>+'Therm Sales Master'!B140</f>
        <v>4006834</v>
      </c>
      <c r="C21" s="97">
        <f>+'Therm Sales Master'!C140</f>
        <v>0</v>
      </c>
      <c r="D21" s="97">
        <f>+'Therm Sales Master'!D140</f>
        <v>352170</v>
      </c>
      <c r="E21" s="98">
        <f>+'Therm Sales Master'!E140</f>
        <v>192646</v>
      </c>
      <c r="F21" s="97">
        <f>+'Therm Sales Master'!F140</f>
        <v>3958</v>
      </c>
      <c r="G21" s="97">
        <f>+'Therm Sales Master'!G140</f>
        <v>2589532</v>
      </c>
      <c r="H21" s="98">
        <f>+'Therm Sales Master'!H140</f>
        <v>1908901</v>
      </c>
      <c r="I21" s="97">
        <f>+'Therm Sales Master'!I140</f>
        <v>491</v>
      </c>
      <c r="J21" s="98">
        <f>+'Therm Sales Master'!J140</f>
        <v>0</v>
      </c>
      <c r="K21" s="96">
        <f>+'Therm Sales Master'!K140</f>
        <v>230233</v>
      </c>
      <c r="L21" s="96">
        <f>+'Therm Sales Master'!L140</f>
        <v>29790523</v>
      </c>
      <c r="M21" s="97">
        <f>+'Therm Sales Master'!M140</f>
        <v>12699045</v>
      </c>
      <c r="N21" s="97">
        <f>+'Therm Sales Master'!N140</f>
        <v>5956005</v>
      </c>
      <c r="O21" s="97">
        <f>+'Therm Sales Master'!O140</f>
        <v>211269</v>
      </c>
      <c r="P21" s="98">
        <f>+'Therm Sales Master'!P140</f>
        <v>0</v>
      </c>
      <c r="R21" s="97">
        <f t="shared" ref="R21" si="3">SUM(B21:Q21)</f>
        <v>57941607</v>
      </c>
      <c r="S21" s="1" t="s">
        <v>57</v>
      </c>
    </row>
    <row r="22" spans="1:40" x14ac:dyDescent="0.2">
      <c r="A22" s="95">
        <v>43830</v>
      </c>
      <c r="B22" s="96">
        <f>+'Therm Sales Master'!B141</f>
        <v>17650518</v>
      </c>
      <c r="C22" s="97">
        <f>+'Therm Sales Master'!C141</f>
        <v>0</v>
      </c>
      <c r="D22" s="97">
        <f>+'Therm Sales Master'!D141</f>
        <v>1422636</v>
      </c>
      <c r="E22" s="98">
        <f>+'Therm Sales Master'!E141</f>
        <v>368658</v>
      </c>
      <c r="F22" s="97">
        <f>+'Therm Sales Master'!F141</f>
        <v>4552</v>
      </c>
      <c r="G22" s="97">
        <f>+'Therm Sales Master'!G141</f>
        <v>11976706</v>
      </c>
      <c r="H22" s="98">
        <f>+'Therm Sales Master'!H141</f>
        <v>2959155</v>
      </c>
      <c r="I22" s="97">
        <f>+'Therm Sales Master'!I141</f>
        <v>261</v>
      </c>
      <c r="J22" s="98">
        <f>+'Therm Sales Master'!J141</f>
        <v>0</v>
      </c>
      <c r="K22" s="96">
        <f>+'Therm Sales Master'!K141</f>
        <v>254015</v>
      </c>
      <c r="L22" s="96">
        <f>+'Therm Sales Master'!L141</f>
        <v>31617374</v>
      </c>
      <c r="M22" s="97">
        <f>+'Therm Sales Master'!M141</f>
        <v>14173947</v>
      </c>
      <c r="N22" s="97">
        <f>+'Therm Sales Master'!N141</f>
        <v>13886984</v>
      </c>
      <c r="O22" s="97">
        <f>+'Therm Sales Master'!O141</f>
        <v>1297588</v>
      </c>
      <c r="P22" s="98">
        <f>+'Therm Sales Master'!P141</f>
        <v>0</v>
      </c>
      <c r="R22" s="97">
        <f t="shared" si="2"/>
        <v>95612394</v>
      </c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</row>
    <row r="23" spans="1:40" x14ac:dyDescent="0.2">
      <c r="A23" s="95">
        <v>43861</v>
      </c>
      <c r="B23" s="96">
        <f>+'Therm Sales Master'!B142</f>
        <v>21443608</v>
      </c>
      <c r="C23" s="97">
        <f>+'Therm Sales Master'!C142</f>
        <v>0</v>
      </c>
      <c r="D23" s="97">
        <f>+'Therm Sales Master'!D142</f>
        <v>1522757</v>
      </c>
      <c r="E23" s="98">
        <f>+'Therm Sales Master'!E142</f>
        <v>431249</v>
      </c>
      <c r="F23" s="97">
        <f>+'Therm Sales Master'!F142</f>
        <v>4887</v>
      </c>
      <c r="G23" s="97">
        <f>+'Therm Sales Master'!G142</f>
        <v>14478708</v>
      </c>
      <c r="H23" s="98">
        <f>+'Therm Sales Master'!H142</f>
        <v>3309514</v>
      </c>
      <c r="I23" s="97">
        <f>+'Therm Sales Master'!I142</f>
        <v>85</v>
      </c>
      <c r="J23" s="98">
        <f>+'Therm Sales Master'!J142</f>
        <v>0</v>
      </c>
      <c r="K23" s="96">
        <f>+'Therm Sales Master'!K142</f>
        <v>256203</v>
      </c>
      <c r="L23" s="96">
        <f>+'Therm Sales Master'!L142</f>
        <v>32467716</v>
      </c>
      <c r="M23" s="97">
        <f>+'Therm Sales Master'!M142</f>
        <v>12220363</v>
      </c>
      <c r="N23" s="97">
        <f>+'Therm Sales Master'!N142</f>
        <v>9693367</v>
      </c>
      <c r="O23" s="97">
        <f>+'Therm Sales Master'!O142</f>
        <v>362331</v>
      </c>
      <c r="P23" s="98">
        <f>+'Therm Sales Master'!P142</f>
        <v>0</v>
      </c>
      <c r="R23" s="97">
        <f t="shared" ref="R23:R35" si="4">SUM(B23:Q23)</f>
        <v>96190788</v>
      </c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</row>
    <row r="24" spans="1:40" x14ac:dyDescent="0.2">
      <c r="A24" s="95">
        <v>43890</v>
      </c>
      <c r="B24" s="96">
        <f>+'Therm Sales Master'!B143</f>
        <v>17506775</v>
      </c>
      <c r="C24" s="97">
        <f>+'Therm Sales Master'!C143</f>
        <v>0</v>
      </c>
      <c r="D24" s="97">
        <f>+'Therm Sales Master'!D143</f>
        <v>1322495</v>
      </c>
      <c r="E24" s="98">
        <f>+'Therm Sales Master'!E143</f>
        <v>393372</v>
      </c>
      <c r="F24" s="97">
        <f>+'Therm Sales Master'!F143</f>
        <v>4650</v>
      </c>
      <c r="G24" s="97">
        <f>+'Therm Sales Master'!G143</f>
        <v>11970901</v>
      </c>
      <c r="H24" s="98">
        <f>+'Therm Sales Master'!H143</f>
        <v>2889473</v>
      </c>
      <c r="I24" s="97">
        <f>+'Therm Sales Master'!I143</f>
        <v>341</v>
      </c>
      <c r="J24" s="98">
        <f>+'Therm Sales Master'!J143</f>
        <v>0</v>
      </c>
      <c r="K24" s="96">
        <f>+'Therm Sales Master'!K143</f>
        <v>228991</v>
      </c>
      <c r="L24" s="96">
        <f>+'Therm Sales Master'!L143</f>
        <v>30355704</v>
      </c>
      <c r="M24" s="97">
        <f>+'Therm Sales Master'!M143</f>
        <v>11897437</v>
      </c>
      <c r="N24" s="97">
        <f>+'Therm Sales Master'!N143</f>
        <v>7438730</v>
      </c>
      <c r="O24" s="97">
        <f>+'Therm Sales Master'!O143</f>
        <v>761639</v>
      </c>
      <c r="P24" s="98">
        <f>+'Therm Sales Master'!P143</f>
        <v>0</v>
      </c>
      <c r="R24" s="97">
        <f t="shared" si="4"/>
        <v>84770508</v>
      </c>
      <c r="U24" s="133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5"/>
      <c r="AG24" s="136"/>
      <c r="AH24" s="136"/>
      <c r="AI24" s="136"/>
      <c r="AJ24" s="136">
        <v>916</v>
      </c>
      <c r="AK24" s="133"/>
      <c r="AL24" s="137"/>
      <c r="AM24" s="133"/>
      <c r="AN24" s="133"/>
    </row>
    <row r="25" spans="1:40" x14ac:dyDescent="0.2">
      <c r="A25" s="95">
        <v>43921</v>
      </c>
      <c r="B25" s="96">
        <f>+'Therm Sales Master'!B144</f>
        <v>17635811</v>
      </c>
      <c r="C25" s="97">
        <f>+'Therm Sales Master'!C144</f>
        <v>0</v>
      </c>
      <c r="D25" s="97">
        <f>+'Therm Sales Master'!D144</f>
        <v>1356275</v>
      </c>
      <c r="E25" s="98">
        <f>+'Therm Sales Master'!E144</f>
        <v>297569</v>
      </c>
      <c r="F25" s="97">
        <f>+'Therm Sales Master'!F144</f>
        <v>4903</v>
      </c>
      <c r="G25" s="97">
        <f>+'Therm Sales Master'!G144</f>
        <v>11812961</v>
      </c>
      <c r="H25" s="98">
        <f>+'Therm Sales Master'!H144</f>
        <v>3033699</v>
      </c>
      <c r="I25" s="97">
        <f>+'Therm Sales Master'!I144</f>
        <v>182</v>
      </c>
      <c r="J25" s="98">
        <f>+'Therm Sales Master'!J144</f>
        <v>0</v>
      </c>
      <c r="K25" s="96">
        <f>+'Therm Sales Master'!K144</f>
        <v>229265</v>
      </c>
      <c r="L25" s="96">
        <f>+'Therm Sales Master'!L144</f>
        <v>32606618</v>
      </c>
      <c r="M25" s="97">
        <f>+'Therm Sales Master'!M144</f>
        <v>15670834</v>
      </c>
      <c r="N25" s="97">
        <f>+'Therm Sales Master'!N144</f>
        <v>14229128</v>
      </c>
      <c r="O25" s="97">
        <f>+'Therm Sales Master'!O144</f>
        <v>3004872</v>
      </c>
      <c r="P25" s="98">
        <f>+'Therm Sales Master'!P144</f>
        <v>0</v>
      </c>
      <c r="R25" s="97">
        <f t="shared" si="4"/>
        <v>99882117</v>
      </c>
      <c r="U25" s="138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>
        <v>0</v>
      </c>
      <c r="AK25" s="133"/>
      <c r="AL25" s="106"/>
      <c r="AM25" s="133"/>
      <c r="AN25" s="133"/>
    </row>
    <row r="26" spans="1:40" x14ac:dyDescent="0.2">
      <c r="A26" s="95">
        <v>43951</v>
      </c>
      <c r="B26" s="96">
        <f>+'Therm Sales Master'!B145</f>
        <v>13930299</v>
      </c>
      <c r="C26" s="97">
        <f>+'Therm Sales Master'!C145</f>
        <v>0</v>
      </c>
      <c r="D26" s="97">
        <f>+'Therm Sales Master'!D145</f>
        <v>1128418</v>
      </c>
      <c r="E26" s="98">
        <f>+'Therm Sales Master'!E145</f>
        <v>537766</v>
      </c>
      <c r="F26" s="97">
        <f>+'Therm Sales Master'!F145</f>
        <v>3889</v>
      </c>
      <c r="G26" s="97">
        <f>+'Therm Sales Master'!G145</f>
        <v>8554564</v>
      </c>
      <c r="H26" s="98">
        <f>+'Therm Sales Master'!H145</f>
        <v>2377971</v>
      </c>
      <c r="I26" s="97">
        <f>+'Therm Sales Master'!I145</f>
        <v>193</v>
      </c>
      <c r="J26" s="98">
        <f>+'Therm Sales Master'!J145</f>
        <v>0</v>
      </c>
      <c r="K26" s="96">
        <f>+'Therm Sales Master'!K145</f>
        <v>189521</v>
      </c>
      <c r="L26" s="96">
        <f>+'Therm Sales Master'!L145</f>
        <v>27153616</v>
      </c>
      <c r="M26" s="97">
        <f>+'Therm Sales Master'!M145</f>
        <v>13569738</v>
      </c>
      <c r="N26" s="97">
        <f>+'Therm Sales Master'!N145</f>
        <v>11001952</v>
      </c>
      <c r="O26" s="97">
        <f>+'Therm Sales Master'!O145</f>
        <v>3430843</v>
      </c>
      <c r="P26" s="98">
        <f>+'Therm Sales Master'!P145</f>
        <v>0</v>
      </c>
      <c r="R26" s="97">
        <f t="shared" si="4"/>
        <v>81878770</v>
      </c>
      <c r="U26" s="138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>
        <v>0</v>
      </c>
      <c r="AK26" s="133"/>
      <c r="AL26" s="106"/>
      <c r="AM26" s="133"/>
      <c r="AN26" s="133"/>
    </row>
    <row r="27" spans="1:40" x14ac:dyDescent="0.2">
      <c r="A27" s="95">
        <v>43982</v>
      </c>
      <c r="B27" s="96">
        <f>+'Therm Sales Master'!B146</f>
        <v>6809502</v>
      </c>
      <c r="C27" s="97">
        <f>+'Therm Sales Master'!C146</f>
        <v>0</v>
      </c>
      <c r="D27" s="97">
        <f>+'Therm Sales Master'!D146</f>
        <v>713209</v>
      </c>
      <c r="E27" s="98">
        <f>+'Therm Sales Master'!E146</f>
        <v>222952</v>
      </c>
      <c r="F27" s="97">
        <f>+'Therm Sales Master'!F146</f>
        <v>2219</v>
      </c>
      <c r="G27" s="97">
        <f>+'Therm Sales Master'!G146</f>
        <v>4127918</v>
      </c>
      <c r="H27" s="98">
        <f>+'Therm Sales Master'!H146</f>
        <v>1489675</v>
      </c>
      <c r="I27" s="97">
        <f>+'Therm Sales Master'!I146</f>
        <v>0</v>
      </c>
      <c r="J27" s="98">
        <f>+'Therm Sales Master'!J146</f>
        <v>0</v>
      </c>
      <c r="K27" s="96">
        <f>+'Therm Sales Master'!K146</f>
        <v>139474</v>
      </c>
      <c r="L27" s="96">
        <f>+'Therm Sales Master'!L146</f>
        <v>29220834</v>
      </c>
      <c r="M27" s="97">
        <f>+'Therm Sales Master'!M146</f>
        <v>2198918</v>
      </c>
      <c r="N27" s="97">
        <f>+'Therm Sales Master'!N146</f>
        <v>791584</v>
      </c>
      <c r="O27" s="97">
        <f>+'Therm Sales Master'!O146</f>
        <v>447784</v>
      </c>
      <c r="P27" s="98">
        <f>+'Therm Sales Master'!P146</f>
        <v>0</v>
      </c>
      <c r="R27" s="97">
        <f t="shared" si="4"/>
        <v>46164069</v>
      </c>
      <c r="U27" s="138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>
        <v>0</v>
      </c>
      <c r="AK27" s="133"/>
      <c r="AL27" s="106"/>
      <c r="AM27" s="133"/>
      <c r="AN27" s="133"/>
    </row>
    <row r="28" spans="1:40" x14ac:dyDescent="0.2">
      <c r="A28" s="95">
        <v>44012</v>
      </c>
      <c r="B28" s="96">
        <f>+'Therm Sales Master'!B147</f>
        <v>5005480</v>
      </c>
      <c r="C28" s="97">
        <f>+'Therm Sales Master'!C147</f>
        <v>0</v>
      </c>
      <c r="D28" s="97">
        <f>+'Therm Sales Master'!D147</f>
        <v>637229</v>
      </c>
      <c r="E28" s="98">
        <f>+'Therm Sales Master'!E147</f>
        <v>433558</v>
      </c>
      <c r="F28" s="97">
        <f>+'Therm Sales Master'!F147</f>
        <v>2099</v>
      </c>
      <c r="G28" s="97">
        <f>+'Therm Sales Master'!G147</f>
        <v>3158885</v>
      </c>
      <c r="H28" s="98">
        <f>+'Therm Sales Master'!H147</f>
        <v>1216237</v>
      </c>
      <c r="I28" s="97">
        <f>+'Therm Sales Master'!I147</f>
        <v>0</v>
      </c>
      <c r="J28" s="98">
        <f>+'Therm Sales Master'!J147</f>
        <v>0</v>
      </c>
      <c r="K28" s="96">
        <f>+'Therm Sales Master'!K147</f>
        <v>109505</v>
      </c>
      <c r="L28" s="96">
        <f>+'Therm Sales Master'!L147</f>
        <v>27661973</v>
      </c>
      <c r="M28" s="97">
        <f>+'Therm Sales Master'!M147</f>
        <v>3015900</v>
      </c>
      <c r="N28" s="97">
        <f>+'Therm Sales Master'!N147</f>
        <v>1306946</v>
      </c>
      <c r="O28" s="97">
        <f>+'Therm Sales Master'!O147</f>
        <v>736401</v>
      </c>
      <c r="P28" s="98">
        <f>+'Therm Sales Master'!P147</f>
        <v>0</v>
      </c>
      <c r="R28" s="97">
        <f t="shared" si="4"/>
        <v>43284213</v>
      </c>
      <c r="U28" s="138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>
        <v>0</v>
      </c>
      <c r="AK28" s="133"/>
      <c r="AL28" s="106"/>
      <c r="AM28" s="133"/>
      <c r="AN28" s="133"/>
    </row>
    <row r="29" spans="1:40" x14ac:dyDescent="0.2">
      <c r="A29" s="95">
        <v>44043</v>
      </c>
      <c r="B29" s="96">
        <f>+'Therm Sales Master'!B148</f>
        <v>4024864</v>
      </c>
      <c r="C29" s="97">
        <f>+'Therm Sales Master'!C148</f>
        <v>0</v>
      </c>
      <c r="D29" s="97">
        <f>+'Therm Sales Master'!D148</f>
        <v>562464</v>
      </c>
      <c r="E29" s="98">
        <f>+'Therm Sales Master'!E148</f>
        <v>335278</v>
      </c>
      <c r="F29" s="97">
        <f>+'Therm Sales Master'!F148</f>
        <v>943</v>
      </c>
      <c r="G29" s="97">
        <f>+'Therm Sales Master'!G148</f>
        <v>2836474</v>
      </c>
      <c r="H29" s="98">
        <f>+'Therm Sales Master'!H148</f>
        <v>1217402</v>
      </c>
      <c r="I29" s="97">
        <f>+'Therm Sales Master'!I148</f>
        <v>0</v>
      </c>
      <c r="J29" s="98">
        <f>+'Therm Sales Master'!J148</f>
        <v>0</v>
      </c>
      <c r="K29" s="96">
        <f>+'Therm Sales Master'!K148</f>
        <v>106383</v>
      </c>
      <c r="L29" s="96">
        <f>+'Therm Sales Master'!L148</f>
        <v>28966911</v>
      </c>
      <c r="M29" s="97">
        <f>+'Therm Sales Master'!M148</f>
        <v>9874110</v>
      </c>
      <c r="N29" s="97">
        <f>+'Therm Sales Master'!N148</f>
        <v>5180231</v>
      </c>
      <c r="O29" s="97">
        <f>+'Therm Sales Master'!O148</f>
        <v>1984278</v>
      </c>
      <c r="P29" s="98">
        <f>+'Therm Sales Master'!P148</f>
        <v>0</v>
      </c>
      <c r="R29" s="97">
        <f t="shared" si="4"/>
        <v>55089338</v>
      </c>
      <c r="U29" s="138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>
        <v>0</v>
      </c>
      <c r="AK29" s="133"/>
      <c r="AL29" s="106"/>
      <c r="AM29" s="133"/>
      <c r="AN29" s="133"/>
    </row>
    <row r="30" spans="1:40" x14ac:dyDescent="0.2">
      <c r="A30" s="95">
        <v>44074</v>
      </c>
      <c r="B30" s="96">
        <f>+'Therm Sales Master'!B149</f>
        <v>2732363</v>
      </c>
      <c r="C30" s="97">
        <f>+'Therm Sales Master'!C149</f>
        <v>0</v>
      </c>
      <c r="D30" s="97">
        <f>+'Therm Sales Master'!D149</f>
        <v>497342</v>
      </c>
      <c r="E30" s="98">
        <f>+'Therm Sales Master'!E149</f>
        <v>298740</v>
      </c>
      <c r="F30" s="97">
        <f>+'Therm Sales Master'!F149</f>
        <v>816</v>
      </c>
      <c r="G30" s="97">
        <f>+'Therm Sales Master'!G149</f>
        <v>2165794</v>
      </c>
      <c r="H30" s="98">
        <f>+'Therm Sales Master'!H149</f>
        <v>956939</v>
      </c>
      <c r="I30" s="97">
        <f>+'Therm Sales Master'!I149</f>
        <v>0</v>
      </c>
      <c r="J30" s="98">
        <f>+'Therm Sales Master'!J149</f>
        <v>0</v>
      </c>
      <c r="K30" s="96">
        <f>+'Therm Sales Master'!K149</f>
        <v>100500</v>
      </c>
      <c r="L30" s="96">
        <f>+'Therm Sales Master'!L149</f>
        <v>32340707</v>
      </c>
      <c r="M30" s="97">
        <f>+'Therm Sales Master'!M149</f>
        <v>13157147</v>
      </c>
      <c r="N30" s="97">
        <f>+'Therm Sales Master'!N149</f>
        <v>10278160</v>
      </c>
      <c r="O30" s="97">
        <f>+'Therm Sales Master'!O149</f>
        <v>4334957</v>
      </c>
      <c r="P30" s="98">
        <f>+'Therm Sales Master'!P149</f>
        <v>0</v>
      </c>
      <c r="R30" s="97">
        <f t="shared" si="4"/>
        <v>66863465</v>
      </c>
      <c r="U30" s="138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>
        <v>0</v>
      </c>
      <c r="AK30" s="133"/>
      <c r="AL30" s="106"/>
      <c r="AM30" s="133"/>
      <c r="AN30" s="133"/>
    </row>
    <row r="31" spans="1:40" x14ac:dyDescent="0.2">
      <c r="A31" s="95">
        <v>44104</v>
      </c>
      <c r="B31" s="96">
        <f>+'Therm Sales Master'!B150</f>
        <v>2948480</v>
      </c>
      <c r="C31" s="97">
        <f>+'Therm Sales Master'!C150</f>
        <v>0</v>
      </c>
      <c r="D31" s="97">
        <f>+'Therm Sales Master'!D150</f>
        <v>620797</v>
      </c>
      <c r="E31" s="98">
        <f>+'Therm Sales Master'!E150</f>
        <v>341767</v>
      </c>
      <c r="F31" s="97">
        <f>+'Therm Sales Master'!F150</f>
        <v>643</v>
      </c>
      <c r="G31" s="97">
        <f>+'Therm Sales Master'!G150</f>
        <v>2450387</v>
      </c>
      <c r="H31" s="98">
        <f>+'Therm Sales Master'!H150</f>
        <v>933559</v>
      </c>
      <c r="I31" s="97">
        <f>+'Therm Sales Master'!I150</f>
        <v>0</v>
      </c>
      <c r="J31" s="98">
        <f>+'Therm Sales Master'!J150</f>
        <v>0</v>
      </c>
      <c r="K31" s="96">
        <f>+'Therm Sales Master'!K150</f>
        <v>94559</v>
      </c>
      <c r="L31" s="96">
        <f>+'Therm Sales Master'!L150</f>
        <v>34240639</v>
      </c>
      <c r="M31" s="97">
        <f>+'Therm Sales Master'!M150</f>
        <v>14061705</v>
      </c>
      <c r="N31" s="97">
        <f>+'Therm Sales Master'!N150</f>
        <v>12575104</v>
      </c>
      <c r="O31" s="97">
        <f>+'Therm Sales Master'!O150</f>
        <v>5435910</v>
      </c>
      <c r="P31" s="98">
        <f>+'Therm Sales Master'!P150</f>
        <v>0</v>
      </c>
      <c r="R31" s="97">
        <f t="shared" si="4"/>
        <v>73703550</v>
      </c>
      <c r="U31" s="138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>
        <v>0</v>
      </c>
      <c r="AK31" s="133"/>
      <c r="AL31" s="106"/>
      <c r="AM31" s="133"/>
      <c r="AN31" s="133"/>
    </row>
    <row r="32" spans="1:40" x14ac:dyDescent="0.2">
      <c r="A32" s="95">
        <v>44135</v>
      </c>
      <c r="B32" s="96">
        <f>+'Therm Sales Master'!B151</f>
        <v>4232461</v>
      </c>
      <c r="C32" s="97">
        <f>+'Therm Sales Master'!C151</f>
        <v>0</v>
      </c>
      <c r="D32" s="97">
        <f>+'Therm Sales Master'!D151</f>
        <v>1000739</v>
      </c>
      <c r="E32" s="98">
        <f>+'Therm Sales Master'!E151</f>
        <v>374010</v>
      </c>
      <c r="F32" s="97">
        <f>+'Therm Sales Master'!F151</f>
        <v>3290</v>
      </c>
      <c r="G32" s="97">
        <f>+'Therm Sales Master'!G151</f>
        <v>3183599</v>
      </c>
      <c r="H32" s="98">
        <f>+'Therm Sales Master'!H151</f>
        <v>506452</v>
      </c>
      <c r="I32" s="97">
        <f>+'Therm Sales Master'!I151</f>
        <v>0</v>
      </c>
      <c r="J32" s="98">
        <f>+'Therm Sales Master'!J151</f>
        <v>0</v>
      </c>
      <c r="K32" s="96">
        <f>+'Therm Sales Master'!K151</f>
        <v>178840</v>
      </c>
      <c r="L32" s="96">
        <f>+'Therm Sales Master'!L151</f>
        <v>36890125</v>
      </c>
      <c r="M32" s="97">
        <f>+'Therm Sales Master'!M151</f>
        <v>9459059</v>
      </c>
      <c r="N32" s="97">
        <f>+'Therm Sales Master'!N151</f>
        <v>8268305</v>
      </c>
      <c r="O32" s="97">
        <f>+'Therm Sales Master'!O151</f>
        <v>1590604</v>
      </c>
      <c r="P32" s="98">
        <f>+'Therm Sales Master'!P151</f>
        <v>0</v>
      </c>
      <c r="R32" s="97">
        <f t="shared" si="4"/>
        <v>65687484</v>
      </c>
      <c r="U32" s="138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>
        <v>0</v>
      </c>
      <c r="AK32" s="133"/>
      <c r="AL32" s="106"/>
      <c r="AM32" s="133"/>
      <c r="AN32" s="133"/>
    </row>
    <row r="33" spans="1:40" x14ac:dyDescent="0.2">
      <c r="A33" s="95">
        <v>44165</v>
      </c>
      <c r="B33" s="96">
        <f>+'Therm Sales Master'!B152</f>
        <v>6886950</v>
      </c>
      <c r="C33" s="97">
        <f>+'Therm Sales Master'!C152</f>
        <v>0</v>
      </c>
      <c r="D33" s="97">
        <f>+'Therm Sales Master'!D152</f>
        <v>615235</v>
      </c>
      <c r="E33" s="98">
        <f>+'Therm Sales Master'!E152</f>
        <v>224068</v>
      </c>
      <c r="F33" s="97">
        <f>+'Therm Sales Master'!F152</f>
        <v>0</v>
      </c>
      <c r="G33" s="97">
        <f>+'Therm Sales Master'!G152</f>
        <v>4428383</v>
      </c>
      <c r="H33" s="98">
        <f>+'Therm Sales Master'!H152</f>
        <v>570674</v>
      </c>
      <c r="I33" s="97">
        <f>+'Therm Sales Master'!I152</f>
        <v>0</v>
      </c>
      <c r="J33" s="98">
        <f>+'Therm Sales Master'!J152</f>
        <v>0</v>
      </c>
      <c r="K33" s="96">
        <f>+'Therm Sales Master'!K152</f>
        <v>0</v>
      </c>
      <c r="L33" s="96">
        <f>+'Therm Sales Master'!L152</f>
        <v>-43037</v>
      </c>
      <c r="M33" s="97">
        <f>+'Therm Sales Master'!M152</f>
        <v>0</v>
      </c>
      <c r="N33" s="97">
        <f>+'Therm Sales Master'!N152</f>
        <v>0</v>
      </c>
      <c r="O33" s="97">
        <f>+'Therm Sales Master'!O152</f>
        <v>0</v>
      </c>
      <c r="P33" s="98">
        <f>+'Therm Sales Master'!P152</f>
        <v>0</v>
      </c>
      <c r="R33" s="97">
        <f t="shared" si="4"/>
        <v>12682273</v>
      </c>
      <c r="S33" s="1" t="s">
        <v>56</v>
      </c>
      <c r="U33" s="138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>
        <v>0</v>
      </c>
      <c r="AK33" s="133"/>
      <c r="AL33" s="106"/>
      <c r="AM33" s="133"/>
      <c r="AN33" s="133"/>
    </row>
    <row r="34" spans="1:40" x14ac:dyDescent="0.2">
      <c r="A34" s="95">
        <v>44165</v>
      </c>
      <c r="B34" s="96">
        <f>+'Therm Sales Master'!B153</f>
        <v>3564962</v>
      </c>
      <c r="C34" s="97">
        <f>+'Therm Sales Master'!C153</f>
        <v>0</v>
      </c>
      <c r="D34" s="97">
        <f>+'Therm Sales Master'!D153</f>
        <v>255052</v>
      </c>
      <c r="E34" s="98">
        <f>+'Therm Sales Master'!E153</f>
        <v>108414</v>
      </c>
      <c r="F34" s="97">
        <f>+'Therm Sales Master'!F153</f>
        <v>5658</v>
      </c>
      <c r="G34" s="97">
        <f>+'Therm Sales Master'!G153</f>
        <v>2059842</v>
      </c>
      <c r="H34" s="98">
        <f>+'Therm Sales Master'!H153</f>
        <v>341335</v>
      </c>
      <c r="I34" s="97">
        <f>+'Therm Sales Master'!I153</f>
        <v>0</v>
      </c>
      <c r="J34" s="98">
        <f>+'Therm Sales Master'!J153</f>
        <v>0</v>
      </c>
      <c r="K34" s="96">
        <f>+'Therm Sales Master'!K153</f>
        <v>220318</v>
      </c>
      <c r="L34" s="96">
        <f>+'Therm Sales Master'!L153</f>
        <v>38203799</v>
      </c>
      <c r="M34" s="97">
        <f>+'Therm Sales Master'!M153</f>
        <v>7516479</v>
      </c>
      <c r="N34" s="97">
        <f>+'Therm Sales Master'!N153</f>
        <v>2419246</v>
      </c>
      <c r="O34" s="97">
        <f>+'Therm Sales Master'!O153</f>
        <v>916410</v>
      </c>
      <c r="P34" s="98">
        <f>+'Therm Sales Master'!P153</f>
        <v>0</v>
      </c>
      <c r="R34" s="97">
        <f t="shared" ref="R34" si="5">SUM(B34:Q34)</f>
        <v>55611515</v>
      </c>
      <c r="S34" s="1" t="s">
        <v>57</v>
      </c>
      <c r="U34" s="138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>
        <v>0</v>
      </c>
      <c r="AK34" s="133"/>
      <c r="AL34" s="106"/>
      <c r="AM34" s="133"/>
      <c r="AN34" s="133"/>
    </row>
    <row r="35" spans="1:40" x14ac:dyDescent="0.2">
      <c r="A35" s="95">
        <v>44196</v>
      </c>
      <c r="B35" s="96">
        <f>+'Therm Sales Master'!B154</f>
        <v>18475354</v>
      </c>
      <c r="C35" s="97">
        <f>+'Therm Sales Master'!C154</f>
        <v>0</v>
      </c>
      <c r="D35" s="97">
        <f>+'Therm Sales Master'!D154</f>
        <v>1356324</v>
      </c>
      <c r="E35" s="98">
        <f>+'Therm Sales Master'!E154</f>
        <v>419977</v>
      </c>
      <c r="F35" s="97">
        <f>+'Therm Sales Master'!F154</f>
        <v>7535</v>
      </c>
      <c r="G35" s="97">
        <f>+'Therm Sales Master'!G154</f>
        <v>12051598</v>
      </c>
      <c r="H35" s="98">
        <f>+'Therm Sales Master'!H154</f>
        <v>1502233</v>
      </c>
      <c r="I35" s="97">
        <f>+'Therm Sales Master'!I154</f>
        <v>0</v>
      </c>
      <c r="J35" s="98">
        <f>+'Therm Sales Master'!J154</f>
        <v>0</v>
      </c>
      <c r="K35" s="96">
        <f>+'Therm Sales Master'!K154</f>
        <v>244469</v>
      </c>
      <c r="L35" s="96">
        <f>+'Therm Sales Master'!L154</f>
        <v>37243979</v>
      </c>
      <c r="M35" s="97">
        <f>+'Therm Sales Master'!M154</f>
        <v>13353201</v>
      </c>
      <c r="N35" s="97">
        <f>+'Therm Sales Master'!N154</f>
        <v>9176642</v>
      </c>
      <c r="O35" s="97">
        <f>+'Therm Sales Master'!O154</f>
        <v>764453</v>
      </c>
      <c r="P35" s="98">
        <f>+'Therm Sales Master'!P154</f>
        <v>0</v>
      </c>
      <c r="R35" s="97">
        <f t="shared" si="4"/>
        <v>94595765</v>
      </c>
      <c r="U35" s="138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>
        <v>0</v>
      </c>
      <c r="AK35" s="133"/>
      <c r="AL35" s="106"/>
      <c r="AM35" s="133"/>
      <c r="AN35" s="133"/>
    </row>
    <row r="36" spans="1:40" x14ac:dyDescent="0.2">
      <c r="A36" s="95">
        <v>44227</v>
      </c>
      <c r="B36" s="96">
        <f>+'Therm Sales Master'!B155</f>
        <v>19685299</v>
      </c>
      <c r="C36" s="97">
        <f>+'Therm Sales Master'!C155</f>
        <v>0</v>
      </c>
      <c r="D36" s="97">
        <f>+'Therm Sales Master'!D155</f>
        <v>1264480</v>
      </c>
      <c r="E36" s="98">
        <f>+'Therm Sales Master'!E155</f>
        <v>431368</v>
      </c>
      <c r="F36" s="97">
        <f>+'Therm Sales Master'!F155</f>
        <v>12694</v>
      </c>
      <c r="G36" s="97">
        <f>+'Therm Sales Master'!G155</f>
        <v>12849986</v>
      </c>
      <c r="H36" s="98">
        <f>+'Therm Sales Master'!H155</f>
        <v>1460025</v>
      </c>
      <c r="I36" s="97">
        <f>+'Therm Sales Master'!I155</f>
        <v>0</v>
      </c>
      <c r="J36" s="98">
        <f>+'Therm Sales Master'!J155</f>
        <v>0</v>
      </c>
      <c r="K36" s="96">
        <f>+'Therm Sales Master'!K155</f>
        <v>248648</v>
      </c>
      <c r="L36" s="96">
        <f>+'Therm Sales Master'!L155</f>
        <v>39534451</v>
      </c>
      <c r="M36" s="97">
        <f>+'Therm Sales Master'!M155</f>
        <v>12333204</v>
      </c>
      <c r="N36" s="97">
        <f>+'Therm Sales Master'!N155</f>
        <v>5190781</v>
      </c>
      <c r="O36" s="97">
        <f>+'Therm Sales Master'!O155</f>
        <v>252622</v>
      </c>
      <c r="P36" s="98">
        <f>+'Therm Sales Master'!P155</f>
        <v>0</v>
      </c>
      <c r="R36" s="97">
        <f t="shared" ref="R36:R45" si="6">SUM(B36:Q36)</f>
        <v>93263558</v>
      </c>
      <c r="U36" s="138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>
        <v>0</v>
      </c>
      <c r="AK36" s="133"/>
      <c r="AL36" s="106"/>
      <c r="AM36" s="133"/>
      <c r="AN36" s="133"/>
    </row>
    <row r="37" spans="1:40" x14ac:dyDescent="0.2">
      <c r="A37" s="95">
        <v>44255</v>
      </c>
      <c r="B37" s="96">
        <f>+'Therm Sales Master'!B156</f>
        <v>18599534</v>
      </c>
      <c r="C37" s="97">
        <f>+'Therm Sales Master'!C156</f>
        <v>0</v>
      </c>
      <c r="D37" s="97">
        <f>+'Therm Sales Master'!D156</f>
        <v>1226133</v>
      </c>
      <c r="E37" s="98">
        <f>+'Therm Sales Master'!E156</f>
        <v>372501</v>
      </c>
      <c r="F37" s="97">
        <f>+'Therm Sales Master'!F156</f>
        <v>7553</v>
      </c>
      <c r="G37" s="97">
        <f>+'Therm Sales Master'!G156</f>
        <v>12050270</v>
      </c>
      <c r="H37" s="98">
        <f>+'Therm Sales Master'!H156</f>
        <v>1413677</v>
      </c>
      <c r="I37" s="97">
        <f>+'Therm Sales Master'!I156</f>
        <v>0</v>
      </c>
      <c r="J37" s="98">
        <f>+'Therm Sales Master'!J156</f>
        <v>0</v>
      </c>
      <c r="K37" s="96">
        <f>+'Therm Sales Master'!K156</f>
        <v>239855</v>
      </c>
      <c r="L37" s="96">
        <f>+'Therm Sales Master'!L156</f>
        <v>36249518</v>
      </c>
      <c r="M37" s="97">
        <f>+'Therm Sales Master'!M156</f>
        <v>10471909</v>
      </c>
      <c r="N37" s="97">
        <f>+'Therm Sales Master'!N156</f>
        <v>5382227</v>
      </c>
      <c r="O37" s="97">
        <f>+'Therm Sales Master'!O156</f>
        <v>982292</v>
      </c>
      <c r="P37" s="98">
        <f>+'Therm Sales Master'!P156</f>
        <v>0</v>
      </c>
      <c r="R37" s="97">
        <f t="shared" si="6"/>
        <v>86995469</v>
      </c>
      <c r="U37" s="138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>
        <v>0</v>
      </c>
      <c r="AK37" s="133"/>
      <c r="AL37" s="106"/>
      <c r="AM37" s="133"/>
      <c r="AN37" s="133"/>
    </row>
    <row r="38" spans="1:40" x14ac:dyDescent="0.2">
      <c r="A38" s="95">
        <v>44286</v>
      </c>
      <c r="B38" s="96">
        <f>+'Therm Sales Master'!B157</f>
        <v>19676756</v>
      </c>
      <c r="C38" s="97">
        <f>+'Therm Sales Master'!C157</f>
        <v>0</v>
      </c>
      <c r="D38" s="97">
        <f>+'Therm Sales Master'!D157</f>
        <v>1362750</v>
      </c>
      <c r="E38" s="98">
        <f>+'Therm Sales Master'!E157</f>
        <v>456093</v>
      </c>
      <c r="F38" s="97">
        <f>+'Therm Sales Master'!F157</f>
        <v>3998</v>
      </c>
      <c r="G38" s="97">
        <f>+'Therm Sales Master'!G157</f>
        <v>13158991</v>
      </c>
      <c r="H38" s="98">
        <f>+'Therm Sales Master'!H157</f>
        <v>1484437</v>
      </c>
      <c r="I38" s="97">
        <f>+'Therm Sales Master'!I157</f>
        <v>0</v>
      </c>
      <c r="J38" s="98">
        <f>+'Therm Sales Master'!J157</f>
        <v>0</v>
      </c>
      <c r="K38" s="96">
        <f>+'Therm Sales Master'!K157</f>
        <v>234583</v>
      </c>
      <c r="L38" s="96">
        <f>+'Therm Sales Master'!L157</f>
        <v>38737982</v>
      </c>
      <c r="M38" s="97">
        <f>+'Therm Sales Master'!M157</f>
        <v>15050505</v>
      </c>
      <c r="N38" s="97">
        <f>+'Therm Sales Master'!N157</f>
        <v>10973891</v>
      </c>
      <c r="O38" s="97">
        <f>+'Therm Sales Master'!O157</f>
        <v>2069033</v>
      </c>
      <c r="P38" s="98">
        <f>+'Therm Sales Master'!P157</f>
        <v>0</v>
      </c>
      <c r="R38" s="97">
        <f t="shared" si="6"/>
        <v>103209019</v>
      </c>
      <c r="U38" s="138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>
        <v>0</v>
      </c>
      <c r="AK38" s="133"/>
      <c r="AL38" s="106"/>
      <c r="AM38" s="133"/>
      <c r="AN38" s="133"/>
    </row>
    <row r="39" spans="1:40" x14ac:dyDescent="0.2">
      <c r="A39" s="95">
        <v>44316</v>
      </c>
      <c r="B39" s="96">
        <f>+'Therm Sales Master'!B158</f>
        <v>13567783</v>
      </c>
      <c r="C39" s="97">
        <f>+'Therm Sales Master'!C158</f>
        <v>0</v>
      </c>
      <c r="D39" s="97">
        <f>+'Therm Sales Master'!D158</f>
        <v>1066951</v>
      </c>
      <c r="E39" s="98">
        <f>+'Therm Sales Master'!E158</f>
        <v>426217</v>
      </c>
      <c r="F39" s="97">
        <f>+'Therm Sales Master'!F158</f>
        <v>2200</v>
      </c>
      <c r="G39" s="97">
        <f>+'Therm Sales Master'!G158</f>
        <v>9154067</v>
      </c>
      <c r="H39" s="98">
        <f>+'Therm Sales Master'!H158</f>
        <v>1134637</v>
      </c>
      <c r="I39" s="97">
        <f>+'Therm Sales Master'!I158</f>
        <v>0</v>
      </c>
      <c r="J39" s="98">
        <f>+'Therm Sales Master'!J158</f>
        <v>0</v>
      </c>
      <c r="K39" s="96">
        <f>+'Therm Sales Master'!K158</f>
        <v>180576</v>
      </c>
      <c r="L39" s="96">
        <f>+'Therm Sales Master'!L158</f>
        <v>36210898</v>
      </c>
      <c r="M39" s="97">
        <f>+'Therm Sales Master'!M158</f>
        <v>6562711</v>
      </c>
      <c r="N39" s="97">
        <f>+'Therm Sales Master'!N158</f>
        <v>12896888</v>
      </c>
      <c r="O39" s="97">
        <f>+'Therm Sales Master'!O158</f>
        <v>8378207</v>
      </c>
      <c r="P39" s="98">
        <f>+'Therm Sales Master'!P158</f>
        <v>0</v>
      </c>
      <c r="R39" s="97">
        <f t="shared" si="6"/>
        <v>89581135</v>
      </c>
      <c r="U39" s="138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>
        <v>0</v>
      </c>
      <c r="AK39" s="133"/>
      <c r="AL39" s="106"/>
      <c r="AM39" s="133"/>
      <c r="AN39" s="133"/>
    </row>
    <row r="40" spans="1:40" x14ac:dyDescent="0.2">
      <c r="A40" s="95">
        <v>44347</v>
      </c>
      <c r="B40" s="96">
        <f>+'Therm Sales Master'!B159</f>
        <v>6623364</v>
      </c>
      <c r="C40" s="97">
        <f>+'Therm Sales Master'!C159</f>
        <v>0</v>
      </c>
      <c r="D40" s="97">
        <f>+'Therm Sales Master'!D159</f>
        <v>680086</v>
      </c>
      <c r="E40" s="98">
        <f>+'Therm Sales Master'!E159</f>
        <v>286219</v>
      </c>
      <c r="F40" s="97">
        <f>+'Therm Sales Master'!F159</f>
        <v>3602</v>
      </c>
      <c r="G40" s="97">
        <f>+'Therm Sales Master'!G159</f>
        <v>4930955</v>
      </c>
      <c r="H40" s="98">
        <f>+'Therm Sales Master'!H159</f>
        <v>641375</v>
      </c>
      <c r="I40" s="97">
        <f>+'Therm Sales Master'!I159</f>
        <v>0</v>
      </c>
      <c r="J40" s="98">
        <f>+'Therm Sales Master'!J159</f>
        <v>0</v>
      </c>
      <c r="K40" s="96">
        <f>+'Therm Sales Master'!K159</f>
        <v>143789</v>
      </c>
      <c r="L40" s="96">
        <f>+'Therm Sales Master'!L159</f>
        <v>34143279</v>
      </c>
      <c r="M40" s="97">
        <f>+'Therm Sales Master'!M159</f>
        <v>364</v>
      </c>
      <c r="N40" s="97">
        <f>+'Therm Sales Master'!N159</f>
        <v>5871337</v>
      </c>
      <c r="O40" s="97">
        <f>+'Therm Sales Master'!O159</f>
        <v>2903752</v>
      </c>
      <c r="P40" s="98">
        <f>+'Therm Sales Master'!P159</f>
        <v>0</v>
      </c>
      <c r="R40" s="97">
        <f t="shared" si="6"/>
        <v>56228122</v>
      </c>
      <c r="U40" s="138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>
        <v>0</v>
      </c>
      <c r="AK40" s="133"/>
      <c r="AL40" s="106"/>
      <c r="AM40" s="133"/>
      <c r="AN40" s="133"/>
    </row>
    <row r="41" spans="1:40" x14ac:dyDescent="0.2">
      <c r="A41" s="95">
        <v>44377</v>
      </c>
      <c r="B41" s="96">
        <f>+'Therm Sales Master'!B160</f>
        <v>5165480</v>
      </c>
      <c r="C41" s="97">
        <f>+'Therm Sales Master'!C160</f>
        <v>0</v>
      </c>
      <c r="D41" s="97">
        <f>+'Therm Sales Master'!D160</f>
        <v>585095</v>
      </c>
      <c r="E41" s="98">
        <f>+'Therm Sales Master'!E160</f>
        <v>448138</v>
      </c>
      <c r="F41" s="97">
        <f>+'Therm Sales Master'!F160</f>
        <v>1512</v>
      </c>
      <c r="G41" s="97">
        <f>+'Therm Sales Master'!G160</f>
        <v>4017478</v>
      </c>
      <c r="H41" s="98">
        <f>+'Therm Sales Master'!H160</f>
        <v>510200</v>
      </c>
      <c r="I41" s="97">
        <f>+'Therm Sales Master'!I160</f>
        <v>0</v>
      </c>
      <c r="J41" s="98">
        <f>+'Therm Sales Master'!J160</f>
        <v>0</v>
      </c>
      <c r="K41" s="96">
        <f>+'Therm Sales Master'!K160</f>
        <v>104510</v>
      </c>
      <c r="L41" s="96">
        <f>+'Therm Sales Master'!L160</f>
        <v>32699223</v>
      </c>
      <c r="M41" s="97">
        <f>+'Therm Sales Master'!M160</f>
        <v>10580854</v>
      </c>
      <c r="N41" s="97">
        <f>+'Therm Sales Master'!N160</f>
        <v>9297912</v>
      </c>
      <c r="O41" s="97">
        <f>+'Therm Sales Master'!O160</f>
        <v>5368620</v>
      </c>
      <c r="P41" s="98">
        <f>+'Therm Sales Master'!P160</f>
        <v>0</v>
      </c>
      <c r="R41" s="97">
        <f t="shared" si="6"/>
        <v>68779022</v>
      </c>
      <c r="U41" s="138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>
        <v>0</v>
      </c>
      <c r="AK41" s="133"/>
      <c r="AL41" s="106"/>
      <c r="AM41" s="133"/>
      <c r="AN41" s="133"/>
    </row>
    <row r="42" spans="1:40" x14ac:dyDescent="0.2">
      <c r="A42" s="95">
        <v>44408</v>
      </c>
      <c r="B42" s="96">
        <f>+'Therm Sales Master'!B161</f>
        <v>3043741</v>
      </c>
      <c r="C42" s="97">
        <f>+'Therm Sales Master'!C161</f>
        <v>0</v>
      </c>
      <c r="D42" s="97">
        <f>+'Therm Sales Master'!D161</f>
        <v>496382</v>
      </c>
      <c r="E42" s="98">
        <f>+'Therm Sales Master'!E161</f>
        <v>260037</v>
      </c>
      <c r="F42" s="97">
        <f>+'Therm Sales Master'!F161</f>
        <v>1203</v>
      </c>
      <c r="G42" s="97">
        <f>+'Therm Sales Master'!G161</f>
        <v>2731524</v>
      </c>
      <c r="H42" s="98">
        <f>+'Therm Sales Master'!H161</f>
        <v>333326</v>
      </c>
      <c r="I42" s="97">
        <f>+'Therm Sales Master'!I161</f>
        <v>0</v>
      </c>
      <c r="J42" s="98">
        <f>+'Therm Sales Master'!J161</f>
        <v>0</v>
      </c>
      <c r="K42" s="96">
        <f>+'Therm Sales Master'!K161</f>
        <v>88811</v>
      </c>
      <c r="L42" s="96">
        <f>+'Therm Sales Master'!L161</f>
        <v>29641199</v>
      </c>
      <c r="M42" s="97">
        <f>+'Therm Sales Master'!M161</f>
        <v>14701743</v>
      </c>
      <c r="N42" s="97">
        <f>+'Therm Sales Master'!N161</f>
        <v>12217042</v>
      </c>
      <c r="O42" s="97">
        <f>+'Therm Sales Master'!O161</f>
        <v>8620267</v>
      </c>
      <c r="P42" s="98">
        <f>+'Therm Sales Master'!P161</f>
        <v>0</v>
      </c>
      <c r="R42" s="97">
        <f t="shared" si="6"/>
        <v>72135275</v>
      </c>
      <c r="U42" s="138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33"/>
      <c r="AK42" s="133"/>
      <c r="AL42" s="133"/>
      <c r="AM42" s="133"/>
      <c r="AN42" s="133"/>
    </row>
    <row r="43" spans="1:40" x14ac:dyDescent="0.2">
      <c r="A43" s="95">
        <v>44439</v>
      </c>
      <c r="B43" s="96">
        <f>+'Therm Sales Master'!B162</f>
        <v>2658664</v>
      </c>
      <c r="C43" s="97">
        <f>+'Therm Sales Master'!C162</f>
        <v>0</v>
      </c>
      <c r="D43" s="97">
        <f>+'Therm Sales Master'!D162</f>
        <v>465585</v>
      </c>
      <c r="E43" s="98">
        <f>+'Therm Sales Master'!E162</f>
        <v>315534</v>
      </c>
      <c r="F43" s="97">
        <f>+'Therm Sales Master'!F162</f>
        <v>1834</v>
      </c>
      <c r="G43" s="97">
        <f>+'Therm Sales Master'!G162</f>
        <v>2572912</v>
      </c>
      <c r="H43" s="98">
        <f>+'Therm Sales Master'!H162</f>
        <v>304207</v>
      </c>
      <c r="I43" s="97">
        <f>+'Therm Sales Master'!I162</f>
        <v>0</v>
      </c>
      <c r="J43" s="98">
        <f>+'Therm Sales Master'!J162</f>
        <v>0</v>
      </c>
      <c r="K43" s="96">
        <f>+'Therm Sales Master'!K162</f>
        <v>103033</v>
      </c>
      <c r="L43" s="96">
        <f>+'Therm Sales Master'!L162</f>
        <v>30352096</v>
      </c>
      <c r="M43" s="97">
        <f>+'Therm Sales Master'!M162</f>
        <v>14849398</v>
      </c>
      <c r="N43" s="97">
        <f>+'Therm Sales Master'!N162</f>
        <v>12371540</v>
      </c>
      <c r="O43" s="97">
        <f>+'Therm Sales Master'!O162</f>
        <v>6769382</v>
      </c>
      <c r="P43" s="98">
        <f>+'Therm Sales Master'!P162</f>
        <v>0</v>
      </c>
      <c r="R43" s="97">
        <f t="shared" si="6"/>
        <v>70764185</v>
      </c>
      <c r="U43" s="138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33"/>
      <c r="AK43" s="133"/>
      <c r="AL43" s="133"/>
      <c r="AM43" s="133"/>
      <c r="AN43" s="133"/>
    </row>
    <row r="44" spans="1:40" x14ac:dyDescent="0.2">
      <c r="A44" s="95">
        <v>44469</v>
      </c>
      <c r="B44" s="96">
        <f>+'Therm Sales Master'!B163</f>
        <v>3024586</v>
      </c>
      <c r="C44" s="97">
        <f>+'Therm Sales Master'!C163</f>
        <v>0</v>
      </c>
      <c r="D44" s="97">
        <f>+'Therm Sales Master'!D163</f>
        <v>585259</v>
      </c>
      <c r="E44" s="98">
        <f>+'Therm Sales Master'!E163</f>
        <v>292711</v>
      </c>
      <c r="F44" s="97">
        <f>+'Therm Sales Master'!F163</f>
        <v>2215</v>
      </c>
      <c r="G44" s="97">
        <f>+'Therm Sales Master'!G163</f>
        <v>2784423</v>
      </c>
      <c r="H44" s="98">
        <f>+'Therm Sales Master'!H163</f>
        <v>323275</v>
      </c>
      <c r="I44" s="97">
        <f>+'Therm Sales Master'!I163</f>
        <v>0</v>
      </c>
      <c r="J44" s="98">
        <f>+'Therm Sales Master'!J163</f>
        <v>0</v>
      </c>
      <c r="K44" s="96">
        <f>+'Therm Sales Master'!K163</f>
        <v>127498</v>
      </c>
      <c r="L44" s="96">
        <f>+'Therm Sales Master'!L163</f>
        <v>32241556</v>
      </c>
      <c r="M44" s="97">
        <f>+'Therm Sales Master'!M163</f>
        <v>13988315</v>
      </c>
      <c r="N44" s="97">
        <f>+'Therm Sales Master'!N163</f>
        <v>13923327</v>
      </c>
      <c r="O44" s="97">
        <f>+'Therm Sales Master'!O163</f>
        <v>4570873</v>
      </c>
      <c r="P44" s="98">
        <f>+'Therm Sales Master'!P163</f>
        <v>0</v>
      </c>
      <c r="R44" s="97">
        <f t="shared" si="6"/>
        <v>71864038</v>
      </c>
      <c r="U44" s="138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33"/>
      <c r="AK44" s="133"/>
      <c r="AL44" s="133"/>
      <c r="AM44" s="133"/>
      <c r="AN44" s="133"/>
    </row>
    <row r="45" spans="1:40" x14ac:dyDescent="0.2">
      <c r="A45" s="95">
        <v>44500</v>
      </c>
      <c r="B45" s="96">
        <f>+'Therm Sales Master'!B164</f>
        <v>5302722</v>
      </c>
      <c r="C45" s="97">
        <f>+'Therm Sales Master'!C164</f>
        <v>0</v>
      </c>
      <c r="D45" s="97">
        <f>+'Therm Sales Master'!D164</f>
        <v>1219426</v>
      </c>
      <c r="E45" s="98">
        <f>+'Therm Sales Master'!E164</f>
        <v>334722</v>
      </c>
      <c r="F45" s="97">
        <f>+'Therm Sales Master'!F164</f>
        <v>3066</v>
      </c>
      <c r="G45" s="97">
        <f>+'Therm Sales Master'!G164</f>
        <v>3968867</v>
      </c>
      <c r="H45" s="98">
        <f>+'Therm Sales Master'!H164</f>
        <v>529394</v>
      </c>
      <c r="I45" s="97">
        <f>+'Therm Sales Master'!I164</f>
        <v>0</v>
      </c>
      <c r="J45" s="98">
        <f>+'Therm Sales Master'!J164</f>
        <v>0</v>
      </c>
      <c r="K45" s="96">
        <f>+'Therm Sales Master'!K164</f>
        <v>188282</v>
      </c>
      <c r="L45" s="96">
        <f>+'Therm Sales Master'!L164</f>
        <v>36147853</v>
      </c>
      <c r="M45" s="97">
        <f>+'Therm Sales Master'!M164</f>
        <v>10167896</v>
      </c>
      <c r="N45" s="97">
        <f>+'Therm Sales Master'!N164</f>
        <v>10295353</v>
      </c>
      <c r="O45" s="97">
        <f>+'Therm Sales Master'!O164</f>
        <v>4181139</v>
      </c>
      <c r="P45" s="98">
        <f>+'Therm Sales Master'!P164</f>
        <v>0</v>
      </c>
      <c r="R45" s="97">
        <f t="shared" si="6"/>
        <v>72338720</v>
      </c>
      <c r="U45" s="138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33"/>
      <c r="AK45" s="133"/>
      <c r="AL45" s="133"/>
      <c r="AM45" s="133"/>
      <c r="AN45" s="133"/>
    </row>
    <row r="46" spans="1:40" x14ac:dyDescent="0.2">
      <c r="A46" s="95">
        <v>44530</v>
      </c>
      <c r="B46" s="96">
        <f>+'Therm Sales Master'!B165</f>
        <v>6875152</v>
      </c>
      <c r="C46" s="97">
        <f>+'Therm Sales Master'!C165</f>
        <v>0</v>
      </c>
      <c r="D46" s="97">
        <f>+'Therm Sales Master'!D165</f>
        <v>687044</v>
      </c>
      <c r="E46" s="98">
        <f>+'Therm Sales Master'!E165</f>
        <v>274192</v>
      </c>
      <c r="F46" s="97">
        <f>+'Therm Sales Master'!F165</f>
        <v>0</v>
      </c>
      <c r="G46" s="97">
        <f>+'Therm Sales Master'!G165</f>
        <v>4648667</v>
      </c>
      <c r="H46" s="98">
        <f>+'Therm Sales Master'!H165</f>
        <v>554223</v>
      </c>
      <c r="I46" s="97">
        <f>+'Therm Sales Master'!I165</f>
        <v>0</v>
      </c>
      <c r="J46" s="98">
        <f>+'Therm Sales Master'!J165</f>
        <v>0</v>
      </c>
      <c r="K46" s="96">
        <f>+'Therm Sales Master'!K165</f>
        <v>0</v>
      </c>
      <c r="L46" s="96">
        <f>+'Therm Sales Master'!L165</f>
        <v>0</v>
      </c>
      <c r="M46" s="97">
        <f>+'Therm Sales Master'!M165</f>
        <v>0</v>
      </c>
      <c r="N46" s="97">
        <f>+'Therm Sales Master'!N165</f>
        <v>0</v>
      </c>
      <c r="O46" s="97">
        <f>+'Therm Sales Master'!O165</f>
        <v>305909</v>
      </c>
      <c r="P46" s="98">
        <f>+'Therm Sales Master'!P165</f>
        <v>0</v>
      </c>
      <c r="R46" s="97">
        <f t="shared" ref="R46:R57" si="7">SUM(B46:Q46)</f>
        <v>13345187</v>
      </c>
      <c r="U46" s="138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33"/>
      <c r="AK46" s="133"/>
      <c r="AL46" s="133"/>
      <c r="AM46" s="133"/>
      <c r="AN46" s="133"/>
    </row>
    <row r="47" spans="1:40" x14ac:dyDescent="0.2">
      <c r="A47" s="95">
        <v>44530</v>
      </c>
      <c r="B47" s="96">
        <f>+'Therm Sales Master'!B166</f>
        <v>3055417</v>
      </c>
      <c r="C47" s="97">
        <f>+'Therm Sales Master'!C166</f>
        <v>0</v>
      </c>
      <c r="D47" s="97">
        <f>+'Therm Sales Master'!D166</f>
        <v>241794</v>
      </c>
      <c r="E47" s="98">
        <f>+'Therm Sales Master'!E166</f>
        <v>98046</v>
      </c>
      <c r="F47" s="97">
        <f>+'Therm Sales Master'!F166</f>
        <v>5052</v>
      </c>
      <c r="G47" s="97">
        <f>+'Therm Sales Master'!G166</f>
        <v>1834948</v>
      </c>
      <c r="H47" s="98">
        <f>+'Therm Sales Master'!H166</f>
        <v>314142</v>
      </c>
      <c r="I47" s="97">
        <f>+'Therm Sales Master'!I166</f>
        <v>0</v>
      </c>
      <c r="J47" s="98">
        <f>+'Therm Sales Master'!J166</f>
        <v>0</v>
      </c>
      <c r="K47" s="96">
        <f>+'Therm Sales Master'!K166</f>
        <v>215369</v>
      </c>
      <c r="L47" s="96">
        <f>+'Therm Sales Master'!L166</f>
        <v>34679208</v>
      </c>
      <c r="M47" s="97">
        <f>+'Therm Sales Master'!M166</f>
        <v>13522374</v>
      </c>
      <c r="N47" s="97">
        <f>+'Therm Sales Master'!N166</f>
        <v>7960245</v>
      </c>
      <c r="O47" s="97">
        <f>+'Therm Sales Master'!O166</f>
        <v>449463</v>
      </c>
      <c r="P47" s="98">
        <f>+'Therm Sales Master'!P166</f>
        <v>0</v>
      </c>
      <c r="R47" s="97">
        <f t="shared" si="7"/>
        <v>62376058</v>
      </c>
      <c r="U47" s="138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33"/>
      <c r="AK47" s="133"/>
      <c r="AL47" s="133"/>
      <c r="AM47" s="133"/>
      <c r="AN47" s="133"/>
    </row>
    <row r="48" spans="1:40" x14ac:dyDescent="0.2">
      <c r="A48" s="95">
        <v>44561</v>
      </c>
      <c r="B48" s="96">
        <f>+'Therm Sales Master'!B167</f>
        <v>16399782</v>
      </c>
      <c r="C48" s="97">
        <f>+'Therm Sales Master'!C167</f>
        <v>0</v>
      </c>
      <c r="D48" s="97">
        <f>+'Therm Sales Master'!D167</f>
        <v>1371971</v>
      </c>
      <c r="E48" s="98">
        <f>+'Therm Sales Master'!E167</f>
        <v>456838</v>
      </c>
      <c r="F48" s="97">
        <f>+'Therm Sales Master'!F167</f>
        <v>14032</v>
      </c>
      <c r="G48" s="97">
        <f>+'Therm Sales Master'!G167</f>
        <v>10769619</v>
      </c>
      <c r="H48" s="98">
        <f>+'Therm Sales Master'!H167</f>
        <v>1248673</v>
      </c>
      <c r="I48" s="97">
        <f>+'Therm Sales Master'!I167</f>
        <v>0</v>
      </c>
      <c r="J48" s="98">
        <f>+'Therm Sales Master'!J167</f>
        <v>0</v>
      </c>
      <c r="K48" s="96">
        <f>+'Therm Sales Master'!K167</f>
        <v>271190</v>
      </c>
      <c r="L48" s="96">
        <f>+'Therm Sales Master'!L167</f>
        <v>33971503</v>
      </c>
      <c r="M48" s="97">
        <f>+'Therm Sales Master'!M167</f>
        <v>10372937</v>
      </c>
      <c r="N48" s="97">
        <f>+'Therm Sales Master'!N167</f>
        <v>8559438</v>
      </c>
      <c r="O48" s="97">
        <f>+'Therm Sales Master'!O167</f>
        <v>490739</v>
      </c>
      <c r="P48" s="98">
        <f>+'Therm Sales Master'!P167</f>
        <v>0</v>
      </c>
      <c r="R48" s="97">
        <f t="shared" si="7"/>
        <v>83926722</v>
      </c>
      <c r="U48" s="138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33"/>
      <c r="AK48" s="133"/>
      <c r="AL48" s="133"/>
      <c r="AM48" s="133"/>
      <c r="AN48" s="133"/>
    </row>
    <row r="49" spans="1:40" x14ac:dyDescent="0.2">
      <c r="A49" s="95">
        <v>44592</v>
      </c>
      <c r="B49" s="96">
        <f>+'Therm Sales Master'!B168</f>
        <v>0</v>
      </c>
      <c r="C49" s="97">
        <f>+'Therm Sales Master'!C168</f>
        <v>0</v>
      </c>
      <c r="D49" s="97">
        <f>+'Therm Sales Master'!D168</f>
        <v>0</v>
      </c>
      <c r="E49" s="98">
        <f>+'Therm Sales Master'!E168</f>
        <v>0</v>
      </c>
      <c r="F49" s="97">
        <f>+'Therm Sales Master'!F168</f>
        <v>-14032</v>
      </c>
      <c r="G49" s="97">
        <f>+'Therm Sales Master'!G168</f>
        <v>0</v>
      </c>
      <c r="H49" s="98">
        <f>+'Therm Sales Master'!H168</f>
        <v>-101592</v>
      </c>
      <c r="I49" s="97">
        <f>+'Therm Sales Master'!I168</f>
        <v>0</v>
      </c>
      <c r="J49" s="98">
        <f>+'Therm Sales Master'!J168</f>
        <v>0</v>
      </c>
      <c r="K49" s="96">
        <f>+'Therm Sales Master'!K168</f>
        <v>-271190</v>
      </c>
      <c r="L49" s="96">
        <f>+'Therm Sales Master'!L168</f>
        <v>-33971503</v>
      </c>
      <c r="M49" s="97">
        <f>+'Therm Sales Master'!M168</f>
        <v>-10372937</v>
      </c>
      <c r="N49" s="97">
        <f>+'Therm Sales Master'!N168</f>
        <v>-8559438</v>
      </c>
      <c r="O49" s="97">
        <f>+'Therm Sales Master'!O168</f>
        <v>-490739</v>
      </c>
      <c r="P49" s="98">
        <f>+'Therm Sales Master'!P168</f>
        <v>0</v>
      </c>
      <c r="R49" s="97">
        <f t="shared" si="7"/>
        <v>-53781431</v>
      </c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</row>
    <row r="50" spans="1:40" x14ac:dyDescent="0.2">
      <c r="A50" s="95">
        <v>44620</v>
      </c>
      <c r="B50" s="96">
        <f>+'Therm Sales Master'!B169</f>
        <v>0</v>
      </c>
      <c r="C50" s="97">
        <f>+'Therm Sales Master'!C169</f>
        <v>0</v>
      </c>
      <c r="D50" s="97">
        <f>+'Therm Sales Master'!D169</f>
        <v>0</v>
      </c>
      <c r="E50" s="98">
        <f>+'Therm Sales Master'!E169</f>
        <v>0</v>
      </c>
      <c r="F50" s="97">
        <f>+'Therm Sales Master'!F169</f>
        <v>0</v>
      </c>
      <c r="G50" s="97">
        <f>+'Therm Sales Master'!G169</f>
        <v>0</v>
      </c>
      <c r="H50" s="98">
        <f>+'Therm Sales Master'!H169</f>
        <v>0</v>
      </c>
      <c r="I50" s="97">
        <f>+'Therm Sales Master'!I169</f>
        <v>0</v>
      </c>
      <c r="J50" s="98">
        <f>+'Therm Sales Master'!J169</f>
        <v>0</v>
      </c>
      <c r="K50" s="96">
        <f>+'Therm Sales Master'!K169</f>
        <v>0</v>
      </c>
      <c r="L50" s="96">
        <f>+'Therm Sales Master'!L169</f>
        <v>0</v>
      </c>
      <c r="M50" s="97">
        <f>+'Therm Sales Master'!M169</f>
        <v>0</v>
      </c>
      <c r="N50" s="97">
        <f>+'Therm Sales Master'!N169</f>
        <v>0</v>
      </c>
      <c r="O50" s="97">
        <f>+'Therm Sales Master'!O169</f>
        <v>0</v>
      </c>
      <c r="P50" s="98">
        <f>+'Therm Sales Master'!P169</f>
        <v>0</v>
      </c>
      <c r="R50" s="97">
        <f t="shared" si="7"/>
        <v>0</v>
      </c>
    </row>
    <row r="51" spans="1:40" x14ac:dyDescent="0.2">
      <c r="A51" s="95">
        <v>44651</v>
      </c>
      <c r="B51" s="96">
        <f>+'Therm Sales Master'!B170</f>
        <v>0</v>
      </c>
      <c r="C51" s="97">
        <f>+'Therm Sales Master'!C170</f>
        <v>0</v>
      </c>
      <c r="D51" s="97">
        <f>+'Therm Sales Master'!D170</f>
        <v>0</v>
      </c>
      <c r="E51" s="98">
        <f>+'Therm Sales Master'!E170</f>
        <v>0</v>
      </c>
      <c r="F51" s="97">
        <f>+'Therm Sales Master'!F170</f>
        <v>0</v>
      </c>
      <c r="G51" s="97">
        <f>+'Therm Sales Master'!G170</f>
        <v>0</v>
      </c>
      <c r="H51" s="98">
        <f>+'Therm Sales Master'!H170</f>
        <v>0</v>
      </c>
      <c r="I51" s="97">
        <f>+'Therm Sales Master'!I170</f>
        <v>0</v>
      </c>
      <c r="J51" s="98">
        <f>+'Therm Sales Master'!J170</f>
        <v>0</v>
      </c>
      <c r="K51" s="96">
        <f>+'Therm Sales Master'!K170</f>
        <v>0</v>
      </c>
      <c r="L51" s="96">
        <f>+'Therm Sales Master'!L170</f>
        <v>0</v>
      </c>
      <c r="M51" s="97">
        <f>+'Therm Sales Master'!M170</f>
        <v>0</v>
      </c>
      <c r="N51" s="97">
        <f>+'Therm Sales Master'!N170</f>
        <v>0</v>
      </c>
      <c r="O51" s="97">
        <f>+'Therm Sales Master'!O170</f>
        <v>0</v>
      </c>
      <c r="P51" s="98">
        <f>+'Therm Sales Master'!P170</f>
        <v>0</v>
      </c>
      <c r="R51" s="97">
        <f t="shared" si="7"/>
        <v>0</v>
      </c>
    </row>
    <row r="52" spans="1:40" x14ac:dyDescent="0.2">
      <c r="A52" s="95">
        <v>44681</v>
      </c>
      <c r="B52" s="96">
        <f>+'Therm Sales Master'!B171</f>
        <v>0</v>
      </c>
      <c r="C52" s="97">
        <f>+'Therm Sales Master'!C171</f>
        <v>0</v>
      </c>
      <c r="D52" s="97">
        <f>+'Therm Sales Master'!D171</f>
        <v>0</v>
      </c>
      <c r="E52" s="98">
        <f>+'Therm Sales Master'!E171</f>
        <v>0</v>
      </c>
      <c r="F52" s="97">
        <f>+'Therm Sales Master'!F171</f>
        <v>0</v>
      </c>
      <c r="G52" s="97">
        <f>+'Therm Sales Master'!G171</f>
        <v>0</v>
      </c>
      <c r="H52" s="98">
        <f>+'Therm Sales Master'!H171</f>
        <v>0</v>
      </c>
      <c r="I52" s="97">
        <f>+'Therm Sales Master'!I171</f>
        <v>0</v>
      </c>
      <c r="J52" s="98">
        <f>+'Therm Sales Master'!J171</f>
        <v>0</v>
      </c>
      <c r="K52" s="96">
        <f>+'Therm Sales Master'!K171</f>
        <v>0</v>
      </c>
      <c r="L52" s="96">
        <f>+'Therm Sales Master'!L171</f>
        <v>0</v>
      </c>
      <c r="M52" s="97">
        <f>+'Therm Sales Master'!M171</f>
        <v>0</v>
      </c>
      <c r="N52" s="97">
        <f>+'Therm Sales Master'!N171</f>
        <v>0</v>
      </c>
      <c r="O52" s="97">
        <f>+'Therm Sales Master'!O171</f>
        <v>0</v>
      </c>
      <c r="P52" s="98">
        <f>+'Therm Sales Master'!P171</f>
        <v>0</v>
      </c>
      <c r="R52" s="97">
        <f t="shared" si="7"/>
        <v>0</v>
      </c>
    </row>
    <row r="53" spans="1:40" hidden="1" x14ac:dyDescent="0.2">
      <c r="A53" s="95">
        <v>44712</v>
      </c>
      <c r="B53" s="96">
        <f>+'Therm Sales Master'!B172</f>
        <v>0</v>
      </c>
      <c r="C53" s="97">
        <f>+'Therm Sales Master'!C172</f>
        <v>0</v>
      </c>
      <c r="D53" s="97">
        <f>+'Therm Sales Master'!D172</f>
        <v>0</v>
      </c>
      <c r="E53" s="98">
        <f>+'Therm Sales Master'!E172</f>
        <v>0</v>
      </c>
      <c r="F53" s="97">
        <f>+'Therm Sales Master'!F172</f>
        <v>0</v>
      </c>
      <c r="G53" s="97">
        <f>+'Therm Sales Master'!G172</f>
        <v>0</v>
      </c>
      <c r="H53" s="98">
        <f>+'Therm Sales Master'!H172</f>
        <v>0</v>
      </c>
      <c r="I53" s="97">
        <f>+'Therm Sales Master'!I172</f>
        <v>0</v>
      </c>
      <c r="J53" s="98">
        <f>+'Therm Sales Master'!J172</f>
        <v>0</v>
      </c>
      <c r="K53" s="96">
        <f>+'Therm Sales Master'!K172</f>
        <v>0</v>
      </c>
      <c r="L53" s="96">
        <f>+'Therm Sales Master'!L172</f>
        <v>0</v>
      </c>
      <c r="M53" s="97">
        <f>+'Therm Sales Master'!M172</f>
        <v>0</v>
      </c>
      <c r="N53" s="97">
        <f>+'Therm Sales Master'!N172</f>
        <v>0</v>
      </c>
      <c r="O53" s="97">
        <f>+'Therm Sales Master'!O172</f>
        <v>0</v>
      </c>
      <c r="P53" s="98">
        <f>+'Therm Sales Master'!P172</f>
        <v>0</v>
      </c>
      <c r="R53" s="97">
        <f t="shared" si="7"/>
        <v>0</v>
      </c>
    </row>
    <row r="54" spans="1:40" hidden="1" x14ac:dyDescent="0.2">
      <c r="A54" s="95">
        <v>44742</v>
      </c>
      <c r="B54" s="96">
        <f>+'Therm Sales Master'!B173</f>
        <v>0</v>
      </c>
      <c r="C54" s="97">
        <f>+'Therm Sales Master'!C173</f>
        <v>0</v>
      </c>
      <c r="D54" s="97">
        <f>+'Therm Sales Master'!D173</f>
        <v>0</v>
      </c>
      <c r="E54" s="98">
        <f>+'Therm Sales Master'!E173</f>
        <v>0</v>
      </c>
      <c r="F54" s="97">
        <f>+'Therm Sales Master'!F173</f>
        <v>0</v>
      </c>
      <c r="G54" s="97">
        <f>+'Therm Sales Master'!G173</f>
        <v>0</v>
      </c>
      <c r="H54" s="98">
        <f>+'Therm Sales Master'!H173</f>
        <v>0</v>
      </c>
      <c r="I54" s="97">
        <f>+'Therm Sales Master'!I173</f>
        <v>0</v>
      </c>
      <c r="J54" s="98">
        <f>+'Therm Sales Master'!J173</f>
        <v>0</v>
      </c>
      <c r="K54" s="96">
        <f>+'Therm Sales Master'!K173</f>
        <v>0</v>
      </c>
      <c r="L54" s="96">
        <f>+'Therm Sales Master'!L173</f>
        <v>0</v>
      </c>
      <c r="M54" s="97">
        <f>+'Therm Sales Master'!M173</f>
        <v>0</v>
      </c>
      <c r="N54" s="97">
        <f>+'Therm Sales Master'!N173</f>
        <v>0</v>
      </c>
      <c r="O54" s="97">
        <f>+'Therm Sales Master'!O173</f>
        <v>0</v>
      </c>
      <c r="P54" s="98">
        <f>+'Therm Sales Master'!P173</f>
        <v>0</v>
      </c>
      <c r="R54" s="97">
        <f t="shared" si="7"/>
        <v>0</v>
      </c>
    </row>
    <row r="55" spans="1:40" hidden="1" x14ac:dyDescent="0.2">
      <c r="A55" s="95">
        <v>44773</v>
      </c>
      <c r="B55" s="96">
        <f>+'Therm Sales Master'!B174</f>
        <v>0</v>
      </c>
      <c r="C55" s="97">
        <f>+'Therm Sales Master'!C174</f>
        <v>0</v>
      </c>
      <c r="D55" s="97">
        <f>+'Therm Sales Master'!D174</f>
        <v>0</v>
      </c>
      <c r="E55" s="98">
        <f>+'Therm Sales Master'!E174</f>
        <v>0</v>
      </c>
      <c r="F55" s="97">
        <f>+'Therm Sales Master'!F174</f>
        <v>0</v>
      </c>
      <c r="G55" s="97">
        <f>+'Therm Sales Master'!G174</f>
        <v>0</v>
      </c>
      <c r="H55" s="98">
        <f>+'Therm Sales Master'!H174</f>
        <v>0</v>
      </c>
      <c r="I55" s="97">
        <f>+'Therm Sales Master'!I174</f>
        <v>0</v>
      </c>
      <c r="J55" s="98">
        <f>+'Therm Sales Master'!J174</f>
        <v>0</v>
      </c>
      <c r="K55" s="96">
        <f>+'Therm Sales Master'!K174</f>
        <v>0</v>
      </c>
      <c r="L55" s="96">
        <f>+'Therm Sales Master'!L174</f>
        <v>0</v>
      </c>
      <c r="M55" s="97">
        <f>+'Therm Sales Master'!M174</f>
        <v>0</v>
      </c>
      <c r="N55" s="97">
        <f>+'Therm Sales Master'!N174</f>
        <v>0</v>
      </c>
      <c r="O55" s="97">
        <f>+'Therm Sales Master'!O174</f>
        <v>0</v>
      </c>
      <c r="P55" s="98">
        <f>+'Therm Sales Master'!P174</f>
        <v>0</v>
      </c>
      <c r="R55" s="97">
        <f t="shared" si="7"/>
        <v>0</v>
      </c>
    </row>
    <row r="56" spans="1:40" hidden="1" x14ac:dyDescent="0.2">
      <c r="A56" s="95">
        <v>44804</v>
      </c>
      <c r="B56" s="96">
        <f>+'Therm Sales Master'!B175</f>
        <v>0</v>
      </c>
      <c r="C56" s="97">
        <f>+'Therm Sales Master'!C175</f>
        <v>0</v>
      </c>
      <c r="D56" s="97">
        <f>+'Therm Sales Master'!D175</f>
        <v>0</v>
      </c>
      <c r="E56" s="98">
        <f>+'Therm Sales Master'!E175</f>
        <v>0</v>
      </c>
      <c r="F56" s="97">
        <f>+'Therm Sales Master'!F175</f>
        <v>0</v>
      </c>
      <c r="G56" s="97">
        <f>+'Therm Sales Master'!G175</f>
        <v>0</v>
      </c>
      <c r="H56" s="98">
        <f>+'Therm Sales Master'!H175</f>
        <v>0</v>
      </c>
      <c r="I56" s="97">
        <f>+'Therm Sales Master'!I175</f>
        <v>0</v>
      </c>
      <c r="J56" s="98">
        <f>+'Therm Sales Master'!J175</f>
        <v>0</v>
      </c>
      <c r="K56" s="96">
        <f>+'Therm Sales Master'!K175</f>
        <v>0</v>
      </c>
      <c r="L56" s="96">
        <f>+'Therm Sales Master'!L175</f>
        <v>0</v>
      </c>
      <c r="M56" s="97">
        <f>+'Therm Sales Master'!M175</f>
        <v>0</v>
      </c>
      <c r="N56" s="97">
        <f>+'Therm Sales Master'!N175</f>
        <v>0</v>
      </c>
      <c r="O56" s="97">
        <f>+'Therm Sales Master'!O175</f>
        <v>0</v>
      </c>
      <c r="P56" s="98">
        <f>+'Therm Sales Master'!P175</f>
        <v>0</v>
      </c>
      <c r="R56" s="97">
        <f t="shared" si="7"/>
        <v>0</v>
      </c>
    </row>
    <row r="57" spans="1:40" hidden="1" x14ac:dyDescent="0.2">
      <c r="A57" s="95">
        <v>44834</v>
      </c>
      <c r="B57" s="96">
        <f>+'Therm Sales Master'!B176</f>
        <v>0</v>
      </c>
      <c r="C57" s="97">
        <f>+'Therm Sales Master'!C176</f>
        <v>0</v>
      </c>
      <c r="D57" s="97">
        <f>+'Therm Sales Master'!D176</f>
        <v>0</v>
      </c>
      <c r="E57" s="98">
        <f>+'Therm Sales Master'!E176</f>
        <v>0</v>
      </c>
      <c r="F57" s="97">
        <f>+'Therm Sales Master'!F176</f>
        <v>0</v>
      </c>
      <c r="G57" s="97">
        <f>+'Therm Sales Master'!G176</f>
        <v>0</v>
      </c>
      <c r="H57" s="98">
        <f>+'Therm Sales Master'!H176</f>
        <v>0</v>
      </c>
      <c r="I57" s="97">
        <f>+'Therm Sales Master'!I176</f>
        <v>0</v>
      </c>
      <c r="J57" s="98">
        <f>+'Therm Sales Master'!J176</f>
        <v>0</v>
      </c>
      <c r="K57" s="96">
        <f>+'Therm Sales Master'!K176</f>
        <v>0</v>
      </c>
      <c r="L57" s="96">
        <f>+'Therm Sales Master'!L176</f>
        <v>0</v>
      </c>
      <c r="M57" s="97">
        <f>+'Therm Sales Master'!M176</f>
        <v>0</v>
      </c>
      <c r="N57" s="97">
        <f>+'Therm Sales Master'!N176</f>
        <v>0</v>
      </c>
      <c r="O57" s="97">
        <f>+'Therm Sales Master'!O176</f>
        <v>0</v>
      </c>
      <c r="P57" s="98">
        <f>+'Therm Sales Master'!P176</f>
        <v>0</v>
      </c>
      <c r="R57" s="97">
        <f t="shared" si="7"/>
        <v>0</v>
      </c>
    </row>
    <row r="58" spans="1:40" hidden="1" x14ac:dyDescent="0.2">
      <c r="A58" s="95">
        <v>44865</v>
      </c>
      <c r="B58" s="96">
        <f>+'Therm Sales Master'!B177</f>
        <v>0</v>
      </c>
      <c r="C58" s="97">
        <f>+'Therm Sales Master'!C177</f>
        <v>0</v>
      </c>
      <c r="D58" s="97">
        <f>+'Therm Sales Master'!D177</f>
        <v>0</v>
      </c>
      <c r="E58" s="98">
        <f>+'Therm Sales Master'!E177</f>
        <v>0</v>
      </c>
      <c r="F58" s="97">
        <f>+'Therm Sales Master'!F177</f>
        <v>0</v>
      </c>
      <c r="G58" s="97">
        <f>+'Therm Sales Master'!G177</f>
        <v>0</v>
      </c>
      <c r="H58" s="98">
        <f>+'Therm Sales Master'!H177</f>
        <v>0</v>
      </c>
      <c r="I58" s="97">
        <f>+'Therm Sales Master'!I177</f>
        <v>0</v>
      </c>
      <c r="J58" s="98">
        <f>+'Therm Sales Master'!J177</f>
        <v>0</v>
      </c>
      <c r="K58" s="96">
        <f>+'Therm Sales Master'!K177</f>
        <v>0</v>
      </c>
      <c r="L58" s="96">
        <f>+'Therm Sales Master'!L177</f>
        <v>0</v>
      </c>
      <c r="M58" s="97">
        <f>+'Therm Sales Master'!M177</f>
        <v>0</v>
      </c>
      <c r="N58" s="97">
        <f>+'Therm Sales Master'!N177</f>
        <v>0</v>
      </c>
      <c r="O58" s="97">
        <f>+'Therm Sales Master'!O177</f>
        <v>0</v>
      </c>
      <c r="P58" s="98">
        <f>+'Therm Sales Master'!P177</f>
        <v>0</v>
      </c>
      <c r="R58" s="97">
        <f t="shared" ref="R58" si="8">SUM(B58:Q58)</f>
        <v>0</v>
      </c>
    </row>
    <row r="59" spans="1:40" x14ac:dyDescent="0.2">
      <c r="A59" s="95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R59" s="99"/>
    </row>
    <row r="60" spans="1:40" x14ac:dyDescent="0.2">
      <c r="B60" s="100"/>
      <c r="C60" s="100"/>
      <c r="D60" s="100"/>
      <c r="E60" s="100"/>
      <c r="F60" s="100"/>
      <c r="G60" s="100"/>
      <c r="H60" s="100"/>
      <c r="I60" s="100"/>
      <c r="J60" s="100"/>
      <c r="K60" s="15"/>
      <c r="L60" s="15"/>
      <c r="M60" s="15"/>
      <c r="N60" s="15"/>
      <c r="O60" s="15"/>
      <c r="P60" s="15"/>
    </row>
    <row r="61" spans="1:40" x14ac:dyDescent="0.2">
      <c r="B61" s="89">
        <v>503</v>
      </c>
      <c r="C61" s="89" t="s">
        <v>31</v>
      </c>
      <c r="D61" s="89">
        <v>505</v>
      </c>
      <c r="E61" s="89">
        <v>511</v>
      </c>
      <c r="F61" s="89" t="s">
        <v>30</v>
      </c>
      <c r="G61" s="89">
        <v>504</v>
      </c>
      <c r="H61" s="89" t="s">
        <v>64</v>
      </c>
      <c r="I61" s="89" t="s">
        <v>31</v>
      </c>
      <c r="J61" s="89">
        <v>570</v>
      </c>
      <c r="K61" s="89">
        <v>570</v>
      </c>
      <c r="L61" s="92" t="s">
        <v>70</v>
      </c>
      <c r="M61" s="92">
        <v>6631</v>
      </c>
      <c r="N61" s="92">
        <v>6633</v>
      </c>
      <c r="O61" s="92">
        <v>6635</v>
      </c>
      <c r="P61" s="92">
        <v>916</v>
      </c>
    </row>
    <row r="62" spans="1:40" x14ac:dyDescent="0.2">
      <c r="A62" s="95">
        <v>43343</v>
      </c>
      <c r="B62" s="101">
        <v>-4.8799999999999998E-3</v>
      </c>
      <c r="C62" s="101">
        <v>-2.3700000000000001E-3</v>
      </c>
      <c r="D62" s="101">
        <v>-2.3700000000000001E-3</v>
      </c>
      <c r="E62" s="101">
        <v>-1.9499999999999999E-3</v>
      </c>
      <c r="F62" s="101">
        <v>-3.7499999999999999E-3</v>
      </c>
      <c r="G62" s="101">
        <v>-3.7499999999999999E-3</v>
      </c>
      <c r="H62" s="101">
        <v>-1.9499999999999999E-3</v>
      </c>
      <c r="I62" s="101">
        <v>-2.3700000000000001E-3</v>
      </c>
      <c r="J62" s="101">
        <v>-7.2000000000000005E-4</v>
      </c>
      <c r="K62" s="101">
        <v>-7.2000000000000005E-4</v>
      </c>
      <c r="L62" s="102">
        <v>-4.2999999999999999E-4</v>
      </c>
      <c r="M62" s="102">
        <v>-4.2999999999999999E-4</v>
      </c>
      <c r="N62" s="102">
        <v>-4.2999999999999999E-4</v>
      </c>
      <c r="O62" s="102">
        <v>-4.2999999999999999E-4</v>
      </c>
      <c r="P62" s="102">
        <v>-4.2999999999999999E-4</v>
      </c>
    </row>
    <row r="63" spans="1:40" x14ac:dyDescent="0.2">
      <c r="A63" s="95">
        <v>43373</v>
      </c>
      <c r="B63" s="101">
        <v>-4.8799999999999998E-3</v>
      </c>
      <c r="C63" s="101">
        <v>-2.3700000000000001E-3</v>
      </c>
      <c r="D63" s="101">
        <v>-2.3700000000000001E-3</v>
      </c>
      <c r="E63" s="101">
        <v>-1.9499999999999999E-3</v>
      </c>
      <c r="F63" s="101">
        <v>-3.7499999999999999E-3</v>
      </c>
      <c r="G63" s="101">
        <v>-3.7499999999999999E-3</v>
      </c>
      <c r="H63" s="101">
        <v>-1.9499999999999999E-3</v>
      </c>
      <c r="I63" s="101">
        <v>-2.3700000000000001E-3</v>
      </c>
      <c r="J63" s="101">
        <v>-7.2000000000000005E-4</v>
      </c>
      <c r="K63" s="101">
        <v>-7.2000000000000005E-4</v>
      </c>
      <c r="L63" s="102">
        <v>-4.2999999999999999E-4</v>
      </c>
      <c r="M63" s="102">
        <v>-4.2999999999999999E-4</v>
      </c>
      <c r="N63" s="102">
        <v>-4.2999999999999999E-4</v>
      </c>
      <c r="O63" s="102">
        <v>-4.2999999999999999E-4</v>
      </c>
      <c r="P63" s="102">
        <v>-4.2999999999999999E-4</v>
      </c>
    </row>
    <row r="64" spans="1:40" x14ac:dyDescent="0.2">
      <c r="A64" s="95">
        <v>43404</v>
      </c>
      <c r="B64" s="101">
        <v>-4.8799999999999998E-3</v>
      </c>
      <c r="C64" s="101">
        <v>-2.3700000000000001E-3</v>
      </c>
      <c r="D64" s="101">
        <v>-2.3700000000000001E-3</v>
      </c>
      <c r="E64" s="101">
        <v>-1.9499999999999999E-3</v>
      </c>
      <c r="F64" s="101">
        <v>-3.7499999999999999E-3</v>
      </c>
      <c r="G64" s="101">
        <v>-3.7499999999999999E-3</v>
      </c>
      <c r="H64" s="101">
        <v>-1.9499999999999999E-3</v>
      </c>
      <c r="I64" s="101">
        <v>-2.3700000000000001E-3</v>
      </c>
      <c r="J64" s="101">
        <v>-7.2000000000000005E-4</v>
      </c>
      <c r="K64" s="101">
        <v>-7.2000000000000005E-4</v>
      </c>
      <c r="L64" s="102">
        <v>-4.2999999999999999E-4</v>
      </c>
      <c r="M64" s="102">
        <v>-4.2999999999999999E-4</v>
      </c>
      <c r="N64" s="102">
        <v>-4.2999999999999999E-4</v>
      </c>
      <c r="O64" s="102">
        <v>-4.2999999999999999E-4</v>
      </c>
      <c r="P64" s="102">
        <v>-4.2999999999999999E-4</v>
      </c>
    </row>
    <row r="65" spans="1:37" x14ac:dyDescent="0.2">
      <c r="A65" s="95">
        <v>43434</v>
      </c>
      <c r="B65" s="101">
        <v>-5.4099999999999999E-3</v>
      </c>
      <c r="C65" s="101">
        <v>-2.63E-3</v>
      </c>
      <c r="D65" s="101">
        <v>-2.63E-3</v>
      </c>
      <c r="E65" s="101">
        <v>-2.16E-3</v>
      </c>
      <c r="F65" s="101">
        <v>-4.1599999999999996E-3</v>
      </c>
      <c r="G65" s="101">
        <v>-4.1599999999999996E-3</v>
      </c>
      <c r="H65" s="101">
        <v>-2.16E-3</v>
      </c>
      <c r="I65" s="101">
        <v>-2.63E-3</v>
      </c>
      <c r="J65" s="101">
        <v>-8.0000000000000004E-4</v>
      </c>
      <c r="K65" s="101">
        <v>-8.0000000000000004E-4</v>
      </c>
      <c r="L65" s="102">
        <v>-4.8000000000000001E-4</v>
      </c>
      <c r="M65" s="102">
        <v>-4.8000000000000001E-4</v>
      </c>
      <c r="N65" s="102">
        <v>-4.8000000000000001E-4</v>
      </c>
      <c r="O65" s="102">
        <v>-4.8000000000000001E-4</v>
      </c>
      <c r="P65" s="102">
        <v>-4.8000000000000001E-4</v>
      </c>
      <c r="S65" s="1" t="s">
        <v>59</v>
      </c>
    </row>
    <row r="66" spans="1:37" x14ac:dyDescent="0.2">
      <c r="A66" s="95">
        <v>43465</v>
      </c>
      <c r="B66" s="101">
        <v>-5.4099999999999999E-3</v>
      </c>
      <c r="C66" s="101">
        <v>-2.63E-3</v>
      </c>
      <c r="D66" s="101">
        <v>-2.63E-3</v>
      </c>
      <c r="E66" s="101">
        <v>-2.16E-3</v>
      </c>
      <c r="F66" s="101">
        <v>-4.1599999999999996E-3</v>
      </c>
      <c r="G66" s="101">
        <v>-4.1599999999999996E-3</v>
      </c>
      <c r="H66" s="101">
        <v>-2.16E-3</v>
      </c>
      <c r="I66" s="101">
        <v>-2.63E-3</v>
      </c>
      <c r="J66" s="101">
        <v>-8.0000000000000004E-4</v>
      </c>
      <c r="K66" s="101">
        <v>-8.0000000000000004E-4</v>
      </c>
      <c r="L66" s="102">
        <v>-4.8000000000000001E-4</v>
      </c>
      <c r="M66" s="102">
        <v>-4.8000000000000001E-4</v>
      </c>
      <c r="N66" s="102">
        <v>-4.8000000000000001E-4</v>
      </c>
      <c r="O66" s="102">
        <v>-4.8000000000000001E-4</v>
      </c>
      <c r="P66" s="102">
        <v>-4.8000000000000001E-4</v>
      </c>
    </row>
    <row r="67" spans="1:37" x14ac:dyDescent="0.2">
      <c r="A67" s="95">
        <v>43496</v>
      </c>
      <c r="B67" s="101">
        <v>-5.4099999999999999E-3</v>
      </c>
      <c r="C67" s="101">
        <v>-2.63E-3</v>
      </c>
      <c r="D67" s="101">
        <v>-2.63E-3</v>
      </c>
      <c r="E67" s="101">
        <v>-2.16E-3</v>
      </c>
      <c r="F67" s="101">
        <v>-4.1599999999999996E-3</v>
      </c>
      <c r="G67" s="101">
        <v>-4.1599999999999996E-3</v>
      </c>
      <c r="H67" s="101">
        <v>-2.16E-3</v>
      </c>
      <c r="I67" s="101">
        <v>-2.63E-3</v>
      </c>
      <c r="J67" s="101">
        <v>-8.0000000000000004E-4</v>
      </c>
      <c r="K67" s="101">
        <v>-8.0000000000000004E-4</v>
      </c>
      <c r="L67" s="102">
        <v>-4.8000000000000001E-4</v>
      </c>
      <c r="M67" s="102">
        <v>-4.8000000000000001E-4</v>
      </c>
      <c r="N67" s="102">
        <v>-4.8000000000000001E-4</v>
      </c>
      <c r="O67" s="102">
        <v>-4.8000000000000001E-4</v>
      </c>
      <c r="P67" s="102">
        <v>-4.8000000000000001E-4</v>
      </c>
    </row>
    <row r="68" spans="1:37" x14ac:dyDescent="0.2">
      <c r="A68" s="95">
        <v>43524</v>
      </c>
      <c r="B68" s="101">
        <v>-5.4099999999999999E-3</v>
      </c>
      <c r="C68" s="101">
        <v>-2.63E-3</v>
      </c>
      <c r="D68" s="101">
        <v>-2.63E-3</v>
      </c>
      <c r="E68" s="101">
        <v>-2.16E-3</v>
      </c>
      <c r="F68" s="101">
        <v>-4.1599999999999996E-3</v>
      </c>
      <c r="G68" s="101">
        <v>-4.1599999999999996E-3</v>
      </c>
      <c r="H68" s="101">
        <v>-2.16E-3</v>
      </c>
      <c r="I68" s="101">
        <v>-2.63E-3</v>
      </c>
      <c r="J68" s="101">
        <v>-8.0000000000000004E-4</v>
      </c>
      <c r="K68" s="101">
        <v>-8.0000000000000004E-4</v>
      </c>
      <c r="L68" s="102">
        <v>-4.8000000000000001E-4</v>
      </c>
      <c r="M68" s="102">
        <v>-4.8000000000000001E-4</v>
      </c>
      <c r="N68" s="102">
        <v>-4.8000000000000001E-4</v>
      </c>
      <c r="O68" s="102">
        <v>-4.8000000000000001E-4</v>
      </c>
      <c r="P68" s="102">
        <v>-4.8000000000000001E-4</v>
      </c>
    </row>
    <row r="69" spans="1:37" x14ac:dyDescent="0.2">
      <c r="A69" s="95">
        <v>43555</v>
      </c>
      <c r="B69" s="101">
        <v>-5.4099999999999999E-3</v>
      </c>
      <c r="C69" s="101">
        <v>-2.63E-3</v>
      </c>
      <c r="D69" s="101">
        <v>-2.63E-3</v>
      </c>
      <c r="E69" s="101">
        <v>-2.16E-3</v>
      </c>
      <c r="F69" s="101">
        <v>-4.1599999999999996E-3</v>
      </c>
      <c r="G69" s="101">
        <v>-4.1599999999999996E-3</v>
      </c>
      <c r="H69" s="101">
        <v>-2.16E-3</v>
      </c>
      <c r="I69" s="101">
        <v>-2.63E-3</v>
      </c>
      <c r="J69" s="101">
        <v>-8.0000000000000004E-4</v>
      </c>
      <c r="K69" s="101">
        <v>-8.0000000000000004E-4</v>
      </c>
      <c r="L69" s="102">
        <v>-4.8000000000000001E-4</v>
      </c>
      <c r="M69" s="102">
        <v>-4.8000000000000001E-4</v>
      </c>
      <c r="N69" s="102">
        <v>-4.8000000000000001E-4</v>
      </c>
      <c r="O69" s="102">
        <v>-4.8000000000000001E-4</v>
      </c>
      <c r="P69" s="102">
        <v>-4.8000000000000001E-4</v>
      </c>
    </row>
    <row r="70" spans="1:37" x14ac:dyDescent="0.2">
      <c r="A70" s="95">
        <v>43585</v>
      </c>
      <c r="B70" s="101">
        <v>-5.4099999999999999E-3</v>
      </c>
      <c r="C70" s="101">
        <v>-2.63E-3</v>
      </c>
      <c r="D70" s="101">
        <v>-2.63E-3</v>
      </c>
      <c r="E70" s="101">
        <v>-2.16E-3</v>
      </c>
      <c r="F70" s="101">
        <v>-4.1599999999999996E-3</v>
      </c>
      <c r="G70" s="101">
        <v>-4.1599999999999996E-3</v>
      </c>
      <c r="H70" s="101">
        <v>-2.16E-3</v>
      </c>
      <c r="I70" s="101">
        <v>-2.63E-3</v>
      </c>
      <c r="J70" s="101">
        <v>-8.0000000000000004E-4</v>
      </c>
      <c r="K70" s="101">
        <v>-8.0000000000000004E-4</v>
      </c>
      <c r="L70" s="102">
        <v>-4.8000000000000001E-4</v>
      </c>
      <c r="M70" s="102">
        <v>-4.8000000000000001E-4</v>
      </c>
      <c r="N70" s="102">
        <v>-4.8000000000000001E-4</v>
      </c>
      <c r="O70" s="102">
        <v>-4.8000000000000001E-4</v>
      </c>
      <c r="P70" s="102">
        <v>-4.8000000000000001E-4</v>
      </c>
    </row>
    <row r="71" spans="1:37" x14ac:dyDescent="0.2">
      <c r="A71" s="95">
        <v>43616</v>
      </c>
      <c r="B71" s="101">
        <v>-5.4099999999999999E-3</v>
      </c>
      <c r="C71" s="101">
        <v>-2.63E-3</v>
      </c>
      <c r="D71" s="101">
        <v>-2.63E-3</v>
      </c>
      <c r="E71" s="101">
        <v>-2.16E-3</v>
      </c>
      <c r="F71" s="101">
        <v>-4.1599999999999996E-3</v>
      </c>
      <c r="G71" s="101">
        <v>-4.1599999999999996E-3</v>
      </c>
      <c r="H71" s="101">
        <v>-2.16E-3</v>
      </c>
      <c r="I71" s="101">
        <v>-2.63E-3</v>
      </c>
      <c r="J71" s="101">
        <v>-8.0000000000000004E-4</v>
      </c>
      <c r="K71" s="101">
        <v>-8.0000000000000004E-4</v>
      </c>
      <c r="L71" s="102">
        <v>-4.8000000000000001E-4</v>
      </c>
      <c r="M71" s="102">
        <v>-4.8000000000000001E-4</v>
      </c>
      <c r="N71" s="102">
        <v>-4.8000000000000001E-4</v>
      </c>
      <c r="O71" s="102">
        <v>-4.8000000000000001E-4</v>
      </c>
      <c r="P71" s="102">
        <v>-4.8000000000000001E-4</v>
      </c>
    </row>
    <row r="72" spans="1:37" x14ac:dyDescent="0.2">
      <c r="A72" s="95">
        <v>43646</v>
      </c>
      <c r="B72" s="101">
        <v>-5.4099999999999999E-3</v>
      </c>
      <c r="C72" s="101">
        <v>-2.63E-3</v>
      </c>
      <c r="D72" s="101">
        <v>-2.63E-3</v>
      </c>
      <c r="E72" s="101">
        <v>-2.16E-3</v>
      </c>
      <c r="F72" s="101">
        <v>-4.1599999999999996E-3</v>
      </c>
      <c r="G72" s="101">
        <v>-4.1599999999999996E-3</v>
      </c>
      <c r="H72" s="101">
        <v>-2.16E-3</v>
      </c>
      <c r="I72" s="101">
        <v>-2.63E-3</v>
      </c>
      <c r="J72" s="101">
        <v>-8.0000000000000004E-4</v>
      </c>
      <c r="K72" s="101">
        <v>-8.0000000000000004E-4</v>
      </c>
      <c r="L72" s="102">
        <v>-4.8000000000000001E-4</v>
      </c>
      <c r="M72" s="102">
        <v>-4.8000000000000001E-4</v>
      </c>
      <c r="N72" s="102">
        <v>-4.8000000000000001E-4</v>
      </c>
      <c r="O72" s="102">
        <v>-4.8000000000000001E-4</v>
      </c>
      <c r="P72" s="102">
        <v>-4.8000000000000001E-4</v>
      </c>
    </row>
    <row r="73" spans="1:37" x14ac:dyDescent="0.2">
      <c r="A73" s="95">
        <v>43677</v>
      </c>
      <c r="B73" s="101">
        <v>-5.4099999999999999E-3</v>
      </c>
      <c r="C73" s="101">
        <v>-2.63E-3</v>
      </c>
      <c r="D73" s="101">
        <v>-2.63E-3</v>
      </c>
      <c r="E73" s="101">
        <v>-2.16E-3</v>
      </c>
      <c r="F73" s="101">
        <v>-4.1599999999999996E-3</v>
      </c>
      <c r="G73" s="101">
        <v>-4.1599999999999996E-3</v>
      </c>
      <c r="H73" s="101">
        <v>-2.16E-3</v>
      </c>
      <c r="I73" s="101">
        <v>-2.63E-3</v>
      </c>
      <c r="J73" s="101">
        <v>-8.0000000000000004E-4</v>
      </c>
      <c r="K73" s="101">
        <v>-8.0000000000000004E-4</v>
      </c>
      <c r="L73" s="101">
        <v>-4.8000000000000001E-4</v>
      </c>
      <c r="M73" s="101">
        <v>-4.8000000000000001E-4</v>
      </c>
      <c r="N73" s="101">
        <v>-4.8000000000000001E-4</v>
      </c>
      <c r="O73" s="101">
        <v>-4.8000000000000001E-4</v>
      </c>
      <c r="P73" s="101">
        <v>-4.8000000000000001E-4</v>
      </c>
    </row>
    <row r="74" spans="1:37" x14ac:dyDescent="0.2">
      <c r="A74" s="95">
        <v>43708</v>
      </c>
      <c r="B74" s="101">
        <v>-5.4099999999999999E-3</v>
      </c>
      <c r="C74" s="101">
        <v>-2.63E-3</v>
      </c>
      <c r="D74" s="101">
        <v>-2.63E-3</v>
      </c>
      <c r="E74" s="101">
        <v>-2.16E-3</v>
      </c>
      <c r="F74" s="101">
        <v>-4.1599999999999996E-3</v>
      </c>
      <c r="G74" s="101">
        <v>-4.1599999999999996E-3</v>
      </c>
      <c r="H74" s="101">
        <v>-2.16E-3</v>
      </c>
      <c r="I74" s="101">
        <v>-2.63E-3</v>
      </c>
      <c r="J74" s="101">
        <v>-8.0000000000000004E-4</v>
      </c>
      <c r="K74" s="101">
        <v>-8.0000000000000004E-4</v>
      </c>
      <c r="L74" s="101">
        <v>-4.8000000000000001E-4</v>
      </c>
      <c r="M74" s="101">
        <v>-4.8000000000000001E-4</v>
      </c>
      <c r="N74" s="101">
        <v>-4.8000000000000001E-4</v>
      </c>
      <c r="O74" s="101">
        <v>-4.8000000000000001E-4</v>
      </c>
      <c r="P74" s="101">
        <v>-4.8000000000000001E-4</v>
      </c>
    </row>
    <row r="75" spans="1:37" x14ac:dyDescent="0.2">
      <c r="A75" s="95">
        <v>43738</v>
      </c>
      <c r="B75" s="101">
        <v>-5.4099999999999999E-3</v>
      </c>
      <c r="C75" s="101">
        <v>-2.63E-3</v>
      </c>
      <c r="D75" s="101">
        <v>-2.63E-3</v>
      </c>
      <c r="E75" s="101">
        <v>-2.16E-3</v>
      </c>
      <c r="F75" s="101">
        <v>-4.1599999999999996E-3</v>
      </c>
      <c r="G75" s="101">
        <v>-4.1599999999999996E-3</v>
      </c>
      <c r="H75" s="101">
        <v>-2.16E-3</v>
      </c>
      <c r="I75" s="101">
        <v>-2.63E-3</v>
      </c>
      <c r="J75" s="101">
        <v>-8.0000000000000004E-4</v>
      </c>
      <c r="K75" s="101">
        <v>-8.0000000000000004E-4</v>
      </c>
      <c r="L75" s="101">
        <v>-4.8000000000000001E-4</v>
      </c>
      <c r="M75" s="101">
        <v>-4.8000000000000001E-4</v>
      </c>
      <c r="N75" s="101">
        <v>-4.8000000000000001E-4</v>
      </c>
      <c r="O75" s="101">
        <v>-4.8000000000000001E-4</v>
      </c>
      <c r="P75" s="101">
        <v>-4.8000000000000001E-4</v>
      </c>
    </row>
    <row r="76" spans="1:37" x14ac:dyDescent="0.2">
      <c r="A76" s="95">
        <v>43769</v>
      </c>
      <c r="B76" s="101">
        <v>-5.4099999999999999E-3</v>
      </c>
      <c r="C76" s="101">
        <v>-2.63E-3</v>
      </c>
      <c r="D76" s="101">
        <v>-2.63E-3</v>
      </c>
      <c r="E76" s="101">
        <v>-2.16E-3</v>
      </c>
      <c r="F76" s="101">
        <v>-4.1599999999999996E-3</v>
      </c>
      <c r="G76" s="101">
        <v>-4.1599999999999996E-3</v>
      </c>
      <c r="H76" s="101">
        <v>-2.16E-3</v>
      </c>
      <c r="I76" s="101">
        <v>-2.63E-3</v>
      </c>
      <c r="J76" s="101">
        <v>-8.0000000000000004E-4</v>
      </c>
      <c r="K76" s="101">
        <v>-8.0000000000000004E-4</v>
      </c>
      <c r="L76" s="101">
        <v>-4.8000000000000001E-4</v>
      </c>
      <c r="M76" s="101">
        <v>-4.8000000000000001E-4</v>
      </c>
      <c r="N76" s="101">
        <v>-4.8000000000000001E-4</v>
      </c>
      <c r="O76" s="101">
        <v>-4.8000000000000001E-4</v>
      </c>
      <c r="P76" s="101">
        <v>-4.8000000000000001E-4</v>
      </c>
      <c r="R76" s="1" t="s">
        <v>56</v>
      </c>
    </row>
    <row r="77" spans="1:37" x14ac:dyDescent="0.2">
      <c r="A77" s="95">
        <v>43799</v>
      </c>
      <c r="B77" s="101">
        <v>-6.0899999999999999E-3</v>
      </c>
      <c r="C77" s="101">
        <v>-2.96E-3</v>
      </c>
      <c r="D77" s="101">
        <v>-2.96E-3</v>
      </c>
      <c r="E77" s="101">
        <v>-2.4199999999999998E-3</v>
      </c>
      <c r="F77" s="101">
        <v>-4.6699999999999997E-3</v>
      </c>
      <c r="G77" s="101">
        <v>-4.6699999999999997E-3</v>
      </c>
      <c r="H77" s="101">
        <v>-2.4199999999999998E-3</v>
      </c>
      <c r="I77" s="101">
        <v>-2.96E-3</v>
      </c>
      <c r="J77" s="101">
        <v>-8.9999999999999998E-4</v>
      </c>
      <c r="K77" s="101">
        <v>-8.9999999999999998E-4</v>
      </c>
      <c r="L77" s="101">
        <v>-5.4000000000000001E-4</v>
      </c>
      <c r="M77" s="101">
        <v>-5.4000000000000001E-4</v>
      </c>
      <c r="N77" s="101">
        <v>-5.4000000000000001E-4</v>
      </c>
      <c r="O77" s="101">
        <v>-5.4000000000000001E-4</v>
      </c>
      <c r="P77" s="101">
        <v>-5.4000000000000001E-4</v>
      </c>
      <c r="R77" s="1" t="s">
        <v>57</v>
      </c>
      <c r="S77" s="1" t="s">
        <v>59</v>
      </c>
    </row>
    <row r="78" spans="1:37" x14ac:dyDescent="0.2">
      <c r="A78" s="95">
        <v>43830</v>
      </c>
      <c r="B78" s="101">
        <v>-6.0899999999999999E-3</v>
      </c>
      <c r="C78" s="101">
        <v>-2.96E-3</v>
      </c>
      <c r="D78" s="101">
        <v>-2.96E-3</v>
      </c>
      <c r="E78" s="101">
        <v>-2.4199999999999998E-3</v>
      </c>
      <c r="F78" s="101">
        <v>-4.6699999999999997E-3</v>
      </c>
      <c r="G78" s="101">
        <v>-4.6699999999999997E-3</v>
      </c>
      <c r="H78" s="101">
        <v>-2.4199999999999998E-3</v>
      </c>
      <c r="I78" s="101">
        <v>-2.96E-3</v>
      </c>
      <c r="J78" s="101">
        <v>-8.9999999999999998E-4</v>
      </c>
      <c r="K78" s="101">
        <v>-8.9999999999999998E-4</v>
      </c>
      <c r="L78" s="101">
        <v>-5.4000000000000001E-4</v>
      </c>
      <c r="M78" s="101">
        <v>-5.4000000000000001E-4</v>
      </c>
      <c r="N78" s="101">
        <v>-5.4000000000000001E-4</v>
      </c>
      <c r="O78" s="101">
        <v>-5.4000000000000001E-4</v>
      </c>
      <c r="P78" s="101">
        <v>-5.4000000000000001E-4</v>
      </c>
    </row>
    <row r="79" spans="1:37" x14ac:dyDescent="0.2">
      <c r="A79" s="95">
        <v>43861</v>
      </c>
      <c r="B79" s="101">
        <v>-6.0899999999999999E-3</v>
      </c>
      <c r="C79" s="101">
        <v>-2.96E-3</v>
      </c>
      <c r="D79" s="101">
        <v>-2.96E-3</v>
      </c>
      <c r="E79" s="101">
        <v>-2.4199999999999998E-3</v>
      </c>
      <c r="F79" s="101">
        <v>-4.6699999999999997E-3</v>
      </c>
      <c r="G79" s="101">
        <v>-4.6699999999999997E-3</v>
      </c>
      <c r="H79" s="101">
        <v>-2.4199999999999998E-3</v>
      </c>
      <c r="I79" s="101">
        <v>-2.96E-3</v>
      </c>
      <c r="J79" s="101">
        <v>-8.9999999999999998E-4</v>
      </c>
      <c r="K79" s="101">
        <v>-8.9999999999999998E-4</v>
      </c>
      <c r="L79" s="101">
        <v>-5.4000000000000001E-4</v>
      </c>
      <c r="M79" s="101">
        <v>-5.4000000000000001E-4</v>
      </c>
      <c r="N79" s="101">
        <v>-5.4000000000000001E-4</v>
      </c>
      <c r="O79" s="101">
        <v>-5.4000000000000001E-4</v>
      </c>
      <c r="P79" s="101">
        <v>-5.4000000000000001E-4</v>
      </c>
    </row>
    <row r="80" spans="1:37" x14ac:dyDescent="0.2">
      <c r="A80" s="95">
        <v>43890</v>
      </c>
      <c r="B80" s="101">
        <v>-6.0899999999999999E-3</v>
      </c>
      <c r="C80" s="101">
        <v>-2.96E-3</v>
      </c>
      <c r="D80" s="101">
        <v>-2.96E-3</v>
      </c>
      <c r="E80" s="101">
        <v>-2.4199999999999998E-3</v>
      </c>
      <c r="F80" s="101">
        <v>-4.6699999999999997E-3</v>
      </c>
      <c r="G80" s="101">
        <v>-4.6699999999999997E-3</v>
      </c>
      <c r="H80" s="101">
        <v>-2.4199999999999998E-3</v>
      </c>
      <c r="I80" s="101">
        <v>-2.96E-3</v>
      </c>
      <c r="J80" s="101">
        <v>-8.9999999999999998E-4</v>
      </c>
      <c r="K80" s="101">
        <v>-8.9999999999999998E-4</v>
      </c>
      <c r="L80" s="101">
        <v>-5.4000000000000001E-4</v>
      </c>
      <c r="M80" s="101">
        <v>-5.4000000000000001E-4</v>
      </c>
      <c r="N80" s="101">
        <v>-5.4000000000000001E-4</v>
      </c>
      <c r="O80" s="101">
        <v>-5.4000000000000001E-4</v>
      </c>
      <c r="P80" s="101">
        <v>-5.4000000000000001E-4</v>
      </c>
      <c r="U80" s="133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5"/>
      <c r="AG80" s="136"/>
      <c r="AH80" s="136"/>
      <c r="AI80" s="136"/>
      <c r="AJ80" s="133"/>
      <c r="AK80" s="133"/>
    </row>
    <row r="81" spans="1:35" x14ac:dyDescent="0.2">
      <c r="A81" s="95">
        <v>43921</v>
      </c>
      <c r="B81" s="101">
        <v>-6.0899999999999999E-3</v>
      </c>
      <c r="C81" s="101">
        <v>-2.96E-3</v>
      </c>
      <c r="D81" s="101">
        <v>-2.96E-3</v>
      </c>
      <c r="E81" s="101">
        <v>-2.4199999999999998E-3</v>
      </c>
      <c r="F81" s="101">
        <v>-4.6699999999999997E-3</v>
      </c>
      <c r="G81" s="101">
        <v>-4.6699999999999997E-3</v>
      </c>
      <c r="H81" s="101">
        <v>-2.4199999999999998E-3</v>
      </c>
      <c r="I81" s="101">
        <v>-2.96E-3</v>
      </c>
      <c r="J81" s="101">
        <v>-8.9999999999999998E-4</v>
      </c>
      <c r="K81" s="101">
        <v>-8.9999999999999998E-4</v>
      </c>
      <c r="L81" s="101">
        <v>-5.4000000000000001E-4</v>
      </c>
      <c r="M81" s="101">
        <v>-5.4000000000000001E-4</v>
      </c>
      <c r="N81" s="101">
        <v>-5.4000000000000001E-4</v>
      </c>
      <c r="O81" s="101">
        <v>-5.4000000000000001E-4</v>
      </c>
      <c r="P81" s="101">
        <v>-5.4000000000000001E-4</v>
      </c>
      <c r="U81" s="95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</row>
    <row r="82" spans="1:35" x14ac:dyDescent="0.2">
      <c r="A82" s="95">
        <v>43951</v>
      </c>
      <c r="B82" s="101">
        <v>-6.0899999999999999E-3</v>
      </c>
      <c r="C82" s="101">
        <v>-2.96E-3</v>
      </c>
      <c r="D82" s="101">
        <v>-2.96E-3</v>
      </c>
      <c r="E82" s="101">
        <v>-2.4199999999999998E-3</v>
      </c>
      <c r="F82" s="101">
        <v>-4.6699999999999997E-3</v>
      </c>
      <c r="G82" s="101">
        <v>-4.6699999999999997E-3</v>
      </c>
      <c r="H82" s="101">
        <v>-2.4199999999999998E-3</v>
      </c>
      <c r="I82" s="101">
        <v>-2.96E-3</v>
      </c>
      <c r="J82" s="101">
        <v>-8.9999999999999998E-4</v>
      </c>
      <c r="K82" s="101">
        <v>-8.9999999999999998E-4</v>
      </c>
      <c r="L82" s="101">
        <v>-5.4000000000000001E-4</v>
      </c>
      <c r="M82" s="101">
        <v>-5.4000000000000001E-4</v>
      </c>
      <c r="N82" s="101">
        <v>-5.4000000000000001E-4</v>
      </c>
      <c r="O82" s="101">
        <v>-5.4000000000000001E-4</v>
      </c>
      <c r="P82" s="101">
        <v>-5.4000000000000001E-4</v>
      </c>
      <c r="U82" s="95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</row>
    <row r="83" spans="1:35" x14ac:dyDescent="0.2">
      <c r="A83" s="95">
        <v>43982</v>
      </c>
      <c r="B83" s="101">
        <v>-6.0899999999999999E-3</v>
      </c>
      <c r="C83" s="101">
        <v>-2.96E-3</v>
      </c>
      <c r="D83" s="101">
        <v>-2.96E-3</v>
      </c>
      <c r="E83" s="101">
        <v>-2.4199999999999998E-3</v>
      </c>
      <c r="F83" s="101">
        <v>-4.6699999999999997E-3</v>
      </c>
      <c r="G83" s="101">
        <v>-4.6699999999999997E-3</v>
      </c>
      <c r="H83" s="101">
        <v>-2.4199999999999998E-3</v>
      </c>
      <c r="I83" s="101">
        <v>-2.96E-3</v>
      </c>
      <c r="J83" s="101">
        <v>-8.9999999999999998E-4</v>
      </c>
      <c r="K83" s="101">
        <v>-8.9999999999999998E-4</v>
      </c>
      <c r="L83" s="101">
        <v>-5.4000000000000001E-4</v>
      </c>
      <c r="M83" s="101">
        <v>-5.4000000000000001E-4</v>
      </c>
      <c r="N83" s="101">
        <v>-5.4000000000000001E-4</v>
      </c>
      <c r="O83" s="101">
        <v>-5.4000000000000001E-4</v>
      </c>
      <c r="P83" s="101">
        <v>-5.4000000000000001E-4</v>
      </c>
      <c r="U83" s="95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</row>
    <row r="84" spans="1:35" x14ac:dyDescent="0.2">
      <c r="A84" s="95">
        <v>44012</v>
      </c>
      <c r="B84" s="101">
        <v>-6.0899999999999999E-3</v>
      </c>
      <c r="C84" s="101">
        <v>-2.96E-3</v>
      </c>
      <c r="D84" s="101">
        <v>-2.96E-3</v>
      </c>
      <c r="E84" s="101">
        <v>-2.4199999999999998E-3</v>
      </c>
      <c r="F84" s="101">
        <v>-4.6699999999999997E-3</v>
      </c>
      <c r="G84" s="101">
        <v>-4.6699999999999997E-3</v>
      </c>
      <c r="H84" s="101">
        <v>-2.4199999999999998E-3</v>
      </c>
      <c r="I84" s="101">
        <v>-2.96E-3</v>
      </c>
      <c r="J84" s="101">
        <v>-8.9999999999999998E-4</v>
      </c>
      <c r="K84" s="101">
        <v>-8.9999999999999998E-4</v>
      </c>
      <c r="L84" s="101">
        <v>-5.4000000000000001E-4</v>
      </c>
      <c r="M84" s="101">
        <v>-5.4000000000000001E-4</v>
      </c>
      <c r="N84" s="101">
        <v>-5.4000000000000001E-4</v>
      </c>
      <c r="O84" s="101">
        <v>-5.4000000000000001E-4</v>
      </c>
      <c r="P84" s="101">
        <v>-5.4000000000000001E-4</v>
      </c>
      <c r="U84" s="95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</row>
    <row r="85" spans="1:35" x14ac:dyDescent="0.2">
      <c r="A85" s="95">
        <v>44043</v>
      </c>
      <c r="B85" s="101">
        <v>-6.0899999999999999E-3</v>
      </c>
      <c r="C85" s="101">
        <v>-2.96E-3</v>
      </c>
      <c r="D85" s="101">
        <v>-2.96E-3</v>
      </c>
      <c r="E85" s="101">
        <v>-2.4199999999999998E-3</v>
      </c>
      <c r="F85" s="101">
        <v>-4.6699999999999997E-3</v>
      </c>
      <c r="G85" s="101">
        <v>-4.6699999999999997E-3</v>
      </c>
      <c r="H85" s="101">
        <v>-2.4199999999999998E-3</v>
      </c>
      <c r="I85" s="101">
        <v>-2.96E-3</v>
      </c>
      <c r="J85" s="101">
        <v>-8.9999999999999998E-4</v>
      </c>
      <c r="K85" s="101">
        <v>-8.9999999999999998E-4</v>
      </c>
      <c r="L85" s="101">
        <v>-5.4000000000000001E-4</v>
      </c>
      <c r="M85" s="101">
        <v>-5.4000000000000001E-4</v>
      </c>
      <c r="N85" s="101">
        <v>-5.4000000000000001E-4</v>
      </c>
      <c r="O85" s="101">
        <v>-5.4000000000000001E-4</v>
      </c>
      <c r="P85" s="101">
        <v>-5.4000000000000001E-4</v>
      </c>
      <c r="U85" s="95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</row>
    <row r="86" spans="1:35" x14ac:dyDescent="0.2">
      <c r="A86" s="95">
        <v>44074</v>
      </c>
      <c r="B86" s="101">
        <v>-6.0899999999999999E-3</v>
      </c>
      <c r="C86" s="101">
        <v>-2.96E-3</v>
      </c>
      <c r="D86" s="101">
        <v>-2.96E-3</v>
      </c>
      <c r="E86" s="101">
        <v>-2.4199999999999998E-3</v>
      </c>
      <c r="F86" s="101">
        <v>-4.6699999999999997E-3</v>
      </c>
      <c r="G86" s="101">
        <v>-4.6699999999999997E-3</v>
      </c>
      <c r="H86" s="101">
        <v>-2.4199999999999998E-3</v>
      </c>
      <c r="I86" s="101">
        <v>-2.96E-3</v>
      </c>
      <c r="J86" s="101">
        <v>-8.9999999999999998E-4</v>
      </c>
      <c r="K86" s="101">
        <v>-8.9999999999999998E-4</v>
      </c>
      <c r="L86" s="101">
        <v>-5.4000000000000001E-4</v>
      </c>
      <c r="M86" s="101">
        <v>-5.4000000000000001E-4</v>
      </c>
      <c r="N86" s="101">
        <v>-5.4000000000000001E-4</v>
      </c>
      <c r="O86" s="101">
        <v>-5.4000000000000001E-4</v>
      </c>
      <c r="P86" s="101">
        <v>-5.4000000000000001E-4</v>
      </c>
      <c r="U86" s="95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</row>
    <row r="87" spans="1:35" x14ac:dyDescent="0.2">
      <c r="A87" s="95">
        <v>44104</v>
      </c>
      <c r="B87" s="101">
        <v>-6.0899999999999999E-3</v>
      </c>
      <c r="C87" s="101">
        <v>-2.96E-3</v>
      </c>
      <c r="D87" s="101">
        <v>-2.96E-3</v>
      </c>
      <c r="E87" s="101">
        <v>-2.4199999999999998E-3</v>
      </c>
      <c r="F87" s="101">
        <v>-4.6699999999999997E-3</v>
      </c>
      <c r="G87" s="101">
        <v>-4.6699999999999997E-3</v>
      </c>
      <c r="H87" s="101">
        <v>-2.4199999999999998E-3</v>
      </c>
      <c r="I87" s="101">
        <v>-2.96E-3</v>
      </c>
      <c r="J87" s="101">
        <v>-8.9999999999999998E-4</v>
      </c>
      <c r="K87" s="101">
        <v>-8.9999999999999998E-4</v>
      </c>
      <c r="L87" s="101">
        <v>-5.4000000000000001E-4</v>
      </c>
      <c r="M87" s="101">
        <v>-5.4000000000000001E-4</v>
      </c>
      <c r="N87" s="101">
        <v>-5.4000000000000001E-4</v>
      </c>
      <c r="O87" s="101">
        <v>-5.4000000000000001E-4</v>
      </c>
      <c r="P87" s="101">
        <v>-5.4000000000000001E-4</v>
      </c>
      <c r="U87" s="95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</row>
    <row r="88" spans="1:35" x14ac:dyDescent="0.2">
      <c r="A88" s="95">
        <v>44135</v>
      </c>
      <c r="B88" s="101">
        <v>-6.0899999999999999E-3</v>
      </c>
      <c r="C88" s="101">
        <v>-2.96E-3</v>
      </c>
      <c r="D88" s="101">
        <v>-2.96E-3</v>
      </c>
      <c r="E88" s="101">
        <v>-2.4199999999999998E-3</v>
      </c>
      <c r="F88" s="101">
        <v>-4.6699999999999997E-3</v>
      </c>
      <c r="G88" s="101">
        <v>-4.6699999999999997E-3</v>
      </c>
      <c r="H88" s="101">
        <v>-2.4199999999999998E-3</v>
      </c>
      <c r="I88" s="101">
        <v>-2.96E-3</v>
      </c>
      <c r="J88" s="101">
        <v>-8.9999999999999998E-4</v>
      </c>
      <c r="K88" s="101">
        <v>-8.9999999999999998E-4</v>
      </c>
      <c r="L88" s="101">
        <v>-5.4000000000000001E-4</v>
      </c>
      <c r="M88" s="101">
        <v>-5.4000000000000001E-4</v>
      </c>
      <c r="N88" s="101">
        <v>-5.4000000000000001E-4</v>
      </c>
      <c r="O88" s="101">
        <v>-5.4000000000000001E-4</v>
      </c>
      <c r="P88" s="101">
        <v>-5.4000000000000001E-4</v>
      </c>
      <c r="R88" s="1" t="s">
        <v>56</v>
      </c>
      <c r="U88" s="95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</row>
    <row r="89" spans="1:35" x14ac:dyDescent="0.2">
      <c r="A89" s="95">
        <v>44165</v>
      </c>
      <c r="B89" s="103">
        <v>-5.4200000000000003E-3</v>
      </c>
      <c r="C89" s="103">
        <v>-2.63E-3</v>
      </c>
      <c r="D89" s="103">
        <v>-2.63E-3</v>
      </c>
      <c r="E89" s="103">
        <v>-2.1700000000000001E-3</v>
      </c>
      <c r="F89" s="103">
        <v>-4.1700000000000001E-3</v>
      </c>
      <c r="G89" s="103">
        <v>-4.1700000000000001E-3</v>
      </c>
      <c r="H89" s="103">
        <v>-2.1700000000000001E-3</v>
      </c>
      <c r="I89" s="103">
        <v>-2.63E-3</v>
      </c>
      <c r="J89" s="103">
        <v>-8.0000000000000004E-4</v>
      </c>
      <c r="K89" s="103">
        <v>-8.0000000000000004E-4</v>
      </c>
      <c r="L89" s="103">
        <v>-4.8000000000000001E-4</v>
      </c>
      <c r="M89" s="103">
        <v>-4.8000000000000001E-4</v>
      </c>
      <c r="N89" s="103">
        <v>-4.8000000000000001E-4</v>
      </c>
      <c r="O89" s="103">
        <v>-4.8000000000000001E-4</v>
      </c>
      <c r="P89" s="103"/>
      <c r="R89" s="1" t="s">
        <v>57</v>
      </c>
      <c r="S89" s="1" t="s">
        <v>59</v>
      </c>
      <c r="U89" s="95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</row>
    <row r="90" spans="1:35" x14ac:dyDescent="0.2">
      <c r="A90" s="95">
        <v>44196</v>
      </c>
      <c r="B90" s="103">
        <v>-5.4200000000000003E-3</v>
      </c>
      <c r="C90" s="103">
        <v>-2.63E-3</v>
      </c>
      <c r="D90" s="103">
        <v>-2.63E-3</v>
      </c>
      <c r="E90" s="103">
        <v>-2.1700000000000001E-3</v>
      </c>
      <c r="F90" s="103">
        <v>-4.1700000000000001E-3</v>
      </c>
      <c r="G90" s="103">
        <v>-4.1700000000000001E-3</v>
      </c>
      <c r="H90" s="103">
        <v>-2.1700000000000001E-3</v>
      </c>
      <c r="I90" s="103">
        <v>-2.63E-3</v>
      </c>
      <c r="J90" s="103">
        <v>-8.0000000000000004E-4</v>
      </c>
      <c r="K90" s="103">
        <v>-8.0000000000000004E-4</v>
      </c>
      <c r="L90" s="103">
        <v>-4.8000000000000001E-4</v>
      </c>
      <c r="M90" s="103">
        <v>-4.8000000000000001E-4</v>
      </c>
      <c r="N90" s="103">
        <v>-4.8000000000000001E-4</v>
      </c>
      <c r="O90" s="103">
        <v>-4.8000000000000001E-4</v>
      </c>
      <c r="P90" s="103"/>
      <c r="U90" s="95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</row>
    <row r="91" spans="1:35" x14ac:dyDescent="0.2">
      <c r="A91" s="95">
        <v>44227</v>
      </c>
      <c r="B91" s="103">
        <v>-5.4200000000000003E-3</v>
      </c>
      <c r="C91" s="103">
        <v>-2.63E-3</v>
      </c>
      <c r="D91" s="103">
        <v>-2.63E-3</v>
      </c>
      <c r="E91" s="103">
        <v>-2.1700000000000001E-3</v>
      </c>
      <c r="F91" s="103">
        <v>-4.1700000000000001E-3</v>
      </c>
      <c r="G91" s="103">
        <v>-4.1700000000000001E-3</v>
      </c>
      <c r="H91" s="103">
        <v>-2.1700000000000001E-3</v>
      </c>
      <c r="I91" s="103">
        <v>-2.63E-3</v>
      </c>
      <c r="J91" s="103">
        <v>-8.0000000000000004E-4</v>
      </c>
      <c r="K91" s="103">
        <v>-8.0000000000000004E-4</v>
      </c>
      <c r="L91" s="103">
        <v>-4.8000000000000001E-4</v>
      </c>
      <c r="M91" s="103">
        <v>-4.8000000000000001E-4</v>
      </c>
      <c r="N91" s="103">
        <v>-4.8000000000000001E-4</v>
      </c>
      <c r="O91" s="103">
        <v>-4.8000000000000001E-4</v>
      </c>
      <c r="P91" s="103"/>
      <c r="U91" s="95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</row>
    <row r="92" spans="1:35" x14ac:dyDescent="0.2">
      <c r="A92" s="95">
        <v>44255</v>
      </c>
      <c r="B92" s="103">
        <v>-5.4200000000000003E-3</v>
      </c>
      <c r="C92" s="103">
        <v>-2.63E-3</v>
      </c>
      <c r="D92" s="103">
        <v>-2.63E-3</v>
      </c>
      <c r="E92" s="103">
        <v>-2.1700000000000001E-3</v>
      </c>
      <c r="F92" s="103">
        <v>-4.1700000000000001E-3</v>
      </c>
      <c r="G92" s="103">
        <v>-4.1700000000000001E-3</v>
      </c>
      <c r="H92" s="103">
        <v>-2.1700000000000001E-3</v>
      </c>
      <c r="I92" s="103">
        <v>-2.63E-3</v>
      </c>
      <c r="J92" s="103">
        <v>-8.0000000000000004E-4</v>
      </c>
      <c r="K92" s="103">
        <v>-8.0000000000000004E-4</v>
      </c>
      <c r="L92" s="103">
        <v>-4.8000000000000001E-4</v>
      </c>
      <c r="M92" s="103">
        <v>-4.8000000000000001E-4</v>
      </c>
      <c r="N92" s="103">
        <v>-4.8000000000000001E-4</v>
      </c>
      <c r="O92" s="103">
        <v>-4.8000000000000001E-4</v>
      </c>
      <c r="P92" s="103"/>
      <c r="U92" s="95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</row>
    <row r="93" spans="1:35" x14ac:dyDescent="0.2">
      <c r="A93" s="95">
        <v>44286</v>
      </c>
      <c r="B93" s="103">
        <v>-5.4200000000000003E-3</v>
      </c>
      <c r="C93" s="103">
        <v>-2.63E-3</v>
      </c>
      <c r="D93" s="103">
        <v>-2.63E-3</v>
      </c>
      <c r="E93" s="103">
        <v>-2.1700000000000001E-3</v>
      </c>
      <c r="F93" s="103">
        <v>-4.1700000000000001E-3</v>
      </c>
      <c r="G93" s="103">
        <v>-4.1700000000000001E-3</v>
      </c>
      <c r="H93" s="103">
        <v>-2.1700000000000001E-3</v>
      </c>
      <c r="I93" s="103">
        <v>-2.63E-3</v>
      </c>
      <c r="J93" s="103">
        <v>-8.0000000000000004E-4</v>
      </c>
      <c r="K93" s="103">
        <v>-8.0000000000000004E-4</v>
      </c>
      <c r="L93" s="103">
        <v>-4.8000000000000001E-4</v>
      </c>
      <c r="M93" s="103">
        <v>-4.8000000000000001E-4</v>
      </c>
      <c r="N93" s="103">
        <v>-4.8000000000000001E-4</v>
      </c>
      <c r="O93" s="103">
        <v>-4.8000000000000001E-4</v>
      </c>
      <c r="P93" s="103"/>
      <c r="U93" s="95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</row>
    <row r="94" spans="1:35" x14ac:dyDescent="0.2">
      <c r="A94" s="95">
        <v>44316</v>
      </c>
      <c r="B94" s="103">
        <v>-5.4200000000000003E-3</v>
      </c>
      <c r="C94" s="103">
        <v>-2.63E-3</v>
      </c>
      <c r="D94" s="103">
        <v>-2.63E-3</v>
      </c>
      <c r="E94" s="103">
        <v>-2.1700000000000001E-3</v>
      </c>
      <c r="F94" s="103">
        <v>-4.1700000000000001E-3</v>
      </c>
      <c r="G94" s="103">
        <v>-4.1700000000000001E-3</v>
      </c>
      <c r="H94" s="103">
        <v>-2.1700000000000001E-3</v>
      </c>
      <c r="I94" s="103">
        <v>-2.63E-3</v>
      </c>
      <c r="J94" s="103">
        <v>-8.0000000000000004E-4</v>
      </c>
      <c r="K94" s="103">
        <v>-8.0000000000000004E-4</v>
      </c>
      <c r="L94" s="103">
        <v>-4.8000000000000001E-4</v>
      </c>
      <c r="M94" s="103">
        <v>-4.8000000000000001E-4</v>
      </c>
      <c r="N94" s="103">
        <v>-4.8000000000000001E-4</v>
      </c>
      <c r="O94" s="103">
        <v>-4.8000000000000001E-4</v>
      </c>
      <c r="P94" s="103"/>
      <c r="U94" s="95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</row>
    <row r="95" spans="1:35" x14ac:dyDescent="0.2">
      <c r="A95" s="95">
        <v>44347</v>
      </c>
      <c r="B95" s="103">
        <v>-5.4200000000000003E-3</v>
      </c>
      <c r="C95" s="103">
        <v>-2.63E-3</v>
      </c>
      <c r="D95" s="103">
        <v>-2.63E-3</v>
      </c>
      <c r="E95" s="103">
        <v>-2.1700000000000001E-3</v>
      </c>
      <c r="F95" s="103">
        <v>-4.1700000000000001E-3</v>
      </c>
      <c r="G95" s="103">
        <v>-4.1700000000000001E-3</v>
      </c>
      <c r="H95" s="103">
        <v>-2.1700000000000001E-3</v>
      </c>
      <c r="I95" s="103">
        <v>-2.63E-3</v>
      </c>
      <c r="J95" s="103">
        <v>-8.0000000000000004E-4</v>
      </c>
      <c r="K95" s="103">
        <v>-8.0000000000000004E-4</v>
      </c>
      <c r="L95" s="103">
        <v>-4.8000000000000001E-4</v>
      </c>
      <c r="M95" s="103">
        <v>-4.8000000000000001E-4</v>
      </c>
      <c r="N95" s="103">
        <v>-4.8000000000000001E-4</v>
      </c>
      <c r="O95" s="103">
        <v>-4.8000000000000001E-4</v>
      </c>
      <c r="P95" s="103"/>
      <c r="U95" s="95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</row>
    <row r="96" spans="1:35" x14ac:dyDescent="0.2">
      <c r="A96" s="95">
        <v>44377</v>
      </c>
      <c r="B96" s="103">
        <v>-5.4200000000000003E-3</v>
      </c>
      <c r="C96" s="103">
        <v>-2.63E-3</v>
      </c>
      <c r="D96" s="103">
        <v>-2.63E-3</v>
      </c>
      <c r="E96" s="103">
        <v>-2.1700000000000001E-3</v>
      </c>
      <c r="F96" s="103">
        <v>-4.1700000000000001E-3</v>
      </c>
      <c r="G96" s="103">
        <v>-4.1700000000000001E-3</v>
      </c>
      <c r="H96" s="103">
        <v>-2.1700000000000001E-3</v>
      </c>
      <c r="I96" s="103">
        <v>-2.63E-3</v>
      </c>
      <c r="J96" s="103">
        <v>-8.0000000000000004E-4</v>
      </c>
      <c r="K96" s="103">
        <v>-8.0000000000000004E-4</v>
      </c>
      <c r="L96" s="103">
        <v>-4.8000000000000001E-4</v>
      </c>
      <c r="M96" s="103">
        <v>-4.8000000000000001E-4</v>
      </c>
      <c r="N96" s="103">
        <v>-4.8000000000000001E-4</v>
      </c>
      <c r="O96" s="103">
        <v>-4.8000000000000001E-4</v>
      </c>
      <c r="P96" s="103"/>
      <c r="U96" s="95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</row>
    <row r="97" spans="1:35" x14ac:dyDescent="0.2">
      <c r="A97" s="95">
        <v>44408</v>
      </c>
      <c r="B97" s="103">
        <v>-5.4200000000000003E-3</v>
      </c>
      <c r="C97" s="103">
        <v>-2.63E-3</v>
      </c>
      <c r="D97" s="103">
        <v>-2.63E-3</v>
      </c>
      <c r="E97" s="103">
        <v>-2.1700000000000001E-3</v>
      </c>
      <c r="F97" s="103">
        <v>-4.1700000000000001E-3</v>
      </c>
      <c r="G97" s="103">
        <v>-4.1700000000000001E-3</v>
      </c>
      <c r="H97" s="103">
        <v>-2.1700000000000001E-3</v>
      </c>
      <c r="I97" s="103">
        <v>-2.63E-3</v>
      </c>
      <c r="J97" s="103">
        <v>-8.0000000000000004E-4</v>
      </c>
      <c r="K97" s="103">
        <v>-8.0000000000000004E-4</v>
      </c>
      <c r="L97" s="103">
        <v>-4.8000000000000001E-4</v>
      </c>
      <c r="M97" s="103">
        <v>-4.8000000000000001E-4</v>
      </c>
      <c r="N97" s="103">
        <v>-4.8000000000000001E-4</v>
      </c>
      <c r="O97" s="103">
        <v>-4.8000000000000001E-4</v>
      </c>
      <c r="P97" s="103"/>
      <c r="U97" s="95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</row>
    <row r="98" spans="1:35" x14ac:dyDescent="0.2">
      <c r="A98" s="95">
        <v>44439</v>
      </c>
      <c r="B98" s="103">
        <v>-5.4200000000000003E-3</v>
      </c>
      <c r="C98" s="103">
        <v>-2.63E-3</v>
      </c>
      <c r="D98" s="103">
        <v>-2.63E-3</v>
      </c>
      <c r="E98" s="103">
        <v>-2.1700000000000001E-3</v>
      </c>
      <c r="F98" s="103">
        <v>-4.1700000000000001E-3</v>
      </c>
      <c r="G98" s="103">
        <v>-4.1700000000000001E-3</v>
      </c>
      <c r="H98" s="103">
        <v>-2.1700000000000001E-3</v>
      </c>
      <c r="I98" s="103">
        <v>-2.63E-3</v>
      </c>
      <c r="J98" s="103">
        <v>-8.0000000000000004E-4</v>
      </c>
      <c r="K98" s="103">
        <v>-8.0000000000000004E-4</v>
      </c>
      <c r="L98" s="103">
        <v>-4.8000000000000001E-4</v>
      </c>
      <c r="M98" s="103">
        <v>-4.8000000000000001E-4</v>
      </c>
      <c r="N98" s="103">
        <v>-4.8000000000000001E-4</v>
      </c>
      <c r="O98" s="103">
        <v>-4.8000000000000001E-4</v>
      </c>
      <c r="P98" s="103"/>
      <c r="U98" s="95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</row>
    <row r="99" spans="1:35" x14ac:dyDescent="0.2">
      <c r="A99" s="95">
        <v>44469</v>
      </c>
      <c r="B99" s="103">
        <v>-5.4200000000000003E-3</v>
      </c>
      <c r="C99" s="103">
        <v>-2.63E-3</v>
      </c>
      <c r="D99" s="103">
        <v>-2.63E-3</v>
      </c>
      <c r="E99" s="103">
        <v>-2.1700000000000001E-3</v>
      </c>
      <c r="F99" s="103">
        <v>-4.1700000000000001E-3</v>
      </c>
      <c r="G99" s="103">
        <v>-4.1700000000000001E-3</v>
      </c>
      <c r="H99" s="103">
        <v>-2.1700000000000001E-3</v>
      </c>
      <c r="I99" s="103">
        <v>-2.63E-3</v>
      </c>
      <c r="J99" s="103">
        <v>-8.0000000000000004E-4</v>
      </c>
      <c r="K99" s="103">
        <v>-8.0000000000000004E-4</v>
      </c>
      <c r="L99" s="103">
        <v>-4.8000000000000001E-4</v>
      </c>
      <c r="M99" s="103">
        <v>-4.8000000000000001E-4</v>
      </c>
      <c r="N99" s="103">
        <v>-4.8000000000000001E-4</v>
      </c>
      <c r="O99" s="103">
        <v>-4.8000000000000001E-4</v>
      </c>
      <c r="P99" s="103"/>
      <c r="U99" s="95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</row>
    <row r="100" spans="1:35" x14ac:dyDescent="0.2">
      <c r="A100" s="95">
        <v>44500</v>
      </c>
      <c r="B100" s="103">
        <v>-5.4200000000000003E-3</v>
      </c>
      <c r="C100" s="103">
        <v>-2.63E-3</v>
      </c>
      <c r="D100" s="103">
        <v>-2.63E-3</v>
      </c>
      <c r="E100" s="103">
        <v>-2.1700000000000001E-3</v>
      </c>
      <c r="F100" s="103">
        <v>-4.1700000000000001E-3</v>
      </c>
      <c r="G100" s="103">
        <v>-4.1700000000000001E-3</v>
      </c>
      <c r="H100" s="103">
        <v>-2.1700000000000001E-3</v>
      </c>
      <c r="I100" s="103">
        <v>-2.63E-3</v>
      </c>
      <c r="J100" s="103">
        <v>-8.0000000000000004E-4</v>
      </c>
      <c r="K100" s="103">
        <v>-8.0000000000000004E-4</v>
      </c>
      <c r="L100" s="103">
        <v>-4.8000000000000001E-4</v>
      </c>
      <c r="M100" s="103">
        <v>-4.8000000000000001E-4</v>
      </c>
      <c r="N100" s="103">
        <v>-4.8000000000000001E-4</v>
      </c>
      <c r="O100" s="103">
        <v>-4.8000000000000001E-4</v>
      </c>
      <c r="P100" s="103"/>
      <c r="U100" s="95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</row>
    <row r="101" spans="1:35" x14ac:dyDescent="0.2">
      <c r="A101" s="95">
        <v>44530</v>
      </c>
      <c r="B101" s="103">
        <v>-5.5300000000000002E-3</v>
      </c>
      <c r="C101" s="103">
        <v>-2.6900000000000001E-3</v>
      </c>
      <c r="D101" s="103">
        <v>-2.6900000000000001E-3</v>
      </c>
      <c r="E101" s="103">
        <v>-2.2100000000000002E-3</v>
      </c>
      <c r="F101" s="103">
        <v>-4.2500000000000003E-3</v>
      </c>
      <c r="G101" s="103">
        <v>-4.2500000000000003E-3</v>
      </c>
      <c r="H101" s="103">
        <v>-2.2100000000000002E-3</v>
      </c>
      <c r="I101" s="103">
        <v>-2.6900000000000001E-3</v>
      </c>
      <c r="J101" s="103">
        <v>-8.1999999999999998E-4</v>
      </c>
      <c r="K101" s="103">
        <v>-8.1999999999999998E-4</v>
      </c>
      <c r="L101" s="103">
        <v>-4.8000000000000001E-4</v>
      </c>
      <c r="M101" s="103">
        <v>-4.8000000000000001E-4</v>
      </c>
      <c r="N101" s="103">
        <v>-4.8000000000000001E-4</v>
      </c>
      <c r="O101" s="103">
        <v>-4.8000000000000001E-4</v>
      </c>
      <c r="P101" s="103"/>
      <c r="R101" s="1" t="s">
        <v>57</v>
      </c>
      <c r="S101" s="1" t="s">
        <v>59</v>
      </c>
      <c r="U101" s="95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</row>
    <row r="102" spans="1:35" x14ac:dyDescent="0.2">
      <c r="A102" s="95">
        <v>44561</v>
      </c>
      <c r="B102" s="103">
        <v>-5.5300000000000002E-3</v>
      </c>
      <c r="C102" s="103">
        <v>-2.6900000000000001E-3</v>
      </c>
      <c r="D102" s="103">
        <v>-2.6900000000000001E-3</v>
      </c>
      <c r="E102" s="103">
        <v>-2.2100000000000002E-3</v>
      </c>
      <c r="F102" s="103">
        <v>-4.2500000000000003E-3</v>
      </c>
      <c r="G102" s="103">
        <v>-4.2500000000000003E-3</v>
      </c>
      <c r="H102" s="103">
        <v>-2.2100000000000002E-3</v>
      </c>
      <c r="I102" s="103">
        <v>-2.6900000000000001E-3</v>
      </c>
      <c r="J102" s="103">
        <v>-8.1999999999999998E-4</v>
      </c>
      <c r="K102" s="103">
        <v>-8.1999999999999998E-4</v>
      </c>
      <c r="L102" s="103">
        <v>-4.8000000000000001E-4</v>
      </c>
      <c r="M102" s="103">
        <v>-4.8000000000000001E-4</v>
      </c>
      <c r="N102" s="103">
        <v>-4.8000000000000001E-4</v>
      </c>
      <c r="O102" s="103">
        <v>-4.8000000000000001E-4</v>
      </c>
      <c r="P102" s="103"/>
      <c r="U102" s="95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</row>
    <row r="103" spans="1:35" x14ac:dyDescent="0.2">
      <c r="A103" s="95">
        <v>44592</v>
      </c>
      <c r="B103" s="103">
        <v>-5.5300000000000002E-3</v>
      </c>
      <c r="C103" s="103">
        <v>-2.6900000000000001E-3</v>
      </c>
      <c r="D103" s="103">
        <v>-2.6900000000000001E-3</v>
      </c>
      <c r="E103" s="103">
        <v>-2.2100000000000002E-3</v>
      </c>
      <c r="F103" s="103">
        <v>-4.2500000000000003E-3</v>
      </c>
      <c r="G103" s="103">
        <v>-4.2500000000000003E-3</v>
      </c>
      <c r="H103" s="103">
        <v>-2.2100000000000002E-3</v>
      </c>
      <c r="I103" s="103">
        <v>-2.6900000000000001E-3</v>
      </c>
      <c r="J103" s="103">
        <v>-8.1999999999999998E-4</v>
      </c>
      <c r="K103" s="103">
        <v>-8.1999999999999998E-4</v>
      </c>
      <c r="L103" s="103">
        <v>-4.8000000000000001E-4</v>
      </c>
      <c r="M103" s="103">
        <v>-4.8000000000000001E-4</v>
      </c>
      <c r="N103" s="103">
        <v>-4.8000000000000001E-4</v>
      </c>
      <c r="O103" s="103">
        <v>-4.8000000000000001E-4</v>
      </c>
      <c r="P103" s="103"/>
    </row>
    <row r="104" spans="1:35" x14ac:dyDescent="0.2">
      <c r="A104" s="95">
        <v>44620</v>
      </c>
      <c r="B104" s="103">
        <v>-5.5300000000000002E-3</v>
      </c>
      <c r="C104" s="103">
        <v>-2.6900000000000001E-3</v>
      </c>
      <c r="D104" s="103">
        <v>-2.6900000000000001E-3</v>
      </c>
      <c r="E104" s="103">
        <v>-2.2100000000000002E-3</v>
      </c>
      <c r="F104" s="103">
        <v>-4.2500000000000003E-3</v>
      </c>
      <c r="G104" s="103">
        <v>-4.2500000000000003E-3</v>
      </c>
      <c r="H104" s="103">
        <v>-2.2100000000000002E-3</v>
      </c>
      <c r="I104" s="103">
        <v>-2.6900000000000001E-3</v>
      </c>
      <c r="J104" s="103">
        <v>-8.1999999999999998E-4</v>
      </c>
      <c r="K104" s="103">
        <v>-8.1999999999999998E-4</v>
      </c>
      <c r="L104" s="103">
        <v>-4.8000000000000001E-4</v>
      </c>
      <c r="M104" s="103">
        <v>-4.8000000000000001E-4</v>
      </c>
      <c r="N104" s="103">
        <v>-4.8000000000000001E-4</v>
      </c>
      <c r="O104" s="103">
        <v>-4.8000000000000001E-4</v>
      </c>
      <c r="P104" s="103"/>
    </row>
    <row r="105" spans="1:35" x14ac:dyDescent="0.2">
      <c r="A105" s="95">
        <v>44651</v>
      </c>
      <c r="B105" s="103">
        <v>-5.5300000000000002E-3</v>
      </c>
      <c r="C105" s="103">
        <v>-2.6900000000000001E-3</v>
      </c>
      <c r="D105" s="103">
        <v>-2.6900000000000001E-3</v>
      </c>
      <c r="E105" s="103">
        <v>-2.2100000000000002E-3</v>
      </c>
      <c r="F105" s="103">
        <v>-4.2500000000000003E-3</v>
      </c>
      <c r="G105" s="103">
        <v>-4.2500000000000003E-3</v>
      </c>
      <c r="H105" s="103">
        <v>-2.2100000000000002E-3</v>
      </c>
      <c r="I105" s="103">
        <v>-2.6900000000000001E-3</v>
      </c>
      <c r="J105" s="103">
        <v>-8.1999999999999998E-4</v>
      </c>
      <c r="K105" s="103">
        <v>-8.1999999999999998E-4</v>
      </c>
      <c r="L105" s="103">
        <v>-4.8000000000000001E-4</v>
      </c>
      <c r="M105" s="103">
        <v>-4.8000000000000001E-4</v>
      </c>
      <c r="N105" s="103">
        <v>-4.8000000000000001E-4</v>
      </c>
      <c r="O105" s="103">
        <v>-4.8000000000000001E-4</v>
      </c>
      <c r="P105" s="103"/>
    </row>
    <row r="106" spans="1:35" x14ac:dyDescent="0.2">
      <c r="A106" s="95">
        <v>44681</v>
      </c>
      <c r="B106" s="103">
        <v>-5.5300000000000002E-3</v>
      </c>
      <c r="C106" s="103">
        <v>-2.6900000000000001E-3</v>
      </c>
      <c r="D106" s="103">
        <v>-2.6900000000000001E-3</v>
      </c>
      <c r="E106" s="103">
        <v>-2.2100000000000002E-3</v>
      </c>
      <c r="F106" s="103">
        <v>-4.2500000000000003E-3</v>
      </c>
      <c r="G106" s="103">
        <v>-4.2500000000000003E-3</v>
      </c>
      <c r="H106" s="103">
        <v>-2.2100000000000002E-3</v>
      </c>
      <c r="I106" s="103">
        <v>-2.6900000000000001E-3</v>
      </c>
      <c r="J106" s="103">
        <v>-8.1999999999999998E-4</v>
      </c>
      <c r="K106" s="103">
        <v>-8.1999999999999998E-4</v>
      </c>
      <c r="L106" s="103">
        <v>-4.8000000000000001E-4</v>
      </c>
      <c r="M106" s="103">
        <v>-4.8000000000000001E-4</v>
      </c>
      <c r="N106" s="103">
        <v>-4.8000000000000001E-4</v>
      </c>
      <c r="O106" s="103">
        <v>-4.8000000000000001E-4</v>
      </c>
      <c r="P106" s="103"/>
    </row>
    <row r="107" spans="1:35" x14ac:dyDescent="0.2">
      <c r="A107" s="95">
        <v>44712</v>
      </c>
      <c r="B107" s="103">
        <v>-5.5300000000000002E-3</v>
      </c>
      <c r="C107" s="103">
        <v>-2.6900000000000001E-3</v>
      </c>
      <c r="D107" s="103">
        <v>-2.6900000000000001E-3</v>
      </c>
      <c r="E107" s="103">
        <v>-2.2100000000000002E-3</v>
      </c>
      <c r="F107" s="103">
        <v>-4.2500000000000003E-3</v>
      </c>
      <c r="G107" s="103">
        <v>-4.2500000000000003E-3</v>
      </c>
      <c r="H107" s="103">
        <v>-2.2100000000000002E-3</v>
      </c>
      <c r="I107" s="103">
        <v>-2.6900000000000001E-3</v>
      </c>
      <c r="J107" s="103">
        <v>-8.1999999999999998E-4</v>
      </c>
      <c r="K107" s="103">
        <v>-8.1999999999999998E-4</v>
      </c>
      <c r="L107" s="103">
        <v>-4.8000000000000001E-4</v>
      </c>
      <c r="M107" s="103">
        <v>-4.8000000000000001E-4</v>
      </c>
      <c r="N107" s="103">
        <v>-4.8000000000000001E-4</v>
      </c>
      <c r="O107" s="103">
        <v>-4.8000000000000001E-4</v>
      </c>
      <c r="P107" s="103"/>
    </row>
    <row r="108" spans="1:35" x14ac:dyDescent="0.2">
      <c r="A108" s="95">
        <v>44742</v>
      </c>
      <c r="B108" s="103">
        <v>-5.5300000000000002E-3</v>
      </c>
      <c r="C108" s="103">
        <v>-2.6900000000000001E-3</v>
      </c>
      <c r="D108" s="103">
        <v>-2.6900000000000001E-3</v>
      </c>
      <c r="E108" s="103">
        <v>-2.2100000000000002E-3</v>
      </c>
      <c r="F108" s="103">
        <v>-4.2500000000000003E-3</v>
      </c>
      <c r="G108" s="103">
        <v>-4.2500000000000003E-3</v>
      </c>
      <c r="H108" s="103">
        <v>-2.2100000000000002E-3</v>
      </c>
      <c r="I108" s="103">
        <v>-2.6900000000000001E-3</v>
      </c>
      <c r="J108" s="103">
        <v>-8.1999999999999998E-4</v>
      </c>
      <c r="K108" s="103">
        <v>-8.1999999999999998E-4</v>
      </c>
      <c r="L108" s="103">
        <v>-4.8000000000000001E-4</v>
      </c>
      <c r="M108" s="103">
        <v>-4.8000000000000001E-4</v>
      </c>
      <c r="N108" s="103">
        <v>-4.8000000000000001E-4</v>
      </c>
      <c r="O108" s="103">
        <v>-4.8000000000000001E-4</v>
      </c>
      <c r="P108" s="103"/>
    </row>
    <row r="109" spans="1:35" x14ac:dyDescent="0.2">
      <c r="A109" s="95">
        <v>44773</v>
      </c>
      <c r="B109" s="103">
        <v>-5.5300000000000002E-3</v>
      </c>
      <c r="C109" s="103">
        <v>-2.6900000000000001E-3</v>
      </c>
      <c r="D109" s="103">
        <v>-2.6900000000000001E-3</v>
      </c>
      <c r="E109" s="103">
        <v>-2.2100000000000002E-3</v>
      </c>
      <c r="F109" s="103">
        <v>-4.2500000000000003E-3</v>
      </c>
      <c r="G109" s="103">
        <v>-4.2500000000000003E-3</v>
      </c>
      <c r="H109" s="103">
        <v>-2.2100000000000002E-3</v>
      </c>
      <c r="I109" s="103">
        <v>-2.6900000000000001E-3</v>
      </c>
      <c r="J109" s="103">
        <v>-8.1999999999999998E-4</v>
      </c>
      <c r="K109" s="103">
        <v>-8.1999999999999998E-4</v>
      </c>
      <c r="L109" s="103">
        <v>-4.8000000000000001E-4</v>
      </c>
      <c r="M109" s="103">
        <v>-4.8000000000000001E-4</v>
      </c>
      <c r="N109" s="103">
        <v>-4.8000000000000001E-4</v>
      </c>
      <c r="O109" s="103">
        <v>-4.8000000000000001E-4</v>
      </c>
      <c r="P109" s="103"/>
    </row>
    <row r="110" spans="1:35" x14ac:dyDescent="0.2">
      <c r="A110" s="95">
        <v>44804</v>
      </c>
      <c r="B110" s="103">
        <v>-5.5300000000000002E-3</v>
      </c>
      <c r="C110" s="103">
        <v>-2.6900000000000001E-3</v>
      </c>
      <c r="D110" s="103">
        <v>-2.6900000000000001E-3</v>
      </c>
      <c r="E110" s="103">
        <v>-2.2100000000000002E-3</v>
      </c>
      <c r="F110" s="103">
        <v>-4.2500000000000003E-3</v>
      </c>
      <c r="G110" s="103">
        <v>-4.2500000000000003E-3</v>
      </c>
      <c r="H110" s="103">
        <v>-2.2100000000000002E-3</v>
      </c>
      <c r="I110" s="103">
        <v>-2.6900000000000001E-3</v>
      </c>
      <c r="J110" s="103">
        <v>-8.1999999999999998E-4</v>
      </c>
      <c r="K110" s="103">
        <v>-8.1999999999999998E-4</v>
      </c>
      <c r="L110" s="103">
        <v>-4.8000000000000001E-4</v>
      </c>
      <c r="M110" s="103">
        <v>-4.8000000000000001E-4</v>
      </c>
      <c r="N110" s="103">
        <v>-4.8000000000000001E-4</v>
      </c>
      <c r="O110" s="103">
        <v>-4.8000000000000001E-4</v>
      </c>
      <c r="P110" s="103"/>
    </row>
    <row r="111" spans="1:35" x14ac:dyDescent="0.2">
      <c r="A111" s="95">
        <v>44834</v>
      </c>
      <c r="B111" s="103">
        <v>-5.5300000000000002E-3</v>
      </c>
      <c r="C111" s="103">
        <v>-2.6900000000000001E-3</v>
      </c>
      <c r="D111" s="103">
        <v>-2.6900000000000001E-3</v>
      </c>
      <c r="E111" s="103">
        <v>-2.2100000000000002E-3</v>
      </c>
      <c r="F111" s="103">
        <v>-4.2500000000000003E-3</v>
      </c>
      <c r="G111" s="103">
        <v>-4.2500000000000003E-3</v>
      </c>
      <c r="H111" s="103">
        <v>-2.2100000000000002E-3</v>
      </c>
      <c r="I111" s="103">
        <v>-2.6900000000000001E-3</v>
      </c>
      <c r="J111" s="103">
        <v>-8.1999999999999998E-4</v>
      </c>
      <c r="K111" s="103">
        <v>-8.1999999999999998E-4</v>
      </c>
      <c r="L111" s="103">
        <v>-4.8000000000000001E-4</v>
      </c>
      <c r="M111" s="103">
        <v>-4.8000000000000001E-4</v>
      </c>
      <c r="N111" s="103">
        <v>-4.8000000000000001E-4</v>
      </c>
      <c r="O111" s="103">
        <v>-4.8000000000000001E-4</v>
      </c>
      <c r="P111" s="103"/>
    </row>
    <row r="112" spans="1:35" x14ac:dyDescent="0.2">
      <c r="A112" s="95">
        <v>44865</v>
      </c>
      <c r="B112" s="103">
        <v>-5.5300000000000002E-3</v>
      </c>
      <c r="C112" s="103">
        <v>-2.6900000000000001E-3</v>
      </c>
      <c r="D112" s="103">
        <v>-2.6900000000000001E-3</v>
      </c>
      <c r="E112" s="103">
        <v>-2.2100000000000002E-3</v>
      </c>
      <c r="F112" s="103">
        <v>-4.2500000000000003E-3</v>
      </c>
      <c r="G112" s="103">
        <v>-4.2500000000000003E-3</v>
      </c>
      <c r="H112" s="103">
        <v>-2.2100000000000002E-3</v>
      </c>
      <c r="I112" s="103">
        <v>-2.6900000000000001E-3</v>
      </c>
      <c r="J112" s="103">
        <v>-8.1999999999999998E-4</v>
      </c>
      <c r="K112" s="103">
        <v>-8.1999999999999998E-4</v>
      </c>
      <c r="L112" s="103">
        <v>-4.8000000000000001E-4</v>
      </c>
      <c r="M112" s="103">
        <v>-4.8000000000000001E-4</v>
      </c>
      <c r="N112" s="103">
        <v>-4.8000000000000001E-4</v>
      </c>
      <c r="O112" s="103">
        <v>-4.8000000000000001E-4</v>
      </c>
      <c r="P112" s="103"/>
    </row>
    <row r="114" spans="1:30" x14ac:dyDescent="0.2">
      <c r="B114" s="100"/>
      <c r="C114" s="100"/>
      <c r="D114" s="100"/>
      <c r="E114" s="100"/>
      <c r="F114" s="100"/>
      <c r="G114" s="100"/>
      <c r="H114" s="100"/>
      <c r="I114" s="100"/>
      <c r="J114" s="100"/>
      <c r="K114" s="15"/>
      <c r="L114" s="15"/>
      <c r="M114" s="15"/>
      <c r="N114" s="15"/>
      <c r="O114" s="15"/>
      <c r="P114" s="15"/>
    </row>
    <row r="115" spans="1:30" x14ac:dyDescent="0.2">
      <c r="B115" s="89">
        <v>503</v>
      </c>
      <c r="C115" s="89" t="s">
        <v>31</v>
      </c>
      <c r="D115" s="89">
        <v>505</v>
      </c>
      <c r="E115" s="89">
        <v>511</v>
      </c>
      <c r="F115" s="89" t="s">
        <v>30</v>
      </c>
      <c r="G115" s="89">
        <v>504</v>
      </c>
      <c r="H115" s="89" t="s">
        <v>64</v>
      </c>
      <c r="I115" s="89" t="s">
        <v>31</v>
      </c>
      <c r="J115" s="89">
        <v>570</v>
      </c>
      <c r="K115" s="89">
        <v>570</v>
      </c>
      <c r="L115" s="92" t="s">
        <v>70</v>
      </c>
      <c r="M115" s="92">
        <v>6631</v>
      </c>
      <c r="N115" s="92">
        <v>6633</v>
      </c>
      <c r="O115" s="92">
        <v>6635</v>
      </c>
      <c r="P115" s="92">
        <v>916</v>
      </c>
      <c r="R115" s="94" t="s">
        <v>3</v>
      </c>
      <c r="T115" s="92">
        <v>4800</v>
      </c>
      <c r="U115" s="92">
        <v>4809</v>
      </c>
      <c r="V115" s="92">
        <v>4810</v>
      </c>
      <c r="W115" s="92">
        <v>4811</v>
      </c>
      <c r="X115" s="92">
        <v>4813</v>
      </c>
      <c r="Y115" s="92" t="s">
        <v>46</v>
      </c>
      <c r="Z115" s="92">
        <v>4861</v>
      </c>
      <c r="AA115" s="92">
        <v>4863</v>
      </c>
      <c r="AB115" s="92" t="s">
        <v>47</v>
      </c>
      <c r="AC115" s="94" t="s">
        <v>3</v>
      </c>
    </row>
    <row r="116" spans="1:30" x14ac:dyDescent="0.2">
      <c r="A116" s="95">
        <f>'TAX Interest Rates'!A17</f>
        <v>43343</v>
      </c>
      <c r="B116" s="104">
        <f t="shared" ref="B116:P116" si="9">ROUND(-B4*B62,2)</f>
        <v>4864.8500000000004</v>
      </c>
      <c r="C116" s="104">
        <f t="shared" si="9"/>
        <v>0</v>
      </c>
      <c r="D116" s="104">
        <f t="shared" si="9"/>
        <v>379.37</v>
      </c>
      <c r="E116" s="104">
        <f t="shared" si="9"/>
        <v>172.56</v>
      </c>
      <c r="F116" s="104">
        <f t="shared" si="9"/>
        <v>0.59</v>
      </c>
      <c r="G116" s="104">
        <f t="shared" si="9"/>
        <v>3697.61</v>
      </c>
      <c r="H116" s="104">
        <f t="shared" si="9"/>
        <v>267.77999999999997</v>
      </c>
      <c r="I116" s="104">
        <f t="shared" si="9"/>
        <v>0.85</v>
      </c>
      <c r="J116" s="104">
        <f t="shared" si="9"/>
        <v>0</v>
      </c>
      <c r="K116" s="104">
        <f t="shared" si="9"/>
        <v>67.239999999999995</v>
      </c>
      <c r="L116" s="104">
        <f t="shared" si="9"/>
        <v>11577.74</v>
      </c>
      <c r="M116" s="104">
        <f t="shared" si="9"/>
        <v>0</v>
      </c>
      <c r="N116" s="104">
        <f t="shared" si="9"/>
        <v>5487.89</v>
      </c>
      <c r="O116" s="104">
        <f t="shared" si="9"/>
        <v>2276.1999999999998</v>
      </c>
      <c r="P116" s="104">
        <f t="shared" si="9"/>
        <v>6188.95</v>
      </c>
      <c r="R116" s="1">
        <f t="shared" ref="R116:R127" si="10">SUM(B116:Q116)</f>
        <v>34981.630000000005</v>
      </c>
      <c r="T116" s="1">
        <f>+B116</f>
        <v>4864.8500000000004</v>
      </c>
      <c r="U116" s="1">
        <f>+C116+D116+E116</f>
        <v>551.93000000000006</v>
      </c>
      <c r="V116" s="1">
        <f>+F116+G116+H116</f>
        <v>3965.9800000000005</v>
      </c>
      <c r="W116" s="1">
        <f>+I116+J116</f>
        <v>0.85</v>
      </c>
      <c r="X116" s="1">
        <f>+K116</f>
        <v>67.239999999999995</v>
      </c>
      <c r="Y116" s="1">
        <f>SUM(T116:X116)</f>
        <v>9450.8500000000022</v>
      </c>
      <c r="Z116" s="1">
        <f>+L116</f>
        <v>11577.74</v>
      </c>
      <c r="AA116" s="1">
        <f>+M116+N116+O116+P116</f>
        <v>13953.04</v>
      </c>
      <c r="AB116" s="1">
        <f>SUM(Z116:AA116)</f>
        <v>25530.78</v>
      </c>
      <c r="AC116" s="1">
        <f>+Y116+AB116</f>
        <v>34981.630000000005</v>
      </c>
      <c r="AD116" s="1">
        <f>+R116-Y116-AB116</f>
        <v>0</v>
      </c>
    </row>
    <row r="117" spans="1:30" x14ac:dyDescent="0.2">
      <c r="A117" s="95">
        <f>'TAX Interest Rates'!A18</f>
        <v>43373</v>
      </c>
      <c r="B117" s="104">
        <f t="shared" ref="B117:P117" si="11">ROUND(-B5*B63,2)</f>
        <v>13708.84</v>
      </c>
      <c r="C117" s="104">
        <f t="shared" si="11"/>
        <v>-0.85</v>
      </c>
      <c r="D117" s="104">
        <f t="shared" si="11"/>
        <v>1535.8</v>
      </c>
      <c r="E117" s="104">
        <f t="shared" si="11"/>
        <v>469.97</v>
      </c>
      <c r="F117" s="104">
        <f t="shared" si="11"/>
        <v>1.88</v>
      </c>
      <c r="G117" s="104">
        <f t="shared" si="11"/>
        <v>10440.69</v>
      </c>
      <c r="H117" s="104">
        <f t="shared" si="11"/>
        <v>749.21</v>
      </c>
      <c r="I117" s="104">
        <f t="shared" si="11"/>
        <v>1.3</v>
      </c>
      <c r="J117" s="104">
        <f t="shared" si="11"/>
        <v>0</v>
      </c>
      <c r="K117" s="104">
        <f t="shared" si="11"/>
        <v>85.42</v>
      </c>
      <c r="L117" s="104">
        <f t="shared" si="11"/>
        <v>13098.28</v>
      </c>
      <c r="M117" s="104">
        <f t="shared" si="11"/>
        <v>6584.55</v>
      </c>
      <c r="N117" s="104">
        <f t="shared" si="11"/>
        <v>6183.84</v>
      </c>
      <c r="O117" s="104">
        <f t="shared" si="11"/>
        <v>894.78</v>
      </c>
      <c r="P117" s="104">
        <f t="shared" si="11"/>
        <v>0</v>
      </c>
      <c r="R117" s="1">
        <f t="shared" si="10"/>
        <v>53753.709999999992</v>
      </c>
      <c r="T117" s="1">
        <f t="shared" ref="T117:T127" si="12">+B117</f>
        <v>13708.84</v>
      </c>
      <c r="U117" s="1">
        <f t="shared" ref="U117:U127" si="13">+C117+D117+E117</f>
        <v>2004.92</v>
      </c>
      <c r="V117" s="1">
        <f t="shared" ref="V117:V127" si="14">+F117+G117+H117</f>
        <v>11191.779999999999</v>
      </c>
      <c r="W117" s="1">
        <f t="shared" ref="W117:W127" si="15">+I117+J117</f>
        <v>1.3</v>
      </c>
      <c r="X117" s="1">
        <f t="shared" ref="X117:X127" si="16">+K117</f>
        <v>85.42</v>
      </c>
      <c r="Y117" s="1">
        <f t="shared" ref="Y117:Y127" si="17">SUM(T117:X117)</f>
        <v>26992.26</v>
      </c>
      <c r="Z117" s="1">
        <f t="shared" ref="Z117:Z127" si="18">+L117</f>
        <v>13098.28</v>
      </c>
      <c r="AA117" s="1">
        <f t="shared" ref="AA117:AA127" si="19">+M117+N117+O117+P117</f>
        <v>13663.17</v>
      </c>
      <c r="AB117" s="1">
        <f t="shared" ref="AB117:AB127" si="20">SUM(Z117:AA117)</f>
        <v>26761.45</v>
      </c>
      <c r="AC117" s="1">
        <f t="shared" ref="AC117:AC127" si="21">+Y117+AB117</f>
        <v>53753.71</v>
      </c>
      <c r="AD117" s="1">
        <f t="shared" ref="AD117:AD127" si="22">+R117-Y117-AB117</f>
        <v>0</v>
      </c>
    </row>
    <row r="118" spans="1:30" x14ac:dyDescent="0.2">
      <c r="A118" s="95">
        <f>'TAX Interest Rates'!A19</f>
        <v>43404</v>
      </c>
      <c r="B118" s="104">
        <f t="shared" ref="B118:P118" si="23">ROUND(-B6*B64,2)</f>
        <v>25898.73</v>
      </c>
      <c r="C118" s="104">
        <f t="shared" si="23"/>
        <v>0</v>
      </c>
      <c r="D118" s="104">
        <f t="shared" si="23"/>
        <v>2444.86</v>
      </c>
      <c r="E118" s="104">
        <f t="shared" si="23"/>
        <v>871.9</v>
      </c>
      <c r="F118" s="104">
        <f t="shared" si="23"/>
        <v>7.8</v>
      </c>
      <c r="G118" s="104">
        <f t="shared" si="23"/>
        <v>15974.12</v>
      </c>
      <c r="H118" s="104">
        <f t="shared" si="23"/>
        <v>1315.52</v>
      </c>
      <c r="I118" s="104">
        <f t="shared" si="23"/>
        <v>0.05</v>
      </c>
      <c r="J118" s="104">
        <f t="shared" si="23"/>
        <v>0</v>
      </c>
      <c r="K118" s="104">
        <f t="shared" si="23"/>
        <v>142.37</v>
      </c>
      <c r="L118" s="104">
        <f t="shared" si="23"/>
        <v>13952.89</v>
      </c>
      <c r="M118" s="104">
        <f t="shared" si="23"/>
        <v>3317.15</v>
      </c>
      <c r="N118" s="104">
        <f t="shared" si="23"/>
        <v>1734.66</v>
      </c>
      <c r="O118" s="104">
        <f t="shared" si="23"/>
        <v>860.66</v>
      </c>
      <c r="P118" s="104">
        <f t="shared" si="23"/>
        <v>0</v>
      </c>
      <c r="R118" s="1">
        <f t="shared" si="10"/>
        <v>66520.710000000006</v>
      </c>
      <c r="T118" s="1">
        <f t="shared" si="12"/>
        <v>25898.73</v>
      </c>
      <c r="U118" s="1">
        <f t="shared" si="13"/>
        <v>3316.76</v>
      </c>
      <c r="V118" s="1">
        <f t="shared" si="14"/>
        <v>17297.439999999999</v>
      </c>
      <c r="W118" s="1">
        <f t="shared" si="15"/>
        <v>0.05</v>
      </c>
      <c r="X118" s="1">
        <f t="shared" si="16"/>
        <v>142.37</v>
      </c>
      <c r="Y118" s="1">
        <f t="shared" si="17"/>
        <v>46655.35</v>
      </c>
      <c r="Z118" s="1">
        <f t="shared" si="18"/>
        <v>13952.89</v>
      </c>
      <c r="AA118" s="1">
        <f t="shared" si="19"/>
        <v>5912.47</v>
      </c>
      <c r="AB118" s="1">
        <f t="shared" si="20"/>
        <v>19865.36</v>
      </c>
      <c r="AC118" s="1">
        <f t="shared" si="21"/>
        <v>66520.709999999992</v>
      </c>
      <c r="AD118" s="1">
        <f t="shared" si="22"/>
        <v>0</v>
      </c>
    </row>
    <row r="119" spans="1:30" x14ac:dyDescent="0.2">
      <c r="A119" s="95">
        <f>'TAX Interest Rates'!A20</f>
        <v>43434</v>
      </c>
      <c r="B119" s="104">
        <f t="shared" ref="B119:P119" si="24">ROUND(-B7*B64,2)</f>
        <v>27950.15</v>
      </c>
      <c r="C119" s="104">
        <f t="shared" si="24"/>
        <v>0</v>
      </c>
      <c r="D119" s="104">
        <f t="shared" si="24"/>
        <v>1638.33</v>
      </c>
      <c r="E119" s="104">
        <f t="shared" si="24"/>
        <v>209.54</v>
      </c>
      <c r="F119" s="104">
        <f t="shared" si="24"/>
        <v>0</v>
      </c>
      <c r="G119" s="104">
        <f t="shared" si="24"/>
        <v>15117.56</v>
      </c>
      <c r="H119" s="104">
        <f t="shared" si="24"/>
        <v>896.65</v>
      </c>
      <c r="I119" s="104">
        <f t="shared" si="24"/>
        <v>0</v>
      </c>
      <c r="J119" s="104">
        <f t="shared" si="24"/>
        <v>0</v>
      </c>
      <c r="K119" s="104">
        <f t="shared" si="24"/>
        <v>0</v>
      </c>
      <c r="L119" s="104">
        <f t="shared" si="24"/>
        <v>0</v>
      </c>
      <c r="M119" s="104">
        <f t="shared" si="24"/>
        <v>0</v>
      </c>
      <c r="N119" s="104">
        <f t="shared" si="24"/>
        <v>0</v>
      </c>
      <c r="O119" s="104">
        <f t="shared" si="24"/>
        <v>0</v>
      </c>
      <c r="P119" s="104">
        <f t="shared" si="24"/>
        <v>0</v>
      </c>
      <c r="R119" s="1">
        <f t="shared" ref="R119" si="25">SUM(B119:Q119)</f>
        <v>45812.23</v>
      </c>
      <c r="S119" s="1" t="s">
        <v>56</v>
      </c>
      <c r="T119" s="1">
        <f t="shared" ref="T119" si="26">+B119</f>
        <v>27950.15</v>
      </c>
      <c r="U119" s="1">
        <f t="shared" ref="U119" si="27">+C119+D119+E119</f>
        <v>1847.87</v>
      </c>
      <c r="V119" s="1">
        <f t="shared" ref="V119" si="28">+F119+G119+H119</f>
        <v>16014.21</v>
      </c>
      <c r="W119" s="1">
        <f t="shared" ref="W119" si="29">+I119+J119</f>
        <v>0</v>
      </c>
      <c r="X119" s="1">
        <f t="shared" ref="X119" si="30">+K119</f>
        <v>0</v>
      </c>
      <c r="Y119" s="1">
        <f t="shared" si="17"/>
        <v>45812.229999999996</v>
      </c>
      <c r="Z119" s="1">
        <f t="shared" ref="Z119" si="31">+L119</f>
        <v>0</v>
      </c>
      <c r="AA119" s="1">
        <f t="shared" ref="AA119" si="32">+M119+N119+O119+P119</f>
        <v>0</v>
      </c>
      <c r="AB119" s="1">
        <f t="shared" si="20"/>
        <v>0</v>
      </c>
      <c r="AC119" s="1">
        <f t="shared" si="21"/>
        <v>45812.229999999996</v>
      </c>
      <c r="AD119" s="1">
        <f t="shared" si="22"/>
        <v>7.2759576141834259E-12</v>
      </c>
    </row>
    <row r="120" spans="1:30" x14ac:dyDescent="0.2">
      <c r="A120" s="95">
        <f>'TAX Interest Rates'!A20</f>
        <v>43434</v>
      </c>
      <c r="B120" s="104">
        <f t="shared" ref="B120:P120" si="33">ROUND(-B8*B65,2)</f>
        <v>17492.91</v>
      </c>
      <c r="C120" s="104">
        <f t="shared" si="33"/>
        <v>0.17</v>
      </c>
      <c r="D120" s="104">
        <f t="shared" si="33"/>
        <v>783.96</v>
      </c>
      <c r="E120" s="104">
        <f t="shared" si="33"/>
        <v>167.55</v>
      </c>
      <c r="F120" s="104">
        <f t="shared" si="33"/>
        <v>14.41</v>
      </c>
      <c r="G120" s="104">
        <f t="shared" si="33"/>
        <v>8829.73</v>
      </c>
      <c r="H120" s="104">
        <f t="shared" si="33"/>
        <v>716.96</v>
      </c>
      <c r="I120" s="104">
        <f t="shared" si="33"/>
        <v>0</v>
      </c>
      <c r="J120" s="104">
        <f t="shared" si="33"/>
        <v>0</v>
      </c>
      <c r="K120" s="104">
        <f t="shared" si="33"/>
        <v>174.15</v>
      </c>
      <c r="L120" s="104">
        <f t="shared" si="33"/>
        <v>12455.39</v>
      </c>
      <c r="M120" s="104">
        <f t="shared" si="33"/>
        <v>36.85</v>
      </c>
      <c r="N120" s="104">
        <f t="shared" si="33"/>
        <v>13.54</v>
      </c>
      <c r="O120" s="104">
        <f t="shared" si="33"/>
        <v>16.27</v>
      </c>
      <c r="P120" s="104">
        <f t="shared" si="33"/>
        <v>0</v>
      </c>
      <c r="R120" s="1">
        <f t="shared" si="10"/>
        <v>40701.889999999992</v>
      </c>
      <c r="S120" s="1" t="s">
        <v>57</v>
      </c>
      <c r="T120" s="1">
        <f t="shared" si="12"/>
        <v>17492.91</v>
      </c>
      <c r="U120" s="1">
        <f t="shared" si="13"/>
        <v>951.68000000000006</v>
      </c>
      <c r="V120" s="1">
        <f t="shared" si="14"/>
        <v>9561.0999999999985</v>
      </c>
      <c r="W120" s="1">
        <f t="shared" si="15"/>
        <v>0</v>
      </c>
      <c r="X120" s="1">
        <f t="shared" si="16"/>
        <v>174.15</v>
      </c>
      <c r="Y120" s="1">
        <f t="shared" si="17"/>
        <v>28179.84</v>
      </c>
      <c r="Z120" s="1">
        <f t="shared" si="18"/>
        <v>12455.39</v>
      </c>
      <c r="AA120" s="1">
        <f t="shared" si="19"/>
        <v>66.66</v>
      </c>
      <c r="AB120" s="1">
        <f t="shared" si="20"/>
        <v>12522.05</v>
      </c>
      <c r="AC120" s="1">
        <f t="shared" si="21"/>
        <v>40701.89</v>
      </c>
      <c r="AD120" s="1">
        <f t="shared" si="22"/>
        <v>0</v>
      </c>
    </row>
    <row r="121" spans="1:30" x14ac:dyDescent="0.2">
      <c r="A121" s="95">
        <f>'TAX Interest Rates'!A21</f>
        <v>43465</v>
      </c>
      <c r="B121" s="104">
        <f t="shared" ref="B121:P121" si="34">ROUND(-B9*B66,2)</f>
        <v>92138.8</v>
      </c>
      <c r="C121" s="104">
        <f t="shared" si="34"/>
        <v>-0.17</v>
      </c>
      <c r="D121" s="104">
        <f t="shared" si="34"/>
        <v>3880.02</v>
      </c>
      <c r="E121" s="104">
        <f t="shared" si="34"/>
        <v>659.43</v>
      </c>
      <c r="F121" s="104">
        <f t="shared" si="34"/>
        <v>20.45</v>
      </c>
      <c r="G121" s="104">
        <f t="shared" si="34"/>
        <v>47674.39</v>
      </c>
      <c r="H121" s="104">
        <f t="shared" si="34"/>
        <v>2988.68</v>
      </c>
      <c r="I121" s="104">
        <f t="shared" si="34"/>
        <v>0.37</v>
      </c>
      <c r="J121" s="104">
        <f t="shared" si="34"/>
        <v>0</v>
      </c>
      <c r="K121" s="104">
        <f t="shared" si="34"/>
        <v>208.39</v>
      </c>
      <c r="L121" s="104">
        <f t="shared" si="34"/>
        <v>14086.49</v>
      </c>
      <c r="M121" s="104">
        <f t="shared" si="34"/>
        <v>6903.64</v>
      </c>
      <c r="N121" s="104">
        <f t="shared" si="34"/>
        <v>2136.3000000000002</v>
      </c>
      <c r="O121" s="104">
        <f t="shared" si="34"/>
        <v>27.59</v>
      </c>
      <c r="P121" s="104">
        <f t="shared" si="34"/>
        <v>0</v>
      </c>
      <c r="R121" s="1">
        <f t="shared" si="10"/>
        <v>170724.37999999998</v>
      </c>
      <c r="T121" s="1">
        <f t="shared" si="12"/>
        <v>92138.8</v>
      </c>
      <c r="U121" s="1">
        <f t="shared" si="13"/>
        <v>4539.28</v>
      </c>
      <c r="V121" s="1">
        <f t="shared" si="14"/>
        <v>50683.519999999997</v>
      </c>
      <c r="W121" s="1">
        <f t="shared" si="15"/>
        <v>0.37</v>
      </c>
      <c r="X121" s="1">
        <f t="shared" si="16"/>
        <v>208.39</v>
      </c>
      <c r="Y121" s="1">
        <f t="shared" si="17"/>
        <v>147570.36000000002</v>
      </c>
      <c r="Z121" s="1">
        <f t="shared" si="18"/>
        <v>14086.49</v>
      </c>
      <c r="AA121" s="1">
        <f t="shared" si="19"/>
        <v>9067.5300000000007</v>
      </c>
      <c r="AB121" s="1">
        <f t="shared" si="20"/>
        <v>23154.02</v>
      </c>
      <c r="AC121" s="1">
        <f t="shared" si="21"/>
        <v>170724.38</v>
      </c>
      <c r="AD121" s="1">
        <f t="shared" si="22"/>
        <v>-4.0017766878008842E-11</v>
      </c>
    </row>
    <row r="122" spans="1:30" x14ac:dyDescent="0.2">
      <c r="A122" s="95">
        <f>'TAX Interest Rates'!A22</f>
        <v>43496</v>
      </c>
      <c r="B122" s="104">
        <f t="shared" ref="B122:P122" si="35">ROUND(-B10*B67,2)</f>
        <v>105092.38</v>
      </c>
      <c r="C122" s="104">
        <f t="shared" si="35"/>
        <v>0</v>
      </c>
      <c r="D122" s="104">
        <f t="shared" si="35"/>
        <v>3770.67</v>
      </c>
      <c r="E122" s="104">
        <f t="shared" si="35"/>
        <v>714.86</v>
      </c>
      <c r="F122" s="104">
        <f t="shared" si="35"/>
        <v>19.239999999999998</v>
      </c>
      <c r="G122" s="104">
        <f t="shared" si="35"/>
        <v>54570.74</v>
      </c>
      <c r="H122" s="104">
        <f t="shared" si="35"/>
        <v>3191.7</v>
      </c>
      <c r="I122" s="104">
        <f t="shared" si="35"/>
        <v>0.02</v>
      </c>
      <c r="J122" s="104">
        <f t="shared" si="35"/>
        <v>0</v>
      </c>
      <c r="K122" s="104">
        <f t="shared" si="35"/>
        <v>207.05</v>
      </c>
      <c r="L122" s="104">
        <f t="shared" si="35"/>
        <v>14916.93</v>
      </c>
      <c r="M122" s="104">
        <f t="shared" si="35"/>
        <v>7173.36</v>
      </c>
      <c r="N122" s="104">
        <f t="shared" si="35"/>
        <v>1962.28</v>
      </c>
      <c r="O122" s="104">
        <f t="shared" si="35"/>
        <v>50.92</v>
      </c>
      <c r="P122" s="104">
        <f t="shared" si="35"/>
        <v>0</v>
      </c>
      <c r="R122" s="1">
        <f t="shared" si="10"/>
        <v>191670.15</v>
      </c>
      <c r="T122" s="1">
        <f t="shared" si="12"/>
        <v>105092.38</v>
      </c>
      <c r="U122" s="1">
        <f t="shared" si="13"/>
        <v>4485.53</v>
      </c>
      <c r="V122" s="1">
        <f t="shared" si="14"/>
        <v>57781.679999999993</v>
      </c>
      <c r="W122" s="1">
        <f t="shared" si="15"/>
        <v>0.02</v>
      </c>
      <c r="X122" s="1">
        <f t="shared" si="16"/>
        <v>207.05</v>
      </c>
      <c r="Y122" s="1">
        <f t="shared" si="17"/>
        <v>167566.65999999997</v>
      </c>
      <c r="Z122" s="1">
        <f t="shared" si="18"/>
        <v>14916.93</v>
      </c>
      <c r="AA122" s="1">
        <f t="shared" si="19"/>
        <v>9186.56</v>
      </c>
      <c r="AB122" s="1">
        <f t="shared" si="20"/>
        <v>24103.489999999998</v>
      </c>
      <c r="AC122" s="1">
        <f t="shared" si="21"/>
        <v>191670.14999999997</v>
      </c>
      <c r="AD122" s="1">
        <f t="shared" si="22"/>
        <v>0</v>
      </c>
    </row>
    <row r="123" spans="1:30" x14ac:dyDescent="0.2">
      <c r="A123" s="95">
        <f>'TAX Interest Rates'!A23</f>
        <v>43524</v>
      </c>
      <c r="B123" s="104">
        <f t="shared" ref="B123:P123" si="36">ROUND(-B11*B68,2)</f>
        <v>112671.33</v>
      </c>
      <c r="C123" s="104">
        <f t="shared" si="36"/>
        <v>0</v>
      </c>
      <c r="D123" s="104">
        <f t="shared" si="36"/>
        <v>4250.47</v>
      </c>
      <c r="E123" s="104">
        <f t="shared" si="36"/>
        <v>704.09</v>
      </c>
      <c r="F123" s="104">
        <f t="shared" si="36"/>
        <v>22.82</v>
      </c>
      <c r="G123" s="104">
        <f t="shared" si="36"/>
        <v>58191.02</v>
      </c>
      <c r="H123" s="104">
        <f t="shared" si="36"/>
        <v>3299.39</v>
      </c>
      <c r="I123" s="104">
        <f t="shared" si="36"/>
        <v>0</v>
      </c>
      <c r="J123" s="104">
        <f t="shared" si="36"/>
        <v>0</v>
      </c>
      <c r="K123" s="104">
        <f t="shared" si="36"/>
        <v>216.15</v>
      </c>
      <c r="L123" s="104">
        <f t="shared" si="36"/>
        <v>14508.11</v>
      </c>
      <c r="M123" s="104">
        <f t="shared" si="36"/>
        <v>3556.25</v>
      </c>
      <c r="N123" s="104">
        <f t="shared" si="36"/>
        <v>2806.42</v>
      </c>
      <c r="O123" s="104">
        <f t="shared" si="36"/>
        <v>109.77</v>
      </c>
      <c r="P123" s="104">
        <f t="shared" si="36"/>
        <v>0</v>
      </c>
      <c r="R123" s="1">
        <f t="shared" si="10"/>
        <v>200335.82</v>
      </c>
      <c r="T123" s="1">
        <f t="shared" si="12"/>
        <v>112671.33</v>
      </c>
      <c r="U123" s="1">
        <f t="shared" si="13"/>
        <v>4954.5600000000004</v>
      </c>
      <c r="V123" s="1">
        <f t="shared" si="14"/>
        <v>61513.229999999996</v>
      </c>
      <c r="W123" s="1">
        <f t="shared" si="15"/>
        <v>0</v>
      </c>
      <c r="X123" s="1">
        <f t="shared" si="16"/>
        <v>216.15</v>
      </c>
      <c r="Y123" s="1">
        <f t="shared" si="17"/>
        <v>179355.27</v>
      </c>
      <c r="Z123" s="1">
        <f t="shared" si="18"/>
        <v>14508.11</v>
      </c>
      <c r="AA123" s="1">
        <f t="shared" si="19"/>
        <v>6472.4400000000005</v>
      </c>
      <c r="AB123" s="1">
        <f t="shared" si="20"/>
        <v>20980.550000000003</v>
      </c>
      <c r="AC123" s="1">
        <f t="shared" si="21"/>
        <v>200335.82</v>
      </c>
      <c r="AD123" s="1">
        <f t="shared" si="22"/>
        <v>0</v>
      </c>
    </row>
    <row r="124" spans="1:30" x14ac:dyDescent="0.2">
      <c r="A124" s="95">
        <f>'TAX Interest Rates'!A24</f>
        <v>43555</v>
      </c>
      <c r="B124" s="104">
        <f t="shared" ref="B124:P124" si="37">ROUND(-B12*B69,2)</f>
        <v>121220.12</v>
      </c>
      <c r="C124" s="104">
        <f t="shared" si="37"/>
        <v>0</v>
      </c>
      <c r="D124" s="104">
        <f t="shared" si="37"/>
        <v>4720.1400000000003</v>
      </c>
      <c r="E124" s="104">
        <f t="shared" si="37"/>
        <v>744.01</v>
      </c>
      <c r="F124" s="104">
        <f t="shared" si="37"/>
        <v>14.67</v>
      </c>
      <c r="G124" s="104">
        <f t="shared" si="37"/>
        <v>66317.990000000005</v>
      </c>
      <c r="H124" s="104">
        <f t="shared" si="37"/>
        <v>3564.23</v>
      </c>
      <c r="I124" s="104">
        <f t="shared" si="37"/>
        <v>0</v>
      </c>
      <c r="J124" s="104">
        <f t="shared" si="37"/>
        <v>0</v>
      </c>
      <c r="K124" s="104">
        <f t="shared" si="37"/>
        <v>198.52</v>
      </c>
      <c r="L124" s="104">
        <f t="shared" si="37"/>
        <v>14131.76</v>
      </c>
      <c r="M124" s="104">
        <f t="shared" si="37"/>
        <v>4712.4799999999996</v>
      </c>
      <c r="N124" s="104">
        <f t="shared" si="37"/>
        <v>1482.31</v>
      </c>
      <c r="O124" s="104">
        <f t="shared" si="37"/>
        <v>0</v>
      </c>
      <c r="P124" s="104">
        <f t="shared" si="37"/>
        <v>0</v>
      </c>
      <c r="R124" s="1">
        <f t="shared" si="10"/>
        <v>217106.23</v>
      </c>
      <c r="T124" s="1">
        <f t="shared" si="12"/>
        <v>121220.12</v>
      </c>
      <c r="U124" s="1">
        <f t="shared" si="13"/>
        <v>5464.1500000000005</v>
      </c>
      <c r="V124" s="1">
        <f t="shared" si="14"/>
        <v>69896.89</v>
      </c>
      <c r="W124" s="1">
        <f t="shared" si="15"/>
        <v>0</v>
      </c>
      <c r="X124" s="1">
        <f t="shared" si="16"/>
        <v>198.52</v>
      </c>
      <c r="Y124" s="1">
        <f t="shared" si="17"/>
        <v>196779.67999999996</v>
      </c>
      <c r="Z124" s="1">
        <f t="shared" si="18"/>
        <v>14131.76</v>
      </c>
      <c r="AA124" s="1">
        <f t="shared" si="19"/>
        <v>6194.7899999999991</v>
      </c>
      <c r="AB124" s="1">
        <f t="shared" si="20"/>
        <v>20326.55</v>
      </c>
      <c r="AC124" s="1">
        <f t="shared" si="21"/>
        <v>217106.22999999995</v>
      </c>
      <c r="AD124" s="1">
        <f t="shared" si="22"/>
        <v>4.7293724492192268E-11</v>
      </c>
    </row>
    <row r="125" spans="1:30" x14ac:dyDescent="0.2">
      <c r="A125" s="95">
        <f>'TAX Interest Rates'!A25</f>
        <v>43585</v>
      </c>
      <c r="B125" s="104">
        <f t="shared" ref="B125:P125" si="38">ROUND(-B13*B70,2)</f>
        <v>66339.360000000001</v>
      </c>
      <c r="C125" s="104">
        <f t="shared" si="38"/>
        <v>0</v>
      </c>
      <c r="D125" s="104">
        <f t="shared" si="38"/>
        <v>3501.35</v>
      </c>
      <c r="E125" s="104">
        <f t="shared" si="38"/>
        <v>732.35</v>
      </c>
      <c r="F125" s="104">
        <f t="shared" si="38"/>
        <v>9.39</v>
      </c>
      <c r="G125" s="104">
        <f t="shared" si="38"/>
        <v>37841.64</v>
      </c>
      <c r="H125" s="104">
        <f t="shared" si="38"/>
        <v>2222.29</v>
      </c>
      <c r="I125" s="104">
        <f t="shared" si="38"/>
        <v>0.34</v>
      </c>
      <c r="J125" s="104">
        <f t="shared" si="38"/>
        <v>0</v>
      </c>
      <c r="K125" s="104">
        <f t="shared" si="38"/>
        <v>153.16999999999999</v>
      </c>
      <c r="L125" s="104">
        <f t="shared" si="38"/>
        <v>13348.28</v>
      </c>
      <c r="M125" s="104">
        <f t="shared" si="38"/>
        <v>3645.22</v>
      </c>
      <c r="N125" s="104">
        <f t="shared" si="38"/>
        <v>1224.53</v>
      </c>
      <c r="O125" s="104">
        <f t="shared" si="38"/>
        <v>11.65</v>
      </c>
      <c r="P125" s="104">
        <f t="shared" si="38"/>
        <v>0</v>
      </c>
      <c r="R125" s="1">
        <f t="shared" si="10"/>
        <v>129029.56999999999</v>
      </c>
      <c r="T125" s="1">
        <f t="shared" si="12"/>
        <v>66339.360000000001</v>
      </c>
      <c r="U125" s="1">
        <f t="shared" si="13"/>
        <v>4233.7</v>
      </c>
      <c r="V125" s="1">
        <f t="shared" si="14"/>
        <v>40073.32</v>
      </c>
      <c r="W125" s="1">
        <f t="shared" si="15"/>
        <v>0.34</v>
      </c>
      <c r="X125" s="1">
        <f t="shared" si="16"/>
        <v>153.16999999999999</v>
      </c>
      <c r="Y125" s="1">
        <f t="shared" si="17"/>
        <v>110799.89</v>
      </c>
      <c r="Z125" s="1">
        <f t="shared" si="18"/>
        <v>13348.28</v>
      </c>
      <c r="AA125" s="1">
        <f t="shared" si="19"/>
        <v>4881.3999999999996</v>
      </c>
      <c r="AB125" s="1">
        <f t="shared" si="20"/>
        <v>18229.68</v>
      </c>
      <c r="AC125" s="1">
        <f t="shared" si="21"/>
        <v>129029.57</v>
      </c>
      <c r="AD125" s="1">
        <f t="shared" si="22"/>
        <v>0</v>
      </c>
    </row>
    <row r="126" spans="1:30" x14ac:dyDescent="0.2">
      <c r="A126" s="95">
        <f>'TAX Interest Rates'!A26</f>
        <v>43616</v>
      </c>
      <c r="B126" s="104">
        <f t="shared" ref="B126:P126" si="39">ROUND(-B14*B71,2)</f>
        <v>40085.769999999997</v>
      </c>
      <c r="C126" s="104">
        <f t="shared" si="39"/>
        <v>0</v>
      </c>
      <c r="D126" s="104">
        <f t="shared" si="39"/>
        <v>2077.38</v>
      </c>
      <c r="E126" s="104">
        <f t="shared" si="39"/>
        <v>578.15</v>
      </c>
      <c r="F126" s="104">
        <f t="shared" si="39"/>
        <v>2.68</v>
      </c>
      <c r="G126" s="104">
        <f t="shared" si="39"/>
        <v>22341.4</v>
      </c>
      <c r="H126" s="104">
        <f t="shared" si="39"/>
        <v>1495.16</v>
      </c>
      <c r="I126" s="104">
        <f t="shared" si="39"/>
        <v>0.4</v>
      </c>
      <c r="J126" s="104">
        <f t="shared" si="39"/>
        <v>0</v>
      </c>
      <c r="K126" s="104">
        <f t="shared" si="39"/>
        <v>113.8</v>
      </c>
      <c r="L126" s="104">
        <f t="shared" si="39"/>
        <v>14327</v>
      </c>
      <c r="M126" s="104">
        <f t="shared" si="39"/>
        <v>2563.5100000000002</v>
      </c>
      <c r="N126" s="104">
        <f t="shared" si="39"/>
        <v>183.35</v>
      </c>
      <c r="O126" s="104">
        <f t="shared" si="39"/>
        <v>112.34</v>
      </c>
      <c r="P126" s="104">
        <f t="shared" si="39"/>
        <v>0</v>
      </c>
      <c r="R126" s="1">
        <f t="shared" si="10"/>
        <v>83880.939999999988</v>
      </c>
      <c r="T126" s="1">
        <f t="shared" si="12"/>
        <v>40085.769999999997</v>
      </c>
      <c r="U126" s="1">
        <f t="shared" si="13"/>
        <v>2655.53</v>
      </c>
      <c r="V126" s="1">
        <f t="shared" si="14"/>
        <v>23839.24</v>
      </c>
      <c r="W126" s="1">
        <f t="shared" si="15"/>
        <v>0.4</v>
      </c>
      <c r="X126" s="1">
        <f t="shared" si="16"/>
        <v>113.8</v>
      </c>
      <c r="Y126" s="1">
        <f t="shared" si="17"/>
        <v>66694.739999999991</v>
      </c>
      <c r="Z126" s="1">
        <f t="shared" si="18"/>
        <v>14327</v>
      </c>
      <c r="AA126" s="1">
        <f t="shared" si="19"/>
        <v>2859.2000000000003</v>
      </c>
      <c r="AB126" s="1">
        <f t="shared" si="20"/>
        <v>17186.2</v>
      </c>
      <c r="AC126" s="1">
        <f t="shared" si="21"/>
        <v>83880.939999999988</v>
      </c>
      <c r="AD126" s="1">
        <f t="shared" si="22"/>
        <v>0</v>
      </c>
    </row>
    <row r="127" spans="1:30" x14ac:dyDescent="0.2">
      <c r="A127" s="95">
        <f>'TAX Interest Rates'!A27</f>
        <v>43646</v>
      </c>
      <c r="B127" s="104">
        <f t="shared" ref="B127:P127" si="40">ROUND(-B15*B72,2)</f>
        <v>21892.67</v>
      </c>
      <c r="C127" s="104">
        <f t="shared" si="40"/>
        <v>0</v>
      </c>
      <c r="D127" s="104">
        <f t="shared" si="40"/>
        <v>1522.87</v>
      </c>
      <c r="E127" s="104">
        <f t="shared" si="40"/>
        <v>594.09</v>
      </c>
      <c r="F127" s="104">
        <f t="shared" si="40"/>
        <v>1.53</v>
      </c>
      <c r="G127" s="104">
        <f t="shared" si="40"/>
        <v>14416.41</v>
      </c>
      <c r="H127" s="104">
        <f t="shared" si="40"/>
        <v>1036.68</v>
      </c>
      <c r="I127" s="104">
        <f t="shared" si="40"/>
        <v>0</v>
      </c>
      <c r="J127" s="104">
        <f t="shared" si="40"/>
        <v>0</v>
      </c>
      <c r="K127" s="104">
        <f t="shared" si="40"/>
        <v>88.79</v>
      </c>
      <c r="L127" s="104">
        <f t="shared" si="40"/>
        <v>12988.89</v>
      </c>
      <c r="M127" s="104">
        <f t="shared" si="40"/>
        <v>3755.78</v>
      </c>
      <c r="N127" s="104">
        <f t="shared" si="40"/>
        <v>3252.87</v>
      </c>
      <c r="O127" s="104">
        <f t="shared" si="40"/>
        <v>534.19000000000005</v>
      </c>
      <c r="P127" s="104">
        <f t="shared" si="40"/>
        <v>0</v>
      </c>
      <c r="R127" s="1">
        <f t="shared" si="10"/>
        <v>60084.77</v>
      </c>
      <c r="T127" s="1">
        <f t="shared" si="12"/>
        <v>21892.67</v>
      </c>
      <c r="U127" s="1">
        <f t="shared" si="13"/>
        <v>2116.96</v>
      </c>
      <c r="V127" s="1">
        <f t="shared" si="14"/>
        <v>15454.62</v>
      </c>
      <c r="W127" s="1">
        <f t="shared" si="15"/>
        <v>0</v>
      </c>
      <c r="X127" s="1">
        <f t="shared" si="16"/>
        <v>88.79</v>
      </c>
      <c r="Y127" s="1">
        <f t="shared" si="17"/>
        <v>39553.040000000001</v>
      </c>
      <c r="Z127" s="1">
        <f t="shared" si="18"/>
        <v>12988.89</v>
      </c>
      <c r="AA127" s="1">
        <f t="shared" si="19"/>
        <v>7542.84</v>
      </c>
      <c r="AB127" s="1">
        <f t="shared" si="20"/>
        <v>20531.73</v>
      </c>
      <c r="AC127" s="1">
        <f t="shared" si="21"/>
        <v>60084.770000000004</v>
      </c>
      <c r="AD127" s="1">
        <f t="shared" si="22"/>
        <v>0</v>
      </c>
    </row>
    <row r="128" spans="1:30" x14ac:dyDescent="0.2">
      <c r="A128" s="95">
        <f>'TAX Interest Rates'!A28</f>
        <v>43677</v>
      </c>
      <c r="B128" s="104">
        <f t="shared" ref="B128:P128" si="41">ROUND(-B16*B73,2)</f>
        <v>17406.82</v>
      </c>
      <c r="C128" s="104">
        <f t="shared" si="41"/>
        <v>0</v>
      </c>
      <c r="D128" s="104">
        <f t="shared" si="41"/>
        <v>1412.75</v>
      </c>
      <c r="E128" s="104">
        <f t="shared" si="41"/>
        <v>680.83</v>
      </c>
      <c r="F128" s="104">
        <f t="shared" si="41"/>
        <v>0.64</v>
      </c>
      <c r="G128" s="104">
        <f t="shared" si="41"/>
        <v>12706.84</v>
      </c>
      <c r="H128" s="104">
        <f t="shared" si="41"/>
        <v>877.16</v>
      </c>
      <c r="I128" s="104">
        <f t="shared" si="41"/>
        <v>0.43</v>
      </c>
      <c r="J128" s="104">
        <f t="shared" si="41"/>
        <v>0</v>
      </c>
      <c r="K128" s="104">
        <f t="shared" si="41"/>
        <v>96.02</v>
      </c>
      <c r="L128" s="104">
        <f t="shared" si="41"/>
        <v>12516.15</v>
      </c>
      <c r="M128" s="104">
        <f t="shared" si="41"/>
        <v>6960.57</v>
      </c>
      <c r="N128" s="104">
        <f t="shared" si="41"/>
        <v>6778.96</v>
      </c>
      <c r="O128" s="104">
        <f t="shared" si="41"/>
        <v>2424.2399999999998</v>
      </c>
      <c r="P128" s="104">
        <f t="shared" si="41"/>
        <v>0</v>
      </c>
      <c r="R128" s="1">
        <f t="shared" ref="R128:R134" si="42">SUM(B128:Q128)</f>
        <v>61861.409999999996</v>
      </c>
      <c r="T128" s="1">
        <f t="shared" ref="T128:T134" si="43">+B128</f>
        <v>17406.82</v>
      </c>
      <c r="U128" s="1">
        <f t="shared" ref="U128:U134" si="44">+C128+D128+E128</f>
        <v>2093.58</v>
      </c>
      <c r="V128" s="1">
        <f t="shared" ref="V128:V134" si="45">+F128+G128+H128</f>
        <v>13584.64</v>
      </c>
      <c r="W128" s="1">
        <f t="shared" ref="W128:W134" si="46">+I128+J128</f>
        <v>0.43</v>
      </c>
      <c r="X128" s="1">
        <f t="shared" ref="X128:X134" si="47">+K128</f>
        <v>96.02</v>
      </c>
      <c r="Y128" s="1">
        <f t="shared" ref="Y128:Y134" si="48">SUM(T128:X128)</f>
        <v>33181.49</v>
      </c>
      <c r="Z128" s="1">
        <f t="shared" ref="Z128:Z134" si="49">+L128</f>
        <v>12516.15</v>
      </c>
      <c r="AA128" s="1">
        <f t="shared" ref="AA128:AA134" si="50">+M128+N128+O128+P128</f>
        <v>16163.769999999999</v>
      </c>
      <c r="AB128" s="1">
        <f t="shared" ref="AB128:AB134" si="51">SUM(Z128:AA128)</f>
        <v>28679.919999999998</v>
      </c>
      <c r="AC128" s="1">
        <f t="shared" ref="AC128:AC134" si="52">+Y128+AB128</f>
        <v>61861.409999999996</v>
      </c>
      <c r="AD128" s="1">
        <f t="shared" ref="AD128:AD134" si="53">+R128-Y128-AB128</f>
        <v>0</v>
      </c>
    </row>
    <row r="129" spans="1:30" x14ac:dyDescent="0.2">
      <c r="A129" s="95">
        <f>'TAX Interest Rates'!A29</f>
        <v>43708</v>
      </c>
      <c r="B129" s="104">
        <f t="shared" ref="B129:P129" si="54">ROUND(-B17*B74,2)</f>
        <v>15013.28</v>
      </c>
      <c r="C129" s="104">
        <f t="shared" si="54"/>
        <v>0</v>
      </c>
      <c r="D129" s="104">
        <f t="shared" si="54"/>
        <v>1484.38</v>
      </c>
      <c r="E129" s="104">
        <f t="shared" si="54"/>
        <v>757.75</v>
      </c>
      <c r="F129" s="104">
        <f t="shared" si="54"/>
        <v>0.56999999999999995</v>
      </c>
      <c r="G129" s="104">
        <f t="shared" si="54"/>
        <v>11613.76</v>
      </c>
      <c r="H129" s="104">
        <f t="shared" si="54"/>
        <v>866</v>
      </c>
      <c r="I129" s="104">
        <f t="shared" si="54"/>
        <v>0</v>
      </c>
      <c r="J129" s="104">
        <f t="shared" si="54"/>
        <v>0</v>
      </c>
      <c r="K129" s="104">
        <f t="shared" si="54"/>
        <v>74.900000000000006</v>
      </c>
      <c r="L129" s="104">
        <f t="shared" si="54"/>
        <v>13531.74</v>
      </c>
      <c r="M129" s="104">
        <f t="shared" si="54"/>
        <v>7759.05</v>
      </c>
      <c r="N129" s="104">
        <f t="shared" si="54"/>
        <v>7490.54</v>
      </c>
      <c r="O129" s="104">
        <f t="shared" si="54"/>
        <v>4560.46</v>
      </c>
      <c r="P129" s="104">
        <f t="shared" si="54"/>
        <v>0</v>
      </c>
      <c r="R129" s="1">
        <f t="shared" si="42"/>
        <v>63152.43</v>
      </c>
      <c r="T129" s="1">
        <f t="shared" si="43"/>
        <v>15013.28</v>
      </c>
      <c r="U129" s="1">
        <f t="shared" si="44"/>
        <v>2242.13</v>
      </c>
      <c r="V129" s="1">
        <f t="shared" si="45"/>
        <v>12480.33</v>
      </c>
      <c r="W129" s="1">
        <f t="shared" si="46"/>
        <v>0</v>
      </c>
      <c r="X129" s="1">
        <f t="shared" si="47"/>
        <v>74.900000000000006</v>
      </c>
      <c r="Y129" s="1">
        <f t="shared" si="48"/>
        <v>29810.639999999999</v>
      </c>
      <c r="Z129" s="1">
        <f t="shared" si="49"/>
        <v>13531.74</v>
      </c>
      <c r="AA129" s="1">
        <f t="shared" si="50"/>
        <v>19810.05</v>
      </c>
      <c r="AB129" s="1">
        <f t="shared" si="51"/>
        <v>33341.79</v>
      </c>
      <c r="AC129" s="1">
        <f t="shared" si="52"/>
        <v>63152.43</v>
      </c>
      <c r="AD129" s="1">
        <f t="shared" si="53"/>
        <v>0</v>
      </c>
    </row>
    <row r="130" spans="1:30" x14ac:dyDescent="0.2">
      <c r="A130" s="95">
        <f>'TAX Interest Rates'!A30</f>
        <v>43738</v>
      </c>
      <c r="B130" s="104">
        <f t="shared" ref="B130:P130" si="55">ROUND(-B18*B75,2)</f>
        <v>14562.89</v>
      </c>
      <c r="C130" s="104">
        <f t="shared" si="55"/>
        <v>0</v>
      </c>
      <c r="D130" s="104">
        <f t="shared" si="55"/>
        <v>1714.72</v>
      </c>
      <c r="E130" s="104">
        <f t="shared" si="55"/>
        <v>670.92</v>
      </c>
      <c r="F130" s="104">
        <f t="shared" si="55"/>
        <v>2.58</v>
      </c>
      <c r="G130" s="104">
        <f t="shared" si="55"/>
        <v>11118.39</v>
      </c>
      <c r="H130" s="104">
        <f t="shared" si="55"/>
        <v>749.17</v>
      </c>
      <c r="I130" s="104">
        <f t="shared" si="55"/>
        <v>1.08</v>
      </c>
      <c r="J130" s="104">
        <f t="shared" si="55"/>
        <v>0</v>
      </c>
      <c r="K130" s="104">
        <f t="shared" si="55"/>
        <v>89.15</v>
      </c>
      <c r="L130" s="104">
        <f t="shared" si="55"/>
        <v>15078.08</v>
      </c>
      <c r="M130" s="104">
        <f t="shared" si="55"/>
        <v>7513.9</v>
      </c>
      <c r="N130" s="104">
        <f t="shared" si="55"/>
        <v>6966.16</v>
      </c>
      <c r="O130" s="104">
        <f t="shared" si="55"/>
        <v>2329.23</v>
      </c>
      <c r="P130" s="104">
        <f t="shared" si="55"/>
        <v>0</v>
      </c>
      <c r="R130" s="1">
        <f t="shared" si="42"/>
        <v>60796.270000000011</v>
      </c>
      <c r="T130" s="1">
        <f t="shared" si="43"/>
        <v>14562.89</v>
      </c>
      <c r="U130" s="1">
        <f t="shared" si="44"/>
        <v>2385.64</v>
      </c>
      <c r="V130" s="1">
        <f t="shared" si="45"/>
        <v>11870.14</v>
      </c>
      <c r="W130" s="1">
        <f t="shared" si="46"/>
        <v>1.08</v>
      </c>
      <c r="X130" s="1">
        <f t="shared" si="47"/>
        <v>89.15</v>
      </c>
      <c r="Y130" s="1">
        <f t="shared" si="48"/>
        <v>28908.9</v>
      </c>
      <c r="Z130" s="1">
        <f t="shared" si="49"/>
        <v>15078.08</v>
      </c>
      <c r="AA130" s="1">
        <f t="shared" si="50"/>
        <v>16809.29</v>
      </c>
      <c r="AB130" s="1">
        <f t="shared" si="51"/>
        <v>31887.370000000003</v>
      </c>
      <c r="AC130" s="1">
        <f t="shared" si="52"/>
        <v>60796.270000000004</v>
      </c>
      <c r="AD130" s="1">
        <f t="shared" si="53"/>
        <v>0</v>
      </c>
    </row>
    <row r="131" spans="1:30" x14ac:dyDescent="0.2">
      <c r="A131" s="95">
        <f>'TAX Interest Rates'!A31</f>
        <v>43769</v>
      </c>
      <c r="B131" s="104">
        <f t="shared" ref="B131:P131" si="56">ROUND(-B19*B76,2)</f>
        <v>34442.589999999997</v>
      </c>
      <c r="C131" s="104">
        <f t="shared" si="56"/>
        <v>0</v>
      </c>
      <c r="D131" s="104">
        <f t="shared" si="56"/>
        <v>3351.55</v>
      </c>
      <c r="E131" s="104">
        <f t="shared" si="56"/>
        <v>892.68</v>
      </c>
      <c r="F131" s="104">
        <f t="shared" si="56"/>
        <v>12.29</v>
      </c>
      <c r="G131" s="104">
        <f t="shared" si="56"/>
        <v>20190.36</v>
      </c>
      <c r="H131" s="104">
        <f t="shared" si="56"/>
        <v>4379.87</v>
      </c>
      <c r="I131" s="104">
        <f t="shared" si="56"/>
        <v>0.83</v>
      </c>
      <c r="J131" s="104">
        <f t="shared" si="56"/>
        <v>0</v>
      </c>
      <c r="K131" s="104">
        <f t="shared" si="56"/>
        <v>186.26</v>
      </c>
      <c r="L131" s="104">
        <f t="shared" si="56"/>
        <v>16516.59</v>
      </c>
      <c r="M131" s="104">
        <f t="shared" si="56"/>
        <v>5311.85</v>
      </c>
      <c r="N131" s="104">
        <f t="shared" si="56"/>
        <v>320.23</v>
      </c>
      <c r="O131" s="104">
        <f t="shared" si="56"/>
        <v>430.75</v>
      </c>
      <c r="P131" s="104">
        <f t="shared" si="56"/>
        <v>0</v>
      </c>
      <c r="R131" s="1">
        <f t="shared" si="42"/>
        <v>86035.85</v>
      </c>
      <c r="T131" s="1">
        <f t="shared" si="43"/>
        <v>34442.589999999997</v>
      </c>
      <c r="U131" s="1">
        <f t="shared" si="44"/>
        <v>4244.2300000000005</v>
      </c>
      <c r="V131" s="1">
        <f t="shared" si="45"/>
        <v>24582.52</v>
      </c>
      <c r="W131" s="1">
        <f t="shared" si="46"/>
        <v>0.83</v>
      </c>
      <c r="X131" s="1">
        <f t="shared" si="47"/>
        <v>186.26</v>
      </c>
      <c r="Y131" s="1">
        <f t="shared" si="48"/>
        <v>63456.43</v>
      </c>
      <c r="Z131" s="1">
        <f t="shared" si="49"/>
        <v>16516.59</v>
      </c>
      <c r="AA131" s="1">
        <f t="shared" si="50"/>
        <v>6062.83</v>
      </c>
      <c r="AB131" s="1">
        <f t="shared" si="51"/>
        <v>22579.42</v>
      </c>
      <c r="AC131" s="1">
        <f t="shared" si="52"/>
        <v>86035.85</v>
      </c>
      <c r="AD131" s="1">
        <f t="shared" si="53"/>
        <v>0</v>
      </c>
    </row>
    <row r="132" spans="1:30" x14ac:dyDescent="0.2">
      <c r="A132" s="95">
        <f>'TAX Interest Rates'!A32</f>
        <v>43799</v>
      </c>
      <c r="B132" s="104">
        <f>ROUND(-B20*B76,2)</f>
        <v>41235.74</v>
      </c>
      <c r="C132" s="104">
        <f t="shared" ref="C132:P132" si="57">ROUND(-C20*C76,2)</f>
        <v>0</v>
      </c>
      <c r="D132" s="104">
        <f t="shared" si="57"/>
        <v>2120.9699999999998</v>
      </c>
      <c r="E132" s="104">
        <f t="shared" si="57"/>
        <v>631.29999999999995</v>
      </c>
      <c r="F132" s="104">
        <f t="shared" si="57"/>
        <v>0</v>
      </c>
      <c r="G132" s="104">
        <f t="shared" si="57"/>
        <v>22127.61</v>
      </c>
      <c r="H132" s="104">
        <f t="shared" si="57"/>
        <v>1354.04</v>
      </c>
      <c r="I132" s="104">
        <f t="shared" si="57"/>
        <v>0</v>
      </c>
      <c r="J132" s="104">
        <f t="shared" si="57"/>
        <v>0</v>
      </c>
      <c r="K132" s="104">
        <f t="shared" si="57"/>
        <v>0</v>
      </c>
      <c r="L132" s="104">
        <f t="shared" si="57"/>
        <v>0.06</v>
      </c>
      <c r="M132" s="104">
        <f t="shared" si="57"/>
        <v>0</v>
      </c>
      <c r="N132" s="104">
        <f t="shared" si="57"/>
        <v>0</v>
      </c>
      <c r="O132" s="104">
        <f t="shared" si="57"/>
        <v>0</v>
      </c>
      <c r="P132" s="104">
        <f t="shared" si="57"/>
        <v>0</v>
      </c>
      <c r="R132" s="1">
        <f t="shared" si="42"/>
        <v>67469.719999999987</v>
      </c>
      <c r="S132" s="1" t="s">
        <v>56</v>
      </c>
      <c r="T132" s="1">
        <f t="shared" si="43"/>
        <v>41235.74</v>
      </c>
      <c r="U132" s="1">
        <f t="shared" si="44"/>
        <v>2752.2699999999995</v>
      </c>
      <c r="V132" s="1">
        <f t="shared" si="45"/>
        <v>23481.65</v>
      </c>
      <c r="W132" s="1">
        <f t="shared" si="46"/>
        <v>0</v>
      </c>
      <c r="X132" s="1">
        <f t="shared" si="47"/>
        <v>0</v>
      </c>
      <c r="Y132" s="1">
        <f t="shared" si="48"/>
        <v>67469.66</v>
      </c>
      <c r="Z132" s="1">
        <f t="shared" si="49"/>
        <v>0.06</v>
      </c>
      <c r="AA132" s="1">
        <f t="shared" si="50"/>
        <v>0</v>
      </c>
      <c r="AB132" s="1">
        <f t="shared" si="51"/>
        <v>0.06</v>
      </c>
      <c r="AC132" s="1">
        <f t="shared" si="52"/>
        <v>67469.72</v>
      </c>
      <c r="AD132" s="1">
        <f t="shared" si="53"/>
        <v>-1.6880219444459499E-11</v>
      </c>
    </row>
    <row r="133" spans="1:30" x14ac:dyDescent="0.2">
      <c r="A133" s="95">
        <v>43799</v>
      </c>
      <c r="B133" s="104">
        <f>ROUND(-B21*B77,2)</f>
        <v>24401.62</v>
      </c>
      <c r="C133" s="104">
        <f t="shared" ref="C133:P133" si="58">ROUND(-C21*C77,2)</f>
        <v>0</v>
      </c>
      <c r="D133" s="104">
        <f t="shared" si="58"/>
        <v>1042.42</v>
      </c>
      <c r="E133" s="104">
        <f t="shared" si="58"/>
        <v>466.2</v>
      </c>
      <c r="F133" s="104">
        <f t="shared" si="58"/>
        <v>18.48</v>
      </c>
      <c r="G133" s="104">
        <f t="shared" si="58"/>
        <v>12093.11</v>
      </c>
      <c r="H133" s="104">
        <f t="shared" si="58"/>
        <v>4619.54</v>
      </c>
      <c r="I133" s="104">
        <f t="shared" si="58"/>
        <v>1.45</v>
      </c>
      <c r="J133" s="104">
        <f t="shared" si="58"/>
        <v>0</v>
      </c>
      <c r="K133" s="104">
        <f t="shared" si="58"/>
        <v>207.21</v>
      </c>
      <c r="L133" s="104">
        <f t="shared" si="58"/>
        <v>16086.88</v>
      </c>
      <c r="M133" s="104">
        <f t="shared" si="58"/>
        <v>6857.48</v>
      </c>
      <c r="N133" s="104">
        <f t="shared" si="58"/>
        <v>3216.24</v>
      </c>
      <c r="O133" s="104">
        <f t="shared" si="58"/>
        <v>114.09</v>
      </c>
      <c r="P133" s="104">
        <f t="shared" si="58"/>
        <v>0</v>
      </c>
      <c r="R133" s="1">
        <f t="shared" si="42"/>
        <v>69124.72</v>
      </c>
      <c r="S133" s="1" t="s">
        <v>57</v>
      </c>
      <c r="T133" s="1">
        <f t="shared" ref="T133" si="59">+B133</f>
        <v>24401.62</v>
      </c>
      <c r="U133" s="1">
        <f t="shared" ref="U133" si="60">+C133+D133+E133</f>
        <v>1508.6200000000001</v>
      </c>
      <c r="V133" s="1">
        <f t="shared" ref="V133" si="61">+F133+G133+H133</f>
        <v>16731.13</v>
      </c>
      <c r="W133" s="1">
        <f t="shared" ref="W133" si="62">+I133+J133</f>
        <v>1.45</v>
      </c>
      <c r="X133" s="1">
        <f t="shared" ref="X133" si="63">+K133</f>
        <v>207.21</v>
      </c>
      <c r="Y133" s="1">
        <f t="shared" ref="Y133" si="64">SUM(T133:X133)</f>
        <v>42850.029999999992</v>
      </c>
      <c r="Z133" s="1">
        <f t="shared" ref="Z133" si="65">+L133</f>
        <v>16086.88</v>
      </c>
      <c r="AA133" s="1">
        <f t="shared" ref="AA133" si="66">+M133+N133+O133+P133</f>
        <v>10187.81</v>
      </c>
      <c r="AB133" s="1">
        <f t="shared" ref="AB133" si="67">SUM(Z133:AA133)</f>
        <v>26274.69</v>
      </c>
      <c r="AC133" s="1">
        <f t="shared" ref="AC133" si="68">+Y133+AB133</f>
        <v>69124.719999999987</v>
      </c>
      <c r="AD133" s="1">
        <f t="shared" ref="AD133" si="69">+R133-Y133-AB133</f>
        <v>0</v>
      </c>
    </row>
    <row r="134" spans="1:30" x14ac:dyDescent="0.2">
      <c r="A134" s="95">
        <f>'TAX Interest Rates'!A33</f>
        <v>43830</v>
      </c>
      <c r="B134" s="104">
        <f t="shared" ref="B134:P134" si="70">ROUND(-B22*B78,2)</f>
        <v>107491.65</v>
      </c>
      <c r="C134" s="104">
        <f t="shared" si="70"/>
        <v>0</v>
      </c>
      <c r="D134" s="104">
        <f t="shared" si="70"/>
        <v>4211</v>
      </c>
      <c r="E134" s="104">
        <f t="shared" si="70"/>
        <v>892.15</v>
      </c>
      <c r="F134" s="104">
        <f t="shared" si="70"/>
        <v>21.26</v>
      </c>
      <c r="G134" s="104">
        <f t="shared" si="70"/>
        <v>55931.22</v>
      </c>
      <c r="H134" s="104">
        <f t="shared" si="70"/>
        <v>7161.16</v>
      </c>
      <c r="I134" s="104">
        <f t="shared" si="70"/>
        <v>0.77</v>
      </c>
      <c r="J134" s="104">
        <f t="shared" si="70"/>
        <v>0</v>
      </c>
      <c r="K134" s="104">
        <f t="shared" si="70"/>
        <v>228.61</v>
      </c>
      <c r="L134" s="104">
        <f t="shared" si="70"/>
        <v>17073.38</v>
      </c>
      <c r="M134" s="104">
        <f t="shared" si="70"/>
        <v>7653.93</v>
      </c>
      <c r="N134" s="104">
        <f t="shared" si="70"/>
        <v>7498.97</v>
      </c>
      <c r="O134" s="104">
        <f t="shared" si="70"/>
        <v>700.7</v>
      </c>
      <c r="P134" s="104">
        <f t="shared" si="70"/>
        <v>0</v>
      </c>
      <c r="R134" s="1">
        <f t="shared" si="42"/>
        <v>208864.79999999996</v>
      </c>
      <c r="T134" s="1">
        <f t="shared" si="43"/>
        <v>107491.65</v>
      </c>
      <c r="U134" s="1">
        <f t="shared" si="44"/>
        <v>5103.1499999999996</v>
      </c>
      <c r="V134" s="1">
        <f t="shared" si="45"/>
        <v>63113.64</v>
      </c>
      <c r="W134" s="1">
        <f t="shared" si="46"/>
        <v>0.77</v>
      </c>
      <c r="X134" s="1">
        <f t="shared" si="47"/>
        <v>228.61</v>
      </c>
      <c r="Y134" s="1">
        <f t="shared" si="48"/>
        <v>175937.81999999998</v>
      </c>
      <c r="Z134" s="1">
        <f t="shared" si="49"/>
        <v>17073.38</v>
      </c>
      <c r="AA134" s="1">
        <f t="shared" si="50"/>
        <v>15853.600000000002</v>
      </c>
      <c r="AB134" s="1">
        <f t="shared" si="51"/>
        <v>32926.980000000003</v>
      </c>
      <c r="AC134" s="1">
        <f t="shared" si="52"/>
        <v>208864.8</v>
      </c>
      <c r="AD134" s="1">
        <f t="shared" si="53"/>
        <v>0</v>
      </c>
    </row>
    <row r="135" spans="1:30" x14ac:dyDescent="0.2">
      <c r="A135" s="95">
        <f>'TAX Interest Rates'!A34</f>
        <v>43861</v>
      </c>
      <c r="B135" s="104">
        <f t="shared" ref="B135:P135" si="71">ROUND(-B23*B79,2)</f>
        <v>130591.57</v>
      </c>
      <c r="C135" s="104">
        <f t="shared" si="71"/>
        <v>0</v>
      </c>
      <c r="D135" s="104">
        <f t="shared" si="71"/>
        <v>4507.3599999999997</v>
      </c>
      <c r="E135" s="104">
        <f t="shared" si="71"/>
        <v>1043.6199999999999</v>
      </c>
      <c r="F135" s="104">
        <f t="shared" si="71"/>
        <v>22.82</v>
      </c>
      <c r="G135" s="104">
        <f t="shared" si="71"/>
        <v>67615.570000000007</v>
      </c>
      <c r="H135" s="104">
        <f t="shared" si="71"/>
        <v>8009.02</v>
      </c>
      <c r="I135" s="104">
        <f t="shared" si="71"/>
        <v>0.25</v>
      </c>
      <c r="J135" s="104">
        <f t="shared" si="71"/>
        <v>0</v>
      </c>
      <c r="K135" s="104">
        <f t="shared" si="71"/>
        <v>230.58</v>
      </c>
      <c r="L135" s="104">
        <f t="shared" si="71"/>
        <v>17532.57</v>
      </c>
      <c r="M135" s="104">
        <f t="shared" si="71"/>
        <v>6599</v>
      </c>
      <c r="N135" s="104">
        <f t="shared" si="71"/>
        <v>5234.42</v>
      </c>
      <c r="O135" s="104">
        <f t="shared" si="71"/>
        <v>195.66</v>
      </c>
      <c r="P135" s="104">
        <f t="shared" si="71"/>
        <v>0</v>
      </c>
      <c r="R135" s="1">
        <f t="shared" ref="R135:R147" si="72">SUM(B135:Q135)</f>
        <v>241582.44</v>
      </c>
      <c r="T135" s="1">
        <f t="shared" ref="T135:T147" si="73">+B135</f>
        <v>130591.57</v>
      </c>
      <c r="U135" s="1">
        <f t="shared" ref="U135:U147" si="74">+C135+D135+E135</f>
        <v>5550.98</v>
      </c>
      <c r="V135" s="1">
        <f t="shared" ref="V135:V147" si="75">+F135+G135+H135</f>
        <v>75647.410000000018</v>
      </c>
      <c r="W135" s="1">
        <f t="shared" ref="W135:W147" si="76">+I135+J135</f>
        <v>0.25</v>
      </c>
      <c r="X135" s="1">
        <f t="shared" ref="X135:X147" si="77">+K135</f>
        <v>230.58</v>
      </c>
      <c r="Y135" s="1">
        <f t="shared" ref="Y135:Y147" si="78">SUM(T135:X135)</f>
        <v>212020.79</v>
      </c>
      <c r="Z135" s="1">
        <f t="shared" ref="Z135:Z147" si="79">+L135</f>
        <v>17532.57</v>
      </c>
      <c r="AA135" s="1">
        <f t="shared" ref="AA135:AA147" si="80">+M135+N135+O135+P135</f>
        <v>12029.08</v>
      </c>
      <c r="AB135" s="1">
        <f t="shared" ref="AB135:AB147" si="81">SUM(Z135:AA135)</f>
        <v>29561.65</v>
      </c>
      <c r="AC135" s="1">
        <f t="shared" ref="AC135:AC147" si="82">+Y135+AB135</f>
        <v>241582.44</v>
      </c>
      <c r="AD135" s="1">
        <f t="shared" ref="AD135:AD147" si="83">+R135-Y135-AB135</f>
        <v>0</v>
      </c>
    </row>
    <row r="136" spans="1:30" x14ac:dyDescent="0.2">
      <c r="A136" s="95">
        <f>'TAX Interest Rates'!A35</f>
        <v>43890</v>
      </c>
      <c r="B136" s="104">
        <f t="shared" ref="B136:P136" si="84">ROUND(-B24*B80,2)</f>
        <v>106616.26</v>
      </c>
      <c r="C136" s="104">
        <f t="shared" si="84"/>
        <v>0</v>
      </c>
      <c r="D136" s="104">
        <f t="shared" si="84"/>
        <v>3914.59</v>
      </c>
      <c r="E136" s="104">
        <f t="shared" si="84"/>
        <v>951.96</v>
      </c>
      <c r="F136" s="104">
        <f t="shared" si="84"/>
        <v>21.72</v>
      </c>
      <c r="G136" s="104">
        <f t="shared" si="84"/>
        <v>55904.11</v>
      </c>
      <c r="H136" s="104">
        <f t="shared" si="84"/>
        <v>6992.52</v>
      </c>
      <c r="I136" s="104">
        <f t="shared" si="84"/>
        <v>1.01</v>
      </c>
      <c r="J136" s="104">
        <f t="shared" si="84"/>
        <v>0</v>
      </c>
      <c r="K136" s="104">
        <f t="shared" si="84"/>
        <v>206.09</v>
      </c>
      <c r="L136" s="104">
        <f t="shared" si="84"/>
        <v>16392.080000000002</v>
      </c>
      <c r="M136" s="104">
        <f t="shared" si="84"/>
        <v>6424.62</v>
      </c>
      <c r="N136" s="104">
        <f t="shared" si="84"/>
        <v>4016.91</v>
      </c>
      <c r="O136" s="104">
        <f t="shared" si="84"/>
        <v>411.29</v>
      </c>
      <c r="P136" s="104">
        <f t="shared" si="84"/>
        <v>0</v>
      </c>
      <c r="R136" s="1">
        <f t="shared" si="72"/>
        <v>201853.16000000003</v>
      </c>
      <c r="T136" s="1">
        <f t="shared" si="73"/>
        <v>106616.26</v>
      </c>
      <c r="U136" s="1">
        <f t="shared" si="74"/>
        <v>4866.55</v>
      </c>
      <c r="V136" s="1">
        <f t="shared" si="75"/>
        <v>62918.350000000006</v>
      </c>
      <c r="W136" s="1">
        <f t="shared" si="76"/>
        <v>1.01</v>
      </c>
      <c r="X136" s="1">
        <f t="shared" si="77"/>
        <v>206.09</v>
      </c>
      <c r="Y136" s="1">
        <f t="shared" si="78"/>
        <v>174608.26</v>
      </c>
      <c r="Z136" s="1">
        <f t="shared" si="79"/>
        <v>16392.080000000002</v>
      </c>
      <c r="AA136" s="1">
        <f t="shared" si="80"/>
        <v>10852.82</v>
      </c>
      <c r="AB136" s="1">
        <f t="shared" si="81"/>
        <v>27244.9</v>
      </c>
      <c r="AC136" s="1">
        <f t="shared" si="82"/>
        <v>201853.16</v>
      </c>
      <c r="AD136" s="1">
        <f t="shared" si="83"/>
        <v>0</v>
      </c>
    </row>
    <row r="137" spans="1:30" x14ac:dyDescent="0.2">
      <c r="A137" s="95">
        <f>'TAX Interest Rates'!A36</f>
        <v>43921</v>
      </c>
      <c r="B137" s="104">
        <f t="shared" ref="B137:P137" si="85">ROUND(-B25*B81,2)</f>
        <v>107402.09</v>
      </c>
      <c r="C137" s="104">
        <f t="shared" si="85"/>
        <v>0</v>
      </c>
      <c r="D137" s="104">
        <f t="shared" si="85"/>
        <v>4014.57</v>
      </c>
      <c r="E137" s="104">
        <f t="shared" si="85"/>
        <v>720.12</v>
      </c>
      <c r="F137" s="104">
        <f t="shared" si="85"/>
        <v>22.9</v>
      </c>
      <c r="G137" s="104">
        <f t="shared" si="85"/>
        <v>55166.53</v>
      </c>
      <c r="H137" s="104">
        <f t="shared" si="85"/>
        <v>7341.55</v>
      </c>
      <c r="I137" s="104">
        <f t="shared" si="85"/>
        <v>0.54</v>
      </c>
      <c r="J137" s="104">
        <f t="shared" si="85"/>
        <v>0</v>
      </c>
      <c r="K137" s="104">
        <f t="shared" si="85"/>
        <v>206.34</v>
      </c>
      <c r="L137" s="104">
        <f t="shared" si="85"/>
        <v>17607.57</v>
      </c>
      <c r="M137" s="104">
        <f t="shared" si="85"/>
        <v>8462.25</v>
      </c>
      <c r="N137" s="104">
        <f t="shared" si="85"/>
        <v>7683.73</v>
      </c>
      <c r="O137" s="104">
        <f t="shared" si="85"/>
        <v>1622.63</v>
      </c>
      <c r="P137" s="104">
        <f t="shared" si="85"/>
        <v>0</v>
      </c>
      <c r="R137" s="1">
        <f t="shared" si="72"/>
        <v>210250.82</v>
      </c>
      <c r="T137" s="1">
        <f t="shared" si="73"/>
        <v>107402.09</v>
      </c>
      <c r="U137" s="1">
        <f t="shared" si="74"/>
        <v>4734.6900000000005</v>
      </c>
      <c r="V137" s="1">
        <f t="shared" si="75"/>
        <v>62530.98</v>
      </c>
      <c r="W137" s="1">
        <f t="shared" si="76"/>
        <v>0.54</v>
      </c>
      <c r="X137" s="1">
        <f t="shared" si="77"/>
        <v>206.34</v>
      </c>
      <c r="Y137" s="1">
        <f t="shared" si="78"/>
        <v>174874.64</v>
      </c>
      <c r="Z137" s="1">
        <f t="shared" si="79"/>
        <v>17607.57</v>
      </c>
      <c r="AA137" s="1">
        <f t="shared" si="80"/>
        <v>17768.61</v>
      </c>
      <c r="AB137" s="1">
        <f t="shared" si="81"/>
        <v>35376.18</v>
      </c>
      <c r="AC137" s="1">
        <f t="shared" si="82"/>
        <v>210250.82</v>
      </c>
      <c r="AD137" s="1">
        <f t="shared" si="83"/>
        <v>0</v>
      </c>
    </row>
    <row r="138" spans="1:30" x14ac:dyDescent="0.2">
      <c r="A138" s="95">
        <f>'TAX Interest Rates'!A37</f>
        <v>43951</v>
      </c>
      <c r="B138" s="104">
        <f t="shared" ref="B138:P138" si="86">ROUND(-B26*B82,2)</f>
        <v>84835.520000000004</v>
      </c>
      <c r="C138" s="104">
        <f t="shared" si="86"/>
        <v>0</v>
      </c>
      <c r="D138" s="104">
        <f t="shared" si="86"/>
        <v>3340.12</v>
      </c>
      <c r="E138" s="104">
        <f t="shared" si="86"/>
        <v>1301.3900000000001</v>
      </c>
      <c r="F138" s="104">
        <f t="shared" si="86"/>
        <v>18.16</v>
      </c>
      <c r="G138" s="104">
        <f t="shared" si="86"/>
        <v>39949.81</v>
      </c>
      <c r="H138" s="104">
        <f t="shared" si="86"/>
        <v>5754.69</v>
      </c>
      <c r="I138" s="104">
        <f t="shared" si="86"/>
        <v>0.56999999999999995</v>
      </c>
      <c r="J138" s="104">
        <f t="shared" si="86"/>
        <v>0</v>
      </c>
      <c r="K138" s="104">
        <f t="shared" si="86"/>
        <v>170.57</v>
      </c>
      <c r="L138" s="104">
        <f t="shared" si="86"/>
        <v>14662.95</v>
      </c>
      <c r="M138" s="104">
        <f t="shared" si="86"/>
        <v>7327.66</v>
      </c>
      <c r="N138" s="104">
        <f t="shared" si="86"/>
        <v>5941.05</v>
      </c>
      <c r="O138" s="104">
        <f t="shared" si="86"/>
        <v>1852.66</v>
      </c>
      <c r="P138" s="104">
        <f t="shared" si="86"/>
        <v>0</v>
      </c>
      <c r="R138" s="1">
        <f t="shared" si="72"/>
        <v>165155.15000000002</v>
      </c>
      <c r="T138" s="1">
        <f t="shared" si="73"/>
        <v>84835.520000000004</v>
      </c>
      <c r="U138" s="1">
        <f t="shared" si="74"/>
        <v>4641.51</v>
      </c>
      <c r="V138" s="1">
        <f t="shared" si="75"/>
        <v>45722.66</v>
      </c>
      <c r="W138" s="1">
        <f t="shared" si="76"/>
        <v>0.56999999999999995</v>
      </c>
      <c r="X138" s="1">
        <f t="shared" si="77"/>
        <v>170.57</v>
      </c>
      <c r="Y138" s="1">
        <f t="shared" si="78"/>
        <v>135370.83000000002</v>
      </c>
      <c r="Z138" s="1">
        <f t="shared" si="79"/>
        <v>14662.95</v>
      </c>
      <c r="AA138" s="1">
        <f t="shared" si="80"/>
        <v>15121.369999999999</v>
      </c>
      <c r="AB138" s="1">
        <f t="shared" si="81"/>
        <v>29784.32</v>
      </c>
      <c r="AC138" s="1">
        <f t="shared" si="82"/>
        <v>165155.15000000002</v>
      </c>
      <c r="AD138" s="1">
        <f t="shared" si="83"/>
        <v>0</v>
      </c>
    </row>
    <row r="139" spans="1:30" x14ac:dyDescent="0.2">
      <c r="A139" s="95">
        <f>'TAX Interest Rates'!A38</f>
        <v>43982</v>
      </c>
      <c r="B139" s="104">
        <f t="shared" ref="B139:P139" si="87">ROUND(-B27*B83,2)</f>
        <v>41469.870000000003</v>
      </c>
      <c r="C139" s="104">
        <f t="shared" si="87"/>
        <v>0</v>
      </c>
      <c r="D139" s="104">
        <f t="shared" si="87"/>
        <v>2111.1</v>
      </c>
      <c r="E139" s="104">
        <f t="shared" si="87"/>
        <v>539.54</v>
      </c>
      <c r="F139" s="104">
        <f t="shared" si="87"/>
        <v>10.36</v>
      </c>
      <c r="G139" s="104">
        <f t="shared" si="87"/>
        <v>19277.38</v>
      </c>
      <c r="H139" s="104">
        <f t="shared" si="87"/>
        <v>3605.01</v>
      </c>
      <c r="I139" s="104">
        <f t="shared" si="87"/>
        <v>0</v>
      </c>
      <c r="J139" s="104">
        <f t="shared" si="87"/>
        <v>0</v>
      </c>
      <c r="K139" s="104">
        <f t="shared" si="87"/>
        <v>125.53</v>
      </c>
      <c r="L139" s="104">
        <f t="shared" si="87"/>
        <v>15779.25</v>
      </c>
      <c r="M139" s="104">
        <f t="shared" si="87"/>
        <v>1187.42</v>
      </c>
      <c r="N139" s="104">
        <f t="shared" si="87"/>
        <v>427.46</v>
      </c>
      <c r="O139" s="104">
        <f t="shared" si="87"/>
        <v>241.8</v>
      </c>
      <c r="P139" s="104">
        <f t="shared" si="87"/>
        <v>0</v>
      </c>
      <c r="R139" s="1">
        <f t="shared" si="72"/>
        <v>84774.720000000001</v>
      </c>
      <c r="T139" s="1">
        <f t="shared" si="73"/>
        <v>41469.870000000003</v>
      </c>
      <c r="U139" s="1">
        <f t="shared" si="74"/>
        <v>2650.64</v>
      </c>
      <c r="V139" s="1">
        <f t="shared" si="75"/>
        <v>22892.75</v>
      </c>
      <c r="W139" s="1">
        <f t="shared" si="76"/>
        <v>0</v>
      </c>
      <c r="X139" s="1">
        <f t="shared" si="77"/>
        <v>125.53</v>
      </c>
      <c r="Y139" s="1">
        <f t="shared" si="78"/>
        <v>67138.790000000008</v>
      </c>
      <c r="Z139" s="1">
        <f t="shared" si="79"/>
        <v>15779.25</v>
      </c>
      <c r="AA139" s="1">
        <f t="shared" si="80"/>
        <v>1856.68</v>
      </c>
      <c r="AB139" s="1">
        <f t="shared" si="81"/>
        <v>17635.93</v>
      </c>
      <c r="AC139" s="1">
        <f t="shared" si="82"/>
        <v>84774.720000000001</v>
      </c>
      <c r="AD139" s="1">
        <f t="shared" si="83"/>
        <v>0</v>
      </c>
    </row>
    <row r="140" spans="1:30" x14ac:dyDescent="0.2">
      <c r="A140" s="95">
        <f>'TAX Interest Rates'!A39</f>
        <v>44012</v>
      </c>
      <c r="B140" s="104">
        <f t="shared" ref="B140:P140" si="88">ROUND(-B28*B84,2)</f>
        <v>30483.37</v>
      </c>
      <c r="C140" s="104">
        <f t="shared" si="88"/>
        <v>0</v>
      </c>
      <c r="D140" s="104">
        <f t="shared" si="88"/>
        <v>1886.2</v>
      </c>
      <c r="E140" s="104">
        <f t="shared" si="88"/>
        <v>1049.21</v>
      </c>
      <c r="F140" s="104">
        <f t="shared" si="88"/>
        <v>9.8000000000000007</v>
      </c>
      <c r="G140" s="104">
        <f t="shared" si="88"/>
        <v>14751.99</v>
      </c>
      <c r="H140" s="104">
        <f t="shared" si="88"/>
        <v>2943.29</v>
      </c>
      <c r="I140" s="104">
        <f t="shared" si="88"/>
        <v>0</v>
      </c>
      <c r="J140" s="104">
        <f t="shared" si="88"/>
        <v>0</v>
      </c>
      <c r="K140" s="104">
        <f t="shared" si="88"/>
        <v>98.55</v>
      </c>
      <c r="L140" s="104">
        <f t="shared" si="88"/>
        <v>14937.47</v>
      </c>
      <c r="M140" s="104">
        <f t="shared" si="88"/>
        <v>1628.59</v>
      </c>
      <c r="N140" s="104">
        <f t="shared" si="88"/>
        <v>705.75</v>
      </c>
      <c r="O140" s="104">
        <f t="shared" si="88"/>
        <v>397.66</v>
      </c>
      <c r="P140" s="104">
        <f t="shared" si="88"/>
        <v>0</v>
      </c>
      <c r="R140" s="1">
        <f t="shared" si="72"/>
        <v>68891.88</v>
      </c>
      <c r="T140" s="1">
        <f t="shared" si="73"/>
        <v>30483.37</v>
      </c>
      <c r="U140" s="1">
        <f t="shared" si="74"/>
        <v>2935.41</v>
      </c>
      <c r="V140" s="1">
        <f t="shared" si="75"/>
        <v>17705.079999999998</v>
      </c>
      <c r="W140" s="1">
        <f t="shared" si="76"/>
        <v>0</v>
      </c>
      <c r="X140" s="1">
        <f t="shared" si="77"/>
        <v>98.55</v>
      </c>
      <c r="Y140" s="1">
        <f t="shared" si="78"/>
        <v>51222.41</v>
      </c>
      <c r="Z140" s="1">
        <f t="shared" si="79"/>
        <v>14937.47</v>
      </c>
      <c r="AA140" s="1">
        <f t="shared" si="80"/>
        <v>2732</v>
      </c>
      <c r="AB140" s="1">
        <f t="shared" si="81"/>
        <v>17669.47</v>
      </c>
      <c r="AC140" s="1">
        <f t="shared" si="82"/>
        <v>68891.88</v>
      </c>
      <c r="AD140" s="1">
        <f t="shared" si="83"/>
        <v>0</v>
      </c>
    </row>
    <row r="141" spans="1:30" x14ac:dyDescent="0.2">
      <c r="A141" s="95">
        <f>'TAX Interest Rates'!A40</f>
        <v>44043</v>
      </c>
      <c r="B141" s="104">
        <f t="shared" ref="B141:P141" si="89">ROUND(-B29*B85,2)</f>
        <v>24511.42</v>
      </c>
      <c r="C141" s="104">
        <f t="shared" si="89"/>
        <v>0</v>
      </c>
      <c r="D141" s="104">
        <f t="shared" si="89"/>
        <v>1664.89</v>
      </c>
      <c r="E141" s="104">
        <f t="shared" si="89"/>
        <v>811.37</v>
      </c>
      <c r="F141" s="104">
        <f t="shared" si="89"/>
        <v>4.4000000000000004</v>
      </c>
      <c r="G141" s="104">
        <f t="shared" si="89"/>
        <v>13246.33</v>
      </c>
      <c r="H141" s="104">
        <f t="shared" si="89"/>
        <v>2946.11</v>
      </c>
      <c r="I141" s="104">
        <f t="shared" si="89"/>
        <v>0</v>
      </c>
      <c r="J141" s="104">
        <f t="shared" si="89"/>
        <v>0</v>
      </c>
      <c r="K141" s="104">
        <f t="shared" si="89"/>
        <v>95.74</v>
      </c>
      <c r="L141" s="104">
        <f t="shared" si="89"/>
        <v>15642.13</v>
      </c>
      <c r="M141" s="104">
        <f t="shared" si="89"/>
        <v>5332.02</v>
      </c>
      <c r="N141" s="104">
        <f t="shared" si="89"/>
        <v>2797.32</v>
      </c>
      <c r="O141" s="104">
        <f t="shared" si="89"/>
        <v>1071.51</v>
      </c>
      <c r="P141" s="104">
        <f t="shared" si="89"/>
        <v>0</v>
      </c>
      <c r="R141" s="1">
        <f t="shared" si="72"/>
        <v>68123.239999999991</v>
      </c>
      <c r="T141" s="1">
        <f t="shared" si="73"/>
        <v>24511.42</v>
      </c>
      <c r="U141" s="1">
        <f t="shared" si="74"/>
        <v>2476.2600000000002</v>
      </c>
      <c r="V141" s="1">
        <f t="shared" si="75"/>
        <v>16196.84</v>
      </c>
      <c r="W141" s="1">
        <f t="shared" si="76"/>
        <v>0</v>
      </c>
      <c r="X141" s="1">
        <f t="shared" si="77"/>
        <v>95.74</v>
      </c>
      <c r="Y141" s="1">
        <f t="shared" si="78"/>
        <v>43280.26</v>
      </c>
      <c r="Z141" s="1">
        <f t="shared" si="79"/>
        <v>15642.13</v>
      </c>
      <c r="AA141" s="1">
        <f t="shared" si="80"/>
        <v>9200.85</v>
      </c>
      <c r="AB141" s="1">
        <f t="shared" si="81"/>
        <v>24842.98</v>
      </c>
      <c r="AC141" s="1">
        <f t="shared" si="82"/>
        <v>68123.240000000005</v>
      </c>
      <c r="AD141" s="1">
        <f t="shared" si="83"/>
        <v>0</v>
      </c>
    </row>
    <row r="142" spans="1:30" x14ac:dyDescent="0.2">
      <c r="A142" s="95">
        <f>'TAX Interest Rates'!A41</f>
        <v>44074</v>
      </c>
      <c r="B142" s="104">
        <f t="shared" ref="B142:P142" si="90">ROUND(-B30*B86,2)</f>
        <v>16640.09</v>
      </c>
      <c r="C142" s="104">
        <f t="shared" si="90"/>
        <v>0</v>
      </c>
      <c r="D142" s="104">
        <f t="shared" si="90"/>
        <v>1472.13</v>
      </c>
      <c r="E142" s="104">
        <f t="shared" si="90"/>
        <v>722.95</v>
      </c>
      <c r="F142" s="104">
        <f t="shared" si="90"/>
        <v>3.81</v>
      </c>
      <c r="G142" s="104">
        <f t="shared" si="90"/>
        <v>10114.26</v>
      </c>
      <c r="H142" s="104">
        <f t="shared" si="90"/>
        <v>2315.79</v>
      </c>
      <c r="I142" s="104">
        <f t="shared" si="90"/>
        <v>0</v>
      </c>
      <c r="J142" s="104">
        <f t="shared" si="90"/>
        <v>0</v>
      </c>
      <c r="K142" s="104">
        <f t="shared" si="90"/>
        <v>90.45</v>
      </c>
      <c r="L142" s="104">
        <f t="shared" si="90"/>
        <v>17463.98</v>
      </c>
      <c r="M142" s="104">
        <f t="shared" si="90"/>
        <v>7104.86</v>
      </c>
      <c r="N142" s="104">
        <f t="shared" si="90"/>
        <v>5550.21</v>
      </c>
      <c r="O142" s="104">
        <f t="shared" si="90"/>
        <v>2340.88</v>
      </c>
      <c r="P142" s="104">
        <f t="shared" si="90"/>
        <v>0</v>
      </c>
      <c r="R142" s="1">
        <f t="shared" si="72"/>
        <v>63819.41</v>
      </c>
      <c r="T142" s="1">
        <f t="shared" si="73"/>
        <v>16640.09</v>
      </c>
      <c r="U142" s="1">
        <f t="shared" si="74"/>
        <v>2195.08</v>
      </c>
      <c r="V142" s="1">
        <f t="shared" si="75"/>
        <v>12433.86</v>
      </c>
      <c r="W142" s="1">
        <f t="shared" si="76"/>
        <v>0</v>
      </c>
      <c r="X142" s="1">
        <f t="shared" si="77"/>
        <v>90.45</v>
      </c>
      <c r="Y142" s="1">
        <f t="shared" si="78"/>
        <v>31359.48</v>
      </c>
      <c r="Z142" s="1">
        <f t="shared" si="79"/>
        <v>17463.98</v>
      </c>
      <c r="AA142" s="1">
        <f t="shared" si="80"/>
        <v>14995.95</v>
      </c>
      <c r="AB142" s="1">
        <f t="shared" si="81"/>
        <v>32459.93</v>
      </c>
      <c r="AC142" s="1">
        <f t="shared" si="82"/>
        <v>63819.41</v>
      </c>
      <c r="AD142" s="1">
        <f t="shared" si="83"/>
        <v>0</v>
      </c>
    </row>
    <row r="143" spans="1:30" x14ac:dyDescent="0.2">
      <c r="A143" s="95">
        <f>'TAX Interest Rates'!A42</f>
        <v>44104</v>
      </c>
      <c r="B143" s="104">
        <f t="shared" ref="B143:P143" si="91">ROUND(-B31*B87,2)</f>
        <v>17956.240000000002</v>
      </c>
      <c r="C143" s="104">
        <f t="shared" si="91"/>
        <v>0</v>
      </c>
      <c r="D143" s="104">
        <f t="shared" si="91"/>
        <v>1837.56</v>
      </c>
      <c r="E143" s="104">
        <f t="shared" si="91"/>
        <v>827.08</v>
      </c>
      <c r="F143" s="104">
        <f t="shared" si="91"/>
        <v>3</v>
      </c>
      <c r="G143" s="104">
        <f t="shared" si="91"/>
        <v>11443.31</v>
      </c>
      <c r="H143" s="104">
        <f t="shared" si="91"/>
        <v>2259.21</v>
      </c>
      <c r="I143" s="104">
        <f t="shared" si="91"/>
        <v>0</v>
      </c>
      <c r="J143" s="104">
        <f t="shared" si="91"/>
        <v>0</v>
      </c>
      <c r="K143" s="104">
        <f t="shared" si="91"/>
        <v>85.1</v>
      </c>
      <c r="L143" s="104">
        <f t="shared" si="91"/>
        <v>18489.95</v>
      </c>
      <c r="M143" s="104">
        <f t="shared" si="91"/>
        <v>7593.32</v>
      </c>
      <c r="N143" s="104">
        <f t="shared" si="91"/>
        <v>6790.56</v>
      </c>
      <c r="O143" s="104">
        <f t="shared" si="91"/>
        <v>2935.39</v>
      </c>
      <c r="P143" s="104">
        <f t="shared" si="91"/>
        <v>0</v>
      </c>
      <c r="R143" s="1">
        <f t="shared" si="72"/>
        <v>70220.72</v>
      </c>
      <c r="T143" s="1">
        <f t="shared" si="73"/>
        <v>17956.240000000002</v>
      </c>
      <c r="U143" s="1">
        <f t="shared" si="74"/>
        <v>2664.64</v>
      </c>
      <c r="V143" s="1">
        <f t="shared" si="75"/>
        <v>13705.52</v>
      </c>
      <c r="W143" s="1">
        <f t="shared" si="76"/>
        <v>0</v>
      </c>
      <c r="X143" s="1">
        <f t="shared" si="77"/>
        <v>85.1</v>
      </c>
      <c r="Y143" s="1">
        <f t="shared" si="78"/>
        <v>34411.5</v>
      </c>
      <c r="Z143" s="1">
        <f t="shared" si="79"/>
        <v>18489.95</v>
      </c>
      <c r="AA143" s="1">
        <f t="shared" si="80"/>
        <v>17319.27</v>
      </c>
      <c r="AB143" s="1">
        <f t="shared" si="81"/>
        <v>35809.22</v>
      </c>
      <c r="AC143" s="1">
        <f t="shared" si="82"/>
        <v>70220.72</v>
      </c>
      <c r="AD143" s="1">
        <f t="shared" si="83"/>
        <v>0</v>
      </c>
    </row>
    <row r="144" spans="1:30" x14ac:dyDescent="0.2">
      <c r="A144" s="95">
        <f>'TAX Interest Rates'!A43</f>
        <v>44135</v>
      </c>
      <c r="B144" s="104">
        <f t="shared" ref="B144:P144" si="92">ROUND(-B32*B88,2)</f>
        <v>25775.69</v>
      </c>
      <c r="C144" s="104">
        <f t="shared" si="92"/>
        <v>0</v>
      </c>
      <c r="D144" s="104">
        <f t="shared" si="92"/>
        <v>2962.19</v>
      </c>
      <c r="E144" s="104">
        <f t="shared" si="92"/>
        <v>905.1</v>
      </c>
      <c r="F144" s="104">
        <f t="shared" si="92"/>
        <v>15.36</v>
      </c>
      <c r="G144" s="104">
        <f t="shared" si="92"/>
        <v>14867.41</v>
      </c>
      <c r="H144" s="104">
        <f t="shared" si="92"/>
        <v>1225.6099999999999</v>
      </c>
      <c r="I144" s="104">
        <f t="shared" si="92"/>
        <v>0</v>
      </c>
      <c r="J144" s="104">
        <f t="shared" si="92"/>
        <v>0</v>
      </c>
      <c r="K144" s="104">
        <f t="shared" si="92"/>
        <v>160.96</v>
      </c>
      <c r="L144" s="104">
        <f t="shared" si="92"/>
        <v>19920.669999999998</v>
      </c>
      <c r="M144" s="104">
        <f t="shared" si="92"/>
        <v>5107.8900000000003</v>
      </c>
      <c r="N144" s="104">
        <f t="shared" si="92"/>
        <v>4464.88</v>
      </c>
      <c r="O144" s="104">
        <f t="shared" si="92"/>
        <v>858.93</v>
      </c>
      <c r="P144" s="104">
        <f t="shared" si="92"/>
        <v>0</v>
      </c>
      <c r="R144" s="1">
        <f t="shared" si="72"/>
        <v>76264.689999999988</v>
      </c>
      <c r="T144" s="1">
        <f t="shared" si="73"/>
        <v>25775.69</v>
      </c>
      <c r="U144" s="1">
        <f t="shared" si="74"/>
        <v>3867.29</v>
      </c>
      <c r="V144" s="1">
        <f t="shared" si="75"/>
        <v>16108.380000000001</v>
      </c>
      <c r="W144" s="1">
        <f t="shared" si="76"/>
        <v>0</v>
      </c>
      <c r="X144" s="1">
        <f t="shared" si="77"/>
        <v>160.96</v>
      </c>
      <c r="Y144" s="1">
        <f t="shared" si="78"/>
        <v>45912.32</v>
      </c>
      <c r="Z144" s="1">
        <f t="shared" si="79"/>
        <v>19920.669999999998</v>
      </c>
      <c r="AA144" s="1">
        <f t="shared" si="80"/>
        <v>10431.700000000001</v>
      </c>
      <c r="AB144" s="1">
        <f t="shared" si="81"/>
        <v>30352.37</v>
      </c>
      <c r="AC144" s="1">
        <f t="shared" si="82"/>
        <v>76264.69</v>
      </c>
      <c r="AD144" s="1">
        <f t="shared" si="83"/>
        <v>0</v>
      </c>
    </row>
    <row r="145" spans="1:30" x14ac:dyDescent="0.2">
      <c r="A145" s="95">
        <f>'TAX Interest Rates'!A44</f>
        <v>44165</v>
      </c>
      <c r="B145" s="104">
        <f>ROUND(-B33*B88,2)</f>
        <v>41941.53</v>
      </c>
      <c r="C145" s="104">
        <f t="shared" ref="C145:P145" si="93">ROUND(-C33*C88,2)</f>
        <v>0</v>
      </c>
      <c r="D145" s="104">
        <f t="shared" si="93"/>
        <v>1821.1</v>
      </c>
      <c r="E145" s="104">
        <f t="shared" si="93"/>
        <v>542.24</v>
      </c>
      <c r="F145" s="104">
        <f t="shared" si="93"/>
        <v>0</v>
      </c>
      <c r="G145" s="104">
        <f t="shared" si="93"/>
        <v>20680.55</v>
      </c>
      <c r="H145" s="104">
        <f t="shared" si="93"/>
        <v>1381.03</v>
      </c>
      <c r="I145" s="104">
        <f t="shared" si="93"/>
        <v>0</v>
      </c>
      <c r="J145" s="104">
        <f t="shared" si="93"/>
        <v>0</v>
      </c>
      <c r="K145" s="104">
        <f t="shared" si="93"/>
        <v>0</v>
      </c>
      <c r="L145" s="104">
        <f t="shared" si="93"/>
        <v>-23.24</v>
      </c>
      <c r="M145" s="104">
        <f t="shared" si="93"/>
        <v>0</v>
      </c>
      <c r="N145" s="104">
        <f t="shared" si="93"/>
        <v>0</v>
      </c>
      <c r="O145" s="104">
        <f t="shared" si="93"/>
        <v>0</v>
      </c>
      <c r="P145" s="104">
        <f t="shared" si="93"/>
        <v>0</v>
      </c>
      <c r="R145" s="1">
        <f t="shared" si="72"/>
        <v>66343.209999999992</v>
      </c>
      <c r="S145" s="1" t="s">
        <v>56</v>
      </c>
      <c r="T145" s="1">
        <f t="shared" si="73"/>
        <v>41941.53</v>
      </c>
      <c r="U145" s="1">
        <f t="shared" si="74"/>
        <v>2363.34</v>
      </c>
      <c r="V145" s="1">
        <f t="shared" si="75"/>
        <v>22061.579999999998</v>
      </c>
      <c r="W145" s="1">
        <f t="shared" si="76"/>
        <v>0</v>
      </c>
      <c r="X145" s="1">
        <f t="shared" si="77"/>
        <v>0</v>
      </c>
      <c r="Y145" s="1">
        <f t="shared" si="78"/>
        <v>66366.45</v>
      </c>
      <c r="Z145" s="1">
        <f t="shared" si="79"/>
        <v>-23.24</v>
      </c>
      <c r="AA145" s="1">
        <f t="shared" si="80"/>
        <v>0</v>
      </c>
      <c r="AB145" s="1">
        <f t="shared" si="81"/>
        <v>-23.24</v>
      </c>
      <c r="AC145" s="1">
        <f t="shared" si="82"/>
        <v>66343.209999999992</v>
      </c>
      <c r="AD145" s="1">
        <f t="shared" si="83"/>
        <v>-5.2402526762307389E-12</v>
      </c>
    </row>
    <row r="146" spans="1:30" x14ac:dyDescent="0.2">
      <c r="A146" s="95">
        <f>'TAX Interest Rates'!A44</f>
        <v>44165</v>
      </c>
      <c r="B146" s="104">
        <f>ROUND(-B34*B89,2)</f>
        <v>19322.09</v>
      </c>
      <c r="C146" s="104">
        <f t="shared" ref="C146:P146" si="94">ROUND(-C34*C89,2)</f>
        <v>0</v>
      </c>
      <c r="D146" s="104">
        <f t="shared" si="94"/>
        <v>670.79</v>
      </c>
      <c r="E146" s="104">
        <f t="shared" si="94"/>
        <v>235.26</v>
      </c>
      <c r="F146" s="104">
        <f t="shared" si="94"/>
        <v>23.59</v>
      </c>
      <c r="G146" s="104">
        <f t="shared" si="94"/>
        <v>8589.5400000000009</v>
      </c>
      <c r="H146" s="104">
        <f t="shared" si="94"/>
        <v>740.7</v>
      </c>
      <c r="I146" s="104">
        <f t="shared" si="94"/>
        <v>0</v>
      </c>
      <c r="J146" s="104">
        <f t="shared" si="94"/>
        <v>0</v>
      </c>
      <c r="K146" s="104">
        <f t="shared" si="94"/>
        <v>176.25</v>
      </c>
      <c r="L146" s="104">
        <f t="shared" si="94"/>
        <v>18337.82</v>
      </c>
      <c r="M146" s="104">
        <f t="shared" si="94"/>
        <v>3607.91</v>
      </c>
      <c r="N146" s="104">
        <f t="shared" si="94"/>
        <v>1161.24</v>
      </c>
      <c r="O146" s="104">
        <f t="shared" si="94"/>
        <v>439.88</v>
      </c>
      <c r="P146" s="104">
        <f t="shared" si="94"/>
        <v>0</v>
      </c>
      <c r="R146" s="1">
        <f t="shared" si="72"/>
        <v>53305.069999999992</v>
      </c>
      <c r="S146" s="1" t="s">
        <v>57</v>
      </c>
      <c r="T146" s="1">
        <f t="shared" ref="T146" si="95">+B146</f>
        <v>19322.09</v>
      </c>
      <c r="U146" s="1">
        <f t="shared" ref="U146" si="96">+C146+D146+E146</f>
        <v>906.05</v>
      </c>
      <c r="V146" s="1">
        <f t="shared" ref="V146" si="97">+F146+G146+H146</f>
        <v>9353.8300000000017</v>
      </c>
      <c r="W146" s="1">
        <f t="shared" ref="W146" si="98">+I146+J146</f>
        <v>0</v>
      </c>
      <c r="X146" s="1">
        <f t="shared" ref="X146" si="99">+K146</f>
        <v>176.25</v>
      </c>
      <c r="Y146" s="1">
        <f t="shared" ref="Y146" si="100">SUM(T146:X146)</f>
        <v>29758.22</v>
      </c>
      <c r="Z146" s="1">
        <f t="shared" ref="Z146" si="101">+L146</f>
        <v>18337.82</v>
      </c>
      <c r="AA146" s="1">
        <f t="shared" ref="AA146" si="102">+M146+N146+O146+P146</f>
        <v>5209.03</v>
      </c>
      <c r="AB146" s="1">
        <f t="shared" ref="AB146" si="103">SUM(Z146:AA146)</f>
        <v>23546.85</v>
      </c>
      <c r="AC146" s="1">
        <f t="shared" ref="AC146" si="104">+Y146+AB146</f>
        <v>53305.07</v>
      </c>
      <c r="AD146" s="1">
        <f t="shared" ref="AD146" si="105">+R146-Y146-AB146</f>
        <v>0</v>
      </c>
    </row>
    <row r="147" spans="1:30" x14ac:dyDescent="0.2">
      <c r="A147" s="95">
        <f>'TAX Interest Rates'!A45</f>
        <v>44196</v>
      </c>
      <c r="B147" s="104">
        <f>ROUND(-B35*B90,2)</f>
        <v>100136.42</v>
      </c>
      <c r="C147" s="104">
        <f t="shared" ref="C147:P147" si="106">ROUND(-C35*C90,2)</f>
        <v>0</v>
      </c>
      <c r="D147" s="104">
        <f t="shared" si="106"/>
        <v>3567.13</v>
      </c>
      <c r="E147" s="104">
        <f t="shared" si="106"/>
        <v>911.35</v>
      </c>
      <c r="F147" s="104">
        <f t="shared" si="106"/>
        <v>31.42</v>
      </c>
      <c r="G147" s="104">
        <f t="shared" si="106"/>
        <v>50255.16</v>
      </c>
      <c r="H147" s="104">
        <f t="shared" si="106"/>
        <v>3259.85</v>
      </c>
      <c r="I147" s="104">
        <f t="shared" si="106"/>
        <v>0</v>
      </c>
      <c r="J147" s="104">
        <f t="shared" si="106"/>
        <v>0</v>
      </c>
      <c r="K147" s="104">
        <f t="shared" si="106"/>
        <v>195.58</v>
      </c>
      <c r="L147" s="104">
        <f t="shared" si="106"/>
        <v>17877.11</v>
      </c>
      <c r="M147" s="104">
        <f t="shared" si="106"/>
        <v>6409.54</v>
      </c>
      <c r="N147" s="104">
        <f t="shared" si="106"/>
        <v>4404.79</v>
      </c>
      <c r="O147" s="104">
        <f t="shared" si="106"/>
        <v>366.94</v>
      </c>
      <c r="P147" s="104">
        <f t="shared" si="106"/>
        <v>0</v>
      </c>
      <c r="R147" s="1">
        <f t="shared" si="72"/>
        <v>187415.29000000004</v>
      </c>
      <c r="T147" s="1">
        <f t="shared" si="73"/>
        <v>100136.42</v>
      </c>
      <c r="U147" s="1">
        <f t="shared" si="74"/>
        <v>4478.4800000000005</v>
      </c>
      <c r="V147" s="1">
        <f t="shared" si="75"/>
        <v>53546.43</v>
      </c>
      <c r="W147" s="1">
        <f t="shared" si="76"/>
        <v>0</v>
      </c>
      <c r="X147" s="1">
        <f t="shared" si="77"/>
        <v>195.58</v>
      </c>
      <c r="Y147" s="1">
        <f t="shared" si="78"/>
        <v>158356.90999999997</v>
      </c>
      <c r="Z147" s="1">
        <f t="shared" si="79"/>
        <v>17877.11</v>
      </c>
      <c r="AA147" s="1">
        <f t="shared" si="80"/>
        <v>11181.27</v>
      </c>
      <c r="AB147" s="1">
        <f t="shared" si="81"/>
        <v>29058.38</v>
      </c>
      <c r="AC147" s="1">
        <f t="shared" si="82"/>
        <v>187415.28999999998</v>
      </c>
      <c r="AD147" s="1">
        <f t="shared" si="83"/>
        <v>6.184563972055912E-11</v>
      </c>
    </row>
    <row r="148" spans="1:30" x14ac:dyDescent="0.2">
      <c r="A148" s="95">
        <f>'TAX Interest Rates'!A46</f>
        <v>44227</v>
      </c>
      <c r="B148" s="104">
        <f t="shared" ref="B148:P148" si="107">ROUND(-B36*B91,2)</f>
        <v>106694.32</v>
      </c>
      <c r="C148" s="104">
        <f t="shared" si="107"/>
        <v>0</v>
      </c>
      <c r="D148" s="104">
        <f t="shared" si="107"/>
        <v>3325.58</v>
      </c>
      <c r="E148" s="104">
        <f t="shared" si="107"/>
        <v>936.07</v>
      </c>
      <c r="F148" s="104">
        <f t="shared" si="107"/>
        <v>52.93</v>
      </c>
      <c r="G148" s="104">
        <f t="shared" si="107"/>
        <v>53584.44</v>
      </c>
      <c r="H148" s="104">
        <f t="shared" si="107"/>
        <v>3168.25</v>
      </c>
      <c r="I148" s="104">
        <f t="shared" si="107"/>
        <v>0</v>
      </c>
      <c r="J148" s="104">
        <f t="shared" si="107"/>
        <v>0</v>
      </c>
      <c r="K148" s="104">
        <f t="shared" si="107"/>
        <v>198.92</v>
      </c>
      <c r="L148" s="104">
        <f t="shared" si="107"/>
        <v>18976.54</v>
      </c>
      <c r="M148" s="104">
        <f t="shared" si="107"/>
        <v>5919.94</v>
      </c>
      <c r="N148" s="104">
        <f t="shared" si="107"/>
        <v>2491.5700000000002</v>
      </c>
      <c r="O148" s="104">
        <f t="shared" si="107"/>
        <v>121.26</v>
      </c>
      <c r="P148" s="104">
        <f t="shared" si="107"/>
        <v>0</v>
      </c>
      <c r="R148" s="1">
        <f t="shared" ref="R148:R160" si="108">SUM(B148:Q148)</f>
        <v>195469.82000000007</v>
      </c>
      <c r="T148" s="1">
        <f t="shared" ref="T148:T160" si="109">+B148</f>
        <v>106694.32</v>
      </c>
      <c r="U148" s="1">
        <f t="shared" ref="U148:U160" si="110">+C148+D148+E148</f>
        <v>4261.6499999999996</v>
      </c>
      <c r="V148" s="1">
        <f t="shared" ref="V148:V160" si="111">+F148+G148+H148</f>
        <v>56805.62</v>
      </c>
      <c r="W148" s="1">
        <f t="shared" ref="W148:W160" si="112">+I148+J148</f>
        <v>0</v>
      </c>
      <c r="X148" s="1">
        <f t="shared" ref="X148:X160" si="113">+K148</f>
        <v>198.92</v>
      </c>
      <c r="Y148" s="1">
        <f t="shared" ref="Y148:Y160" si="114">SUM(T148:X148)</f>
        <v>167960.51</v>
      </c>
      <c r="Z148" s="1">
        <f t="shared" ref="Z148:Z160" si="115">+L148</f>
        <v>18976.54</v>
      </c>
      <c r="AA148" s="1">
        <f t="shared" ref="AA148:AA160" si="116">+M148+N148+O148+P148</f>
        <v>8532.77</v>
      </c>
      <c r="AB148" s="1">
        <f t="shared" ref="AB148:AB160" si="117">SUM(Z148:AA148)</f>
        <v>27509.31</v>
      </c>
      <c r="AC148" s="1">
        <f t="shared" ref="AC148:AC160" si="118">+Y148+AB148</f>
        <v>195469.82</v>
      </c>
      <c r="AD148" s="1">
        <f t="shared" ref="AD148:AD160" si="119">+R148-Y148-AB148</f>
        <v>5.4569682106375694E-11</v>
      </c>
    </row>
    <row r="149" spans="1:30" x14ac:dyDescent="0.2">
      <c r="A149" s="95">
        <f>'TAX Interest Rates'!A47</f>
        <v>44255</v>
      </c>
      <c r="B149" s="104">
        <f t="shared" ref="B149:P149" si="120">ROUND(-B37*B92,2)</f>
        <v>100809.47</v>
      </c>
      <c r="C149" s="104">
        <f t="shared" si="120"/>
        <v>0</v>
      </c>
      <c r="D149" s="104">
        <f t="shared" si="120"/>
        <v>3224.73</v>
      </c>
      <c r="E149" s="104">
        <f t="shared" si="120"/>
        <v>808.33</v>
      </c>
      <c r="F149" s="104">
        <f t="shared" si="120"/>
        <v>31.5</v>
      </c>
      <c r="G149" s="104">
        <f t="shared" si="120"/>
        <v>50249.63</v>
      </c>
      <c r="H149" s="104">
        <f t="shared" si="120"/>
        <v>3067.68</v>
      </c>
      <c r="I149" s="104">
        <f t="shared" si="120"/>
        <v>0</v>
      </c>
      <c r="J149" s="104">
        <f t="shared" si="120"/>
        <v>0</v>
      </c>
      <c r="K149" s="104">
        <f t="shared" si="120"/>
        <v>191.88</v>
      </c>
      <c r="L149" s="104">
        <f t="shared" si="120"/>
        <v>17399.77</v>
      </c>
      <c r="M149" s="104">
        <f t="shared" si="120"/>
        <v>5026.5200000000004</v>
      </c>
      <c r="N149" s="104">
        <f t="shared" si="120"/>
        <v>2583.4699999999998</v>
      </c>
      <c r="O149" s="104">
        <f t="shared" si="120"/>
        <v>471.5</v>
      </c>
      <c r="P149" s="104">
        <f t="shared" si="120"/>
        <v>0</v>
      </c>
      <c r="R149" s="1">
        <f t="shared" si="108"/>
        <v>183864.47999999998</v>
      </c>
      <c r="T149" s="1">
        <f t="shared" si="109"/>
        <v>100809.47</v>
      </c>
      <c r="U149" s="1">
        <f t="shared" si="110"/>
        <v>4033.06</v>
      </c>
      <c r="V149" s="1">
        <f t="shared" si="111"/>
        <v>53348.81</v>
      </c>
      <c r="W149" s="1">
        <f t="shared" si="112"/>
        <v>0</v>
      </c>
      <c r="X149" s="1">
        <f t="shared" si="113"/>
        <v>191.88</v>
      </c>
      <c r="Y149" s="1">
        <f t="shared" si="114"/>
        <v>158383.22</v>
      </c>
      <c r="Z149" s="1">
        <f t="shared" si="115"/>
        <v>17399.77</v>
      </c>
      <c r="AA149" s="1">
        <f t="shared" si="116"/>
        <v>8081.49</v>
      </c>
      <c r="AB149" s="1">
        <f t="shared" si="117"/>
        <v>25481.260000000002</v>
      </c>
      <c r="AC149" s="1">
        <f t="shared" si="118"/>
        <v>183864.48</v>
      </c>
      <c r="AD149" s="1">
        <f t="shared" si="119"/>
        <v>0</v>
      </c>
    </row>
    <row r="150" spans="1:30" x14ac:dyDescent="0.2">
      <c r="A150" s="95">
        <f>'TAX Interest Rates'!A48</f>
        <v>44286</v>
      </c>
      <c r="B150" s="104">
        <f t="shared" ref="B150:P150" si="121">ROUND(-B38*B93,2)</f>
        <v>106648.02</v>
      </c>
      <c r="C150" s="104">
        <f>ROUND(-C38*C93,2)</f>
        <v>0</v>
      </c>
      <c r="D150" s="104">
        <f t="shared" si="121"/>
        <v>3584.03</v>
      </c>
      <c r="E150" s="104">
        <f t="shared" si="121"/>
        <v>989.72</v>
      </c>
      <c r="F150" s="104">
        <f t="shared" si="121"/>
        <v>16.670000000000002</v>
      </c>
      <c r="G150" s="104">
        <f t="shared" si="121"/>
        <v>54872.99</v>
      </c>
      <c r="H150" s="104">
        <f t="shared" si="121"/>
        <v>3221.23</v>
      </c>
      <c r="I150" s="104">
        <f t="shared" si="121"/>
        <v>0</v>
      </c>
      <c r="J150" s="104">
        <f t="shared" si="121"/>
        <v>0</v>
      </c>
      <c r="K150" s="104">
        <f t="shared" si="121"/>
        <v>187.67</v>
      </c>
      <c r="L150" s="104">
        <f t="shared" si="121"/>
        <v>18594.23</v>
      </c>
      <c r="M150" s="104">
        <f t="shared" si="121"/>
        <v>7224.24</v>
      </c>
      <c r="N150" s="104">
        <f t="shared" si="121"/>
        <v>5267.47</v>
      </c>
      <c r="O150" s="104">
        <f t="shared" si="121"/>
        <v>993.14</v>
      </c>
      <c r="P150" s="104">
        <f t="shared" si="121"/>
        <v>0</v>
      </c>
      <c r="R150" s="1">
        <f t="shared" si="108"/>
        <v>201599.41000000003</v>
      </c>
      <c r="T150" s="1">
        <f t="shared" si="109"/>
        <v>106648.02</v>
      </c>
      <c r="U150" s="1">
        <f t="shared" si="110"/>
        <v>4573.75</v>
      </c>
      <c r="V150" s="1">
        <f t="shared" si="111"/>
        <v>58110.89</v>
      </c>
      <c r="W150" s="1">
        <f t="shared" si="112"/>
        <v>0</v>
      </c>
      <c r="X150" s="1">
        <f t="shared" si="113"/>
        <v>187.67</v>
      </c>
      <c r="Y150" s="1">
        <f t="shared" si="114"/>
        <v>169520.33000000002</v>
      </c>
      <c r="Z150" s="1">
        <f t="shared" si="115"/>
        <v>18594.23</v>
      </c>
      <c r="AA150" s="1">
        <f t="shared" si="116"/>
        <v>13484.849999999999</v>
      </c>
      <c r="AB150" s="1">
        <f t="shared" si="117"/>
        <v>32079.079999999998</v>
      </c>
      <c r="AC150" s="1">
        <f t="shared" si="118"/>
        <v>201599.41</v>
      </c>
      <c r="AD150" s="1">
        <f t="shared" si="119"/>
        <v>0</v>
      </c>
    </row>
    <row r="151" spans="1:30" x14ac:dyDescent="0.2">
      <c r="A151" s="95">
        <f>'TAX Interest Rates'!A49</f>
        <v>44316</v>
      </c>
      <c r="B151" s="104">
        <f t="shared" ref="B151:P151" si="122">ROUND(-B39*B94,2)</f>
        <v>73537.38</v>
      </c>
      <c r="C151" s="104">
        <f t="shared" si="122"/>
        <v>0</v>
      </c>
      <c r="D151" s="104">
        <f t="shared" si="122"/>
        <v>2806.08</v>
      </c>
      <c r="E151" s="104">
        <f t="shared" si="122"/>
        <v>924.89</v>
      </c>
      <c r="F151" s="104">
        <f t="shared" si="122"/>
        <v>9.17</v>
      </c>
      <c r="G151" s="104">
        <f t="shared" si="122"/>
        <v>38172.46</v>
      </c>
      <c r="H151" s="104">
        <f t="shared" si="122"/>
        <v>2462.16</v>
      </c>
      <c r="I151" s="104">
        <f t="shared" si="122"/>
        <v>0</v>
      </c>
      <c r="J151" s="104">
        <f t="shared" si="122"/>
        <v>0</v>
      </c>
      <c r="K151" s="104">
        <f t="shared" si="122"/>
        <v>144.46</v>
      </c>
      <c r="L151" s="104">
        <f t="shared" si="122"/>
        <v>17381.23</v>
      </c>
      <c r="M151" s="104">
        <f t="shared" si="122"/>
        <v>3150.1</v>
      </c>
      <c r="N151" s="104">
        <f t="shared" si="122"/>
        <v>6190.51</v>
      </c>
      <c r="O151" s="104">
        <f t="shared" si="122"/>
        <v>4021.54</v>
      </c>
      <c r="P151" s="104">
        <f t="shared" si="122"/>
        <v>0</v>
      </c>
      <c r="R151" s="1">
        <f t="shared" si="108"/>
        <v>148799.98000000004</v>
      </c>
      <c r="T151" s="1">
        <f t="shared" si="109"/>
        <v>73537.38</v>
      </c>
      <c r="U151" s="1">
        <f t="shared" si="110"/>
        <v>3730.97</v>
      </c>
      <c r="V151" s="1">
        <f t="shared" si="111"/>
        <v>40643.789999999994</v>
      </c>
      <c r="W151" s="1">
        <f t="shared" si="112"/>
        <v>0</v>
      </c>
      <c r="X151" s="1">
        <f t="shared" si="113"/>
        <v>144.46</v>
      </c>
      <c r="Y151" s="1">
        <f t="shared" si="114"/>
        <v>118056.6</v>
      </c>
      <c r="Z151" s="1">
        <f t="shared" si="115"/>
        <v>17381.23</v>
      </c>
      <c r="AA151" s="1">
        <f t="shared" si="116"/>
        <v>13362.150000000001</v>
      </c>
      <c r="AB151" s="1">
        <f t="shared" si="117"/>
        <v>30743.38</v>
      </c>
      <c r="AC151" s="1">
        <f t="shared" si="118"/>
        <v>148799.98000000001</v>
      </c>
      <c r="AD151" s="1">
        <f t="shared" si="119"/>
        <v>3.2741809263825417E-11</v>
      </c>
    </row>
    <row r="152" spans="1:30" x14ac:dyDescent="0.2">
      <c r="A152" s="95">
        <f>'TAX Interest Rates'!A50</f>
        <v>44347</v>
      </c>
      <c r="B152" s="104">
        <f t="shared" ref="B152:P152" si="123">ROUND(-B40*B95,2)</f>
        <v>35898.629999999997</v>
      </c>
      <c r="C152" s="104">
        <f t="shared" si="123"/>
        <v>0</v>
      </c>
      <c r="D152" s="104">
        <f t="shared" si="123"/>
        <v>1788.63</v>
      </c>
      <c r="E152" s="104">
        <f t="shared" si="123"/>
        <v>621.1</v>
      </c>
      <c r="F152" s="104">
        <f t="shared" si="123"/>
        <v>15.02</v>
      </c>
      <c r="G152" s="104">
        <f t="shared" si="123"/>
        <v>20562.080000000002</v>
      </c>
      <c r="H152" s="104">
        <f t="shared" si="123"/>
        <v>1391.78</v>
      </c>
      <c r="I152" s="104">
        <f t="shared" si="123"/>
        <v>0</v>
      </c>
      <c r="J152" s="104">
        <f t="shared" si="123"/>
        <v>0</v>
      </c>
      <c r="K152" s="104">
        <f t="shared" si="123"/>
        <v>115.03</v>
      </c>
      <c r="L152" s="104">
        <f t="shared" si="123"/>
        <v>16388.77</v>
      </c>
      <c r="M152" s="104">
        <f t="shared" si="123"/>
        <v>0.17</v>
      </c>
      <c r="N152" s="104">
        <f t="shared" si="123"/>
        <v>2818.24</v>
      </c>
      <c r="O152" s="104">
        <f t="shared" si="123"/>
        <v>1393.8</v>
      </c>
      <c r="P152" s="104">
        <f t="shared" si="123"/>
        <v>0</v>
      </c>
      <c r="R152" s="1">
        <f t="shared" si="108"/>
        <v>80993.25</v>
      </c>
      <c r="T152" s="1">
        <f t="shared" si="109"/>
        <v>35898.629999999997</v>
      </c>
      <c r="U152" s="1">
        <f t="shared" si="110"/>
        <v>2409.73</v>
      </c>
      <c r="V152" s="1">
        <f t="shared" si="111"/>
        <v>21968.880000000001</v>
      </c>
      <c r="W152" s="1">
        <f t="shared" si="112"/>
        <v>0</v>
      </c>
      <c r="X152" s="1">
        <f t="shared" si="113"/>
        <v>115.03</v>
      </c>
      <c r="Y152" s="1">
        <f t="shared" si="114"/>
        <v>60392.270000000004</v>
      </c>
      <c r="Z152" s="1">
        <f t="shared" si="115"/>
        <v>16388.77</v>
      </c>
      <c r="AA152" s="1">
        <f t="shared" si="116"/>
        <v>4212.21</v>
      </c>
      <c r="AB152" s="1">
        <f t="shared" si="117"/>
        <v>20600.98</v>
      </c>
      <c r="AC152" s="1">
        <f t="shared" si="118"/>
        <v>80993.25</v>
      </c>
      <c r="AD152" s="1">
        <f t="shared" si="119"/>
        <v>0</v>
      </c>
    </row>
    <row r="153" spans="1:30" x14ac:dyDescent="0.2">
      <c r="A153" s="95">
        <f>'TAX Interest Rates'!A51</f>
        <v>44377</v>
      </c>
      <c r="B153" s="104">
        <f t="shared" ref="B153:P153" si="124">ROUND(-B41*B96,2)</f>
        <v>27996.9</v>
      </c>
      <c r="C153" s="104">
        <f t="shared" si="124"/>
        <v>0</v>
      </c>
      <c r="D153" s="104">
        <f t="shared" si="124"/>
        <v>1538.8</v>
      </c>
      <c r="E153" s="104">
        <f t="shared" si="124"/>
        <v>972.46</v>
      </c>
      <c r="F153" s="104">
        <f t="shared" si="124"/>
        <v>6.31</v>
      </c>
      <c r="G153" s="104">
        <f t="shared" si="124"/>
        <v>16752.88</v>
      </c>
      <c r="H153" s="104">
        <f t="shared" si="124"/>
        <v>1107.1300000000001</v>
      </c>
      <c r="I153" s="104">
        <f t="shared" si="124"/>
        <v>0</v>
      </c>
      <c r="J153" s="104">
        <f t="shared" si="124"/>
        <v>0</v>
      </c>
      <c r="K153" s="104">
        <f t="shared" si="124"/>
        <v>83.61</v>
      </c>
      <c r="L153" s="104">
        <f t="shared" si="124"/>
        <v>15695.63</v>
      </c>
      <c r="M153" s="104">
        <f t="shared" si="124"/>
        <v>5078.8100000000004</v>
      </c>
      <c r="N153" s="104">
        <f t="shared" si="124"/>
        <v>4463</v>
      </c>
      <c r="O153" s="104">
        <f t="shared" si="124"/>
        <v>2576.94</v>
      </c>
      <c r="P153" s="104">
        <f t="shared" si="124"/>
        <v>0</v>
      </c>
      <c r="R153" s="1">
        <f t="shared" si="108"/>
        <v>76272.47</v>
      </c>
      <c r="T153" s="1">
        <f t="shared" si="109"/>
        <v>27996.9</v>
      </c>
      <c r="U153" s="1">
        <f t="shared" si="110"/>
        <v>2511.2600000000002</v>
      </c>
      <c r="V153" s="1">
        <f t="shared" si="111"/>
        <v>17866.320000000003</v>
      </c>
      <c r="W153" s="1">
        <f t="shared" si="112"/>
        <v>0</v>
      </c>
      <c r="X153" s="1">
        <f t="shared" si="113"/>
        <v>83.61</v>
      </c>
      <c r="Y153" s="1">
        <f t="shared" si="114"/>
        <v>48458.090000000011</v>
      </c>
      <c r="Z153" s="1">
        <f t="shared" si="115"/>
        <v>15695.63</v>
      </c>
      <c r="AA153" s="1">
        <f t="shared" si="116"/>
        <v>12118.750000000002</v>
      </c>
      <c r="AB153" s="1">
        <f t="shared" si="117"/>
        <v>27814.38</v>
      </c>
      <c r="AC153" s="1">
        <f t="shared" si="118"/>
        <v>76272.470000000016</v>
      </c>
      <c r="AD153" s="1">
        <f t="shared" si="119"/>
        <v>0</v>
      </c>
    </row>
    <row r="154" spans="1:30" x14ac:dyDescent="0.2">
      <c r="A154" s="95">
        <f>'TAX Interest Rates'!A52</f>
        <v>44408</v>
      </c>
      <c r="B154" s="104">
        <f t="shared" ref="B154:P154" si="125">ROUND(-B42*B97,2)</f>
        <v>16497.080000000002</v>
      </c>
      <c r="C154" s="104">
        <f t="shared" si="125"/>
        <v>0</v>
      </c>
      <c r="D154" s="104">
        <f t="shared" si="125"/>
        <v>1305.48</v>
      </c>
      <c r="E154" s="104">
        <f t="shared" si="125"/>
        <v>564.28</v>
      </c>
      <c r="F154" s="104">
        <f t="shared" si="125"/>
        <v>5.0199999999999996</v>
      </c>
      <c r="G154" s="104">
        <f t="shared" si="125"/>
        <v>11390.46</v>
      </c>
      <c r="H154" s="104">
        <f t="shared" si="125"/>
        <v>723.32</v>
      </c>
      <c r="I154" s="104">
        <f t="shared" si="125"/>
        <v>0</v>
      </c>
      <c r="J154" s="104">
        <f t="shared" si="125"/>
        <v>0</v>
      </c>
      <c r="K154" s="104">
        <f t="shared" si="125"/>
        <v>71.05</v>
      </c>
      <c r="L154" s="104">
        <f t="shared" si="125"/>
        <v>14227.78</v>
      </c>
      <c r="M154" s="104">
        <f t="shared" si="125"/>
        <v>7056.84</v>
      </c>
      <c r="N154" s="104">
        <f t="shared" si="125"/>
        <v>5864.18</v>
      </c>
      <c r="O154" s="104">
        <f t="shared" si="125"/>
        <v>4137.7299999999996</v>
      </c>
      <c r="P154" s="104">
        <f t="shared" si="125"/>
        <v>0</v>
      </c>
      <c r="R154" s="1">
        <f t="shared" si="108"/>
        <v>61843.22</v>
      </c>
      <c r="T154" s="1">
        <f t="shared" si="109"/>
        <v>16497.080000000002</v>
      </c>
      <c r="U154" s="1">
        <f t="shared" si="110"/>
        <v>1869.76</v>
      </c>
      <c r="V154" s="1">
        <f t="shared" si="111"/>
        <v>12118.8</v>
      </c>
      <c r="W154" s="1">
        <f t="shared" si="112"/>
        <v>0</v>
      </c>
      <c r="X154" s="1">
        <f t="shared" si="113"/>
        <v>71.05</v>
      </c>
      <c r="Y154" s="1">
        <f t="shared" si="114"/>
        <v>30556.69</v>
      </c>
      <c r="Z154" s="1">
        <f t="shared" si="115"/>
        <v>14227.78</v>
      </c>
      <c r="AA154" s="1">
        <f t="shared" si="116"/>
        <v>17058.75</v>
      </c>
      <c r="AB154" s="1">
        <f t="shared" si="117"/>
        <v>31286.53</v>
      </c>
      <c r="AC154" s="1">
        <f t="shared" si="118"/>
        <v>61843.22</v>
      </c>
      <c r="AD154" s="1">
        <f t="shared" si="119"/>
        <v>0</v>
      </c>
    </row>
    <row r="155" spans="1:30" x14ac:dyDescent="0.2">
      <c r="A155" s="95">
        <f>'TAX Interest Rates'!A53</f>
        <v>44439</v>
      </c>
      <c r="B155" s="104">
        <f t="shared" ref="B155:P155" si="126">ROUND(-B43*B98,2)</f>
        <v>14409.96</v>
      </c>
      <c r="C155" s="104">
        <f t="shared" si="126"/>
        <v>0</v>
      </c>
      <c r="D155" s="104">
        <f t="shared" si="126"/>
        <v>1224.49</v>
      </c>
      <c r="E155" s="104">
        <f t="shared" si="126"/>
        <v>684.71</v>
      </c>
      <c r="F155" s="104">
        <f t="shared" si="126"/>
        <v>7.65</v>
      </c>
      <c r="G155" s="104">
        <f t="shared" si="126"/>
        <v>10729.04</v>
      </c>
      <c r="H155" s="104">
        <f t="shared" si="126"/>
        <v>660.13</v>
      </c>
      <c r="I155" s="104">
        <f t="shared" si="126"/>
        <v>0</v>
      </c>
      <c r="J155" s="104">
        <f t="shared" si="126"/>
        <v>0</v>
      </c>
      <c r="K155" s="104">
        <f t="shared" si="126"/>
        <v>82.43</v>
      </c>
      <c r="L155" s="104">
        <f t="shared" si="126"/>
        <v>14569.01</v>
      </c>
      <c r="M155" s="104">
        <f t="shared" si="126"/>
        <v>7127.71</v>
      </c>
      <c r="N155" s="104">
        <f t="shared" si="126"/>
        <v>5938.34</v>
      </c>
      <c r="O155" s="104">
        <f t="shared" si="126"/>
        <v>3249.3</v>
      </c>
      <c r="P155" s="104">
        <f t="shared" si="126"/>
        <v>0</v>
      </c>
      <c r="R155" s="1">
        <f t="shared" si="108"/>
        <v>58682.770000000004</v>
      </c>
      <c r="T155" s="1">
        <f t="shared" si="109"/>
        <v>14409.96</v>
      </c>
      <c r="U155" s="1">
        <f t="shared" si="110"/>
        <v>1909.2</v>
      </c>
      <c r="V155" s="1">
        <f t="shared" si="111"/>
        <v>11396.82</v>
      </c>
      <c r="W155" s="1">
        <f t="shared" si="112"/>
        <v>0</v>
      </c>
      <c r="X155" s="1">
        <f t="shared" si="113"/>
        <v>82.43</v>
      </c>
      <c r="Y155" s="1">
        <f t="shared" si="114"/>
        <v>27798.41</v>
      </c>
      <c r="Z155" s="1">
        <f t="shared" si="115"/>
        <v>14569.01</v>
      </c>
      <c r="AA155" s="1">
        <f t="shared" si="116"/>
        <v>16315.349999999999</v>
      </c>
      <c r="AB155" s="1">
        <f t="shared" si="117"/>
        <v>30884.36</v>
      </c>
      <c r="AC155" s="1">
        <f t="shared" si="118"/>
        <v>58682.770000000004</v>
      </c>
      <c r="AD155" s="1">
        <f t="shared" si="119"/>
        <v>0</v>
      </c>
    </row>
    <row r="156" spans="1:30" x14ac:dyDescent="0.2">
      <c r="A156" s="95">
        <f>'TAX Interest Rates'!A54</f>
        <v>44469</v>
      </c>
      <c r="B156" s="104">
        <f t="shared" ref="B156:P156" si="127">ROUND(-B44*B99,2)</f>
        <v>16393.259999999998</v>
      </c>
      <c r="C156" s="104">
        <f t="shared" si="127"/>
        <v>0</v>
      </c>
      <c r="D156" s="104">
        <f t="shared" si="127"/>
        <v>1539.23</v>
      </c>
      <c r="E156" s="104">
        <f t="shared" si="127"/>
        <v>635.17999999999995</v>
      </c>
      <c r="F156" s="104">
        <f t="shared" si="127"/>
        <v>9.24</v>
      </c>
      <c r="G156" s="104">
        <f t="shared" si="127"/>
        <v>11611.04</v>
      </c>
      <c r="H156" s="104">
        <f t="shared" si="127"/>
        <v>701.51</v>
      </c>
      <c r="I156" s="104">
        <f t="shared" si="127"/>
        <v>0</v>
      </c>
      <c r="J156" s="104">
        <f t="shared" si="127"/>
        <v>0</v>
      </c>
      <c r="K156" s="104">
        <f t="shared" si="127"/>
        <v>102</v>
      </c>
      <c r="L156" s="104">
        <f t="shared" si="127"/>
        <v>15475.95</v>
      </c>
      <c r="M156" s="104">
        <f t="shared" si="127"/>
        <v>6714.39</v>
      </c>
      <c r="N156" s="104">
        <f t="shared" si="127"/>
        <v>6683.2</v>
      </c>
      <c r="O156" s="104">
        <f t="shared" si="127"/>
        <v>2194.02</v>
      </c>
      <c r="P156" s="104">
        <f t="shared" si="127"/>
        <v>0</v>
      </c>
      <c r="R156" s="1">
        <f t="shared" si="108"/>
        <v>62059.02</v>
      </c>
      <c r="T156" s="1">
        <f t="shared" si="109"/>
        <v>16393.259999999998</v>
      </c>
      <c r="U156" s="1">
        <f t="shared" si="110"/>
        <v>2174.41</v>
      </c>
      <c r="V156" s="1">
        <f t="shared" si="111"/>
        <v>12321.79</v>
      </c>
      <c r="W156" s="1">
        <f t="shared" si="112"/>
        <v>0</v>
      </c>
      <c r="X156" s="1">
        <f t="shared" si="113"/>
        <v>102</v>
      </c>
      <c r="Y156" s="1">
        <f t="shared" si="114"/>
        <v>30991.46</v>
      </c>
      <c r="Z156" s="1">
        <f t="shared" si="115"/>
        <v>15475.95</v>
      </c>
      <c r="AA156" s="1">
        <f t="shared" si="116"/>
        <v>15591.61</v>
      </c>
      <c r="AB156" s="1">
        <f t="shared" si="117"/>
        <v>31067.56</v>
      </c>
      <c r="AC156" s="1">
        <f t="shared" si="118"/>
        <v>62059.020000000004</v>
      </c>
      <c r="AD156" s="1">
        <f t="shared" si="119"/>
        <v>0</v>
      </c>
    </row>
    <row r="157" spans="1:30" x14ac:dyDescent="0.2">
      <c r="A157" s="95">
        <f>'TAX Interest Rates'!A55</f>
        <v>44500</v>
      </c>
      <c r="B157" s="104">
        <f t="shared" ref="B157:P157" si="128">ROUND(-B45*B100,2)</f>
        <v>28740.75</v>
      </c>
      <c r="C157" s="104">
        <f t="shared" si="128"/>
        <v>0</v>
      </c>
      <c r="D157" s="104">
        <f t="shared" si="128"/>
        <v>3207.09</v>
      </c>
      <c r="E157" s="104">
        <f t="shared" si="128"/>
        <v>726.35</v>
      </c>
      <c r="F157" s="104">
        <f t="shared" si="128"/>
        <v>12.79</v>
      </c>
      <c r="G157" s="104">
        <f t="shared" si="128"/>
        <v>16550.18</v>
      </c>
      <c r="H157" s="104">
        <f t="shared" si="128"/>
        <v>1148.78</v>
      </c>
      <c r="I157" s="104">
        <f t="shared" si="128"/>
        <v>0</v>
      </c>
      <c r="J157" s="104">
        <f t="shared" si="128"/>
        <v>0</v>
      </c>
      <c r="K157" s="104">
        <f t="shared" si="128"/>
        <v>150.63</v>
      </c>
      <c r="L157" s="104">
        <f t="shared" si="128"/>
        <v>17350.97</v>
      </c>
      <c r="M157" s="104">
        <f t="shared" si="128"/>
        <v>4880.59</v>
      </c>
      <c r="N157" s="104">
        <f t="shared" si="128"/>
        <v>4941.7700000000004</v>
      </c>
      <c r="O157" s="104">
        <f t="shared" si="128"/>
        <v>2006.95</v>
      </c>
      <c r="P157" s="104">
        <f t="shared" si="128"/>
        <v>0</v>
      </c>
      <c r="R157" s="1">
        <f t="shared" si="108"/>
        <v>79716.850000000006</v>
      </c>
      <c r="T157" s="1">
        <f t="shared" si="109"/>
        <v>28740.75</v>
      </c>
      <c r="U157" s="1">
        <f t="shared" si="110"/>
        <v>3933.44</v>
      </c>
      <c r="V157" s="1">
        <f t="shared" si="111"/>
        <v>17711.75</v>
      </c>
      <c r="W157" s="1">
        <f t="shared" si="112"/>
        <v>0</v>
      </c>
      <c r="X157" s="1">
        <f t="shared" si="113"/>
        <v>150.63</v>
      </c>
      <c r="Y157" s="1">
        <f t="shared" si="114"/>
        <v>50536.57</v>
      </c>
      <c r="Z157" s="1">
        <f t="shared" si="115"/>
        <v>17350.97</v>
      </c>
      <c r="AA157" s="1">
        <f t="shared" si="116"/>
        <v>11829.310000000001</v>
      </c>
      <c r="AB157" s="1">
        <f t="shared" si="117"/>
        <v>29180.280000000002</v>
      </c>
      <c r="AC157" s="1">
        <f t="shared" si="118"/>
        <v>79716.850000000006</v>
      </c>
      <c r="AD157" s="1">
        <f t="shared" si="119"/>
        <v>0</v>
      </c>
    </row>
    <row r="158" spans="1:30" x14ac:dyDescent="0.2">
      <c r="A158" s="95">
        <f>'TAX Interest Rates'!A56</f>
        <v>44530</v>
      </c>
      <c r="B158" s="104">
        <f>ROUND(-B46*B100,2)</f>
        <v>37263.32</v>
      </c>
      <c r="C158" s="104">
        <f t="shared" ref="C158:P158" si="129">ROUND(-C46*C100,2)</f>
        <v>0</v>
      </c>
      <c r="D158" s="104">
        <f t="shared" si="129"/>
        <v>1806.93</v>
      </c>
      <c r="E158" s="104">
        <f t="shared" si="129"/>
        <v>595</v>
      </c>
      <c r="F158" s="104">
        <f t="shared" si="129"/>
        <v>0</v>
      </c>
      <c r="G158" s="104">
        <f t="shared" si="129"/>
        <v>19384.939999999999</v>
      </c>
      <c r="H158" s="104">
        <f t="shared" si="129"/>
        <v>1202.6600000000001</v>
      </c>
      <c r="I158" s="104">
        <f t="shared" si="129"/>
        <v>0</v>
      </c>
      <c r="J158" s="104">
        <f t="shared" si="129"/>
        <v>0</v>
      </c>
      <c r="K158" s="104">
        <f t="shared" si="129"/>
        <v>0</v>
      </c>
      <c r="L158" s="104">
        <f t="shared" si="129"/>
        <v>0</v>
      </c>
      <c r="M158" s="104">
        <f t="shared" si="129"/>
        <v>0</v>
      </c>
      <c r="N158" s="104">
        <f t="shared" si="129"/>
        <v>0</v>
      </c>
      <c r="O158" s="104">
        <f t="shared" si="129"/>
        <v>146.84</v>
      </c>
      <c r="P158" s="104">
        <f t="shared" si="129"/>
        <v>0</v>
      </c>
      <c r="R158" s="14">
        <f t="shared" si="108"/>
        <v>60399.69</v>
      </c>
      <c r="S158" s="1" t="s">
        <v>56</v>
      </c>
      <c r="T158" s="1">
        <f t="shared" si="109"/>
        <v>37263.32</v>
      </c>
      <c r="U158" s="1">
        <f t="shared" si="110"/>
        <v>2401.9300000000003</v>
      </c>
      <c r="V158" s="1">
        <f t="shared" si="111"/>
        <v>20587.599999999999</v>
      </c>
      <c r="W158" s="1">
        <f t="shared" si="112"/>
        <v>0</v>
      </c>
      <c r="X158" s="1">
        <f t="shared" si="113"/>
        <v>0</v>
      </c>
      <c r="Y158" s="1">
        <f t="shared" si="114"/>
        <v>60252.85</v>
      </c>
      <c r="Z158" s="1">
        <f t="shared" si="115"/>
        <v>0</v>
      </c>
      <c r="AA158" s="1">
        <f t="shared" si="116"/>
        <v>146.84</v>
      </c>
      <c r="AB158" s="1">
        <f t="shared" si="117"/>
        <v>146.84</v>
      </c>
      <c r="AC158" s="1">
        <f t="shared" si="118"/>
        <v>60399.689999999995</v>
      </c>
      <c r="AD158" s="1">
        <f t="shared" si="119"/>
        <v>3.780087354243733E-12</v>
      </c>
    </row>
    <row r="159" spans="1:30" x14ac:dyDescent="0.2">
      <c r="A159" s="95">
        <f>'TAX Interest Rates'!A56</f>
        <v>44530</v>
      </c>
      <c r="B159" s="104">
        <f>ROUND(-B47*B101,2)</f>
        <v>16896.46</v>
      </c>
      <c r="C159" s="104">
        <f t="shared" ref="C159:P159" si="130">ROUND(-C47*C101,2)</f>
        <v>0</v>
      </c>
      <c r="D159" s="104">
        <f t="shared" si="130"/>
        <v>650.42999999999995</v>
      </c>
      <c r="E159" s="104">
        <f t="shared" si="130"/>
        <v>216.68</v>
      </c>
      <c r="F159" s="104">
        <f t="shared" si="130"/>
        <v>21.47</v>
      </c>
      <c r="G159" s="104">
        <f t="shared" si="130"/>
        <v>7798.53</v>
      </c>
      <c r="H159" s="104">
        <f t="shared" si="130"/>
        <v>694.25</v>
      </c>
      <c r="I159" s="104">
        <f t="shared" si="130"/>
        <v>0</v>
      </c>
      <c r="J159" s="104">
        <f t="shared" si="130"/>
        <v>0</v>
      </c>
      <c r="K159" s="104">
        <f t="shared" si="130"/>
        <v>176.6</v>
      </c>
      <c r="L159" s="104">
        <f t="shared" si="130"/>
        <v>16646.02</v>
      </c>
      <c r="M159" s="104">
        <f t="shared" si="130"/>
        <v>6490.74</v>
      </c>
      <c r="N159" s="104">
        <f t="shared" si="130"/>
        <v>3820.92</v>
      </c>
      <c r="O159" s="104">
        <f t="shared" si="130"/>
        <v>215.74</v>
      </c>
      <c r="P159" s="104">
        <f t="shared" si="130"/>
        <v>0</v>
      </c>
      <c r="R159" s="14">
        <f t="shared" si="108"/>
        <v>53627.839999999997</v>
      </c>
      <c r="S159" s="1" t="s">
        <v>57</v>
      </c>
      <c r="T159" s="1">
        <f t="shared" si="109"/>
        <v>16896.46</v>
      </c>
      <c r="U159" s="1">
        <f t="shared" si="110"/>
        <v>867.1099999999999</v>
      </c>
      <c r="V159" s="1">
        <f t="shared" si="111"/>
        <v>8514.25</v>
      </c>
      <c r="W159" s="1">
        <f t="shared" si="112"/>
        <v>0</v>
      </c>
      <c r="X159" s="1">
        <f t="shared" si="113"/>
        <v>176.6</v>
      </c>
      <c r="Y159" s="1">
        <f t="shared" si="114"/>
        <v>26454.42</v>
      </c>
      <c r="Z159" s="1">
        <f t="shared" si="115"/>
        <v>16646.02</v>
      </c>
      <c r="AA159" s="1">
        <f t="shared" si="116"/>
        <v>10527.4</v>
      </c>
      <c r="AB159" s="1">
        <f t="shared" si="117"/>
        <v>27173.42</v>
      </c>
      <c r="AC159" s="1">
        <f t="shared" si="118"/>
        <v>53627.839999999997</v>
      </c>
      <c r="AD159" s="1">
        <f t="shared" si="119"/>
        <v>0</v>
      </c>
    </row>
    <row r="160" spans="1:30" x14ac:dyDescent="0.2">
      <c r="A160" s="95">
        <f>'TAX Interest Rates'!A57</f>
        <v>44561</v>
      </c>
      <c r="B160" s="14">
        <f>ROUND(-B48*B102,2)</f>
        <v>90690.79</v>
      </c>
      <c r="C160" s="14">
        <f t="shared" ref="C160:P160" si="131">ROUND(-C48*C102,2)</f>
        <v>0</v>
      </c>
      <c r="D160" s="14">
        <f t="shared" si="131"/>
        <v>3690.6</v>
      </c>
      <c r="E160" s="14">
        <f t="shared" si="131"/>
        <v>1009.61</v>
      </c>
      <c r="F160" s="14">
        <f t="shared" si="131"/>
        <v>59.64</v>
      </c>
      <c r="G160" s="14">
        <f t="shared" si="131"/>
        <v>45770.879999999997</v>
      </c>
      <c r="H160" s="14">
        <f t="shared" si="131"/>
        <v>2759.57</v>
      </c>
      <c r="I160" s="14">
        <f t="shared" si="131"/>
        <v>0</v>
      </c>
      <c r="J160" s="14">
        <f t="shared" si="131"/>
        <v>0</v>
      </c>
      <c r="K160" s="14">
        <f t="shared" si="131"/>
        <v>222.38</v>
      </c>
      <c r="L160" s="14">
        <f t="shared" si="131"/>
        <v>16306.32</v>
      </c>
      <c r="M160" s="14">
        <f t="shared" si="131"/>
        <v>4979.01</v>
      </c>
      <c r="N160" s="14">
        <f t="shared" si="131"/>
        <v>4108.53</v>
      </c>
      <c r="O160" s="14">
        <f t="shared" si="131"/>
        <v>235.55</v>
      </c>
      <c r="P160" s="14">
        <f t="shared" si="131"/>
        <v>0</v>
      </c>
      <c r="Q160" s="14"/>
      <c r="R160" s="14">
        <f t="shared" si="108"/>
        <v>169832.88</v>
      </c>
      <c r="S160" s="14"/>
      <c r="T160" s="14">
        <f t="shared" si="109"/>
        <v>90690.79</v>
      </c>
      <c r="U160" s="14">
        <f t="shared" si="110"/>
        <v>4700.21</v>
      </c>
      <c r="V160" s="14">
        <f t="shared" si="111"/>
        <v>48590.09</v>
      </c>
      <c r="W160" s="14">
        <f t="shared" si="112"/>
        <v>0</v>
      </c>
      <c r="X160" s="14">
        <f t="shared" si="113"/>
        <v>222.38</v>
      </c>
      <c r="Y160" s="14">
        <f t="shared" si="114"/>
        <v>144203.47</v>
      </c>
      <c r="Z160" s="14">
        <f t="shared" si="115"/>
        <v>16306.32</v>
      </c>
      <c r="AA160" s="14">
        <f t="shared" si="116"/>
        <v>9323.09</v>
      </c>
      <c r="AB160" s="14">
        <f t="shared" si="117"/>
        <v>25629.41</v>
      </c>
      <c r="AC160" s="14">
        <f t="shared" si="118"/>
        <v>169832.88</v>
      </c>
      <c r="AD160" s="14">
        <f t="shared" si="119"/>
        <v>0</v>
      </c>
    </row>
    <row r="161" spans="1:38" x14ac:dyDescent="0.2">
      <c r="A161" s="95">
        <f>'TAX Interest Rates'!A58</f>
        <v>44592</v>
      </c>
      <c r="B161" s="14">
        <f t="shared" ref="B161:P161" si="132">ROUND(-B49*B103,2)</f>
        <v>0</v>
      </c>
      <c r="C161" s="14">
        <f t="shared" si="132"/>
        <v>0</v>
      </c>
      <c r="D161" s="14">
        <f t="shared" si="132"/>
        <v>0</v>
      </c>
      <c r="E161" s="14">
        <f t="shared" si="132"/>
        <v>0</v>
      </c>
      <c r="F161" s="14">
        <f t="shared" si="132"/>
        <v>-59.64</v>
      </c>
      <c r="G161" s="14">
        <f t="shared" si="132"/>
        <v>0</v>
      </c>
      <c r="H161" s="14">
        <f t="shared" si="132"/>
        <v>-224.52</v>
      </c>
      <c r="I161" s="14">
        <f t="shared" si="132"/>
        <v>0</v>
      </c>
      <c r="J161" s="14">
        <f t="shared" si="132"/>
        <v>0</v>
      </c>
      <c r="K161" s="14">
        <f t="shared" si="132"/>
        <v>-222.38</v>
      </c>
      <c r="L161" s="14">
        <f t="shared" si="132"/>
        <v>-16306.32</v>
      </c>
      <c r="M161" s="14">
        <f t="shared" si="132"/>
        <v>-4979.01</v>
      </c>
      <c r="N161" s="14">
        <f t="shared" si="132"/>
        <v>-4108.53</v>
      </c>
      <c r="O161" s="14">
        <f t="shared" si="132"/>
        <v>-235.55</v>
      </c>
      <c r="P161" s="14">
        <f t="shared" si="132"/>
        <v>0</v>
      </c>
      <c r="Q161" s="14"/>
      <c r="R161" s="14">
        <f t="shared" ref="R161:R171" si="133">SUM(B161:Q161)</f>
        <v>-26135.95</v>
      </c>
      <c r="S161" s="14"/>
      <c r="T161" s="14">
        <f t="shared" ref="T161:T171" si="134">+B161</f>
        <v>0</v>
      </c>
      <c r="U161" s="14">
        <f t="shared" ref="U161:U171" si="135">+C161+D161+E161</f>
        <v>0</v>
      </c>
      <c r="V161" s="14">
        <f t="shared" ref="V161:V171" si="136">+F161+G161+H161</f>
        <v>-284.16000000000003</v>
      </c>
      <c r="W161" s="14">
        <f t="shared" ref="W161:W171" si="137">+I161+J161</f>
        <v>0</v>
      </c>
      <c r="X161" s="14">
        <f t="shared" ref="X161:X171" si="138">+K161</f>
        <v>-222.38</v>
      </c>
      <c r="Y161" s="14">
        <f t="shared" ref="Y161:Y171" si="139">SUM(T161:X161)</f>
        <v>-506.54</v>
      </c>
      <c r="Z161" s="14">
        <f t="shared" ref="Z161:Z171" si="140">+L161</f>
        <v>-16306.32</v>
      </c>
      <c r="AA161" s="14">
        <f t="shared" ref="AA161:AA171" si="141">+M161+N161+O161+P161</f>
        <v>-9323.09</v>
      </c>
      <c r="AB161" s="14">
        <f t="shared" ref="AB161:AB171" si="142">SUM(Z161:AA161)</f>
        <v>-25629.41</v>
      </c>
      <c r="AC161" s="14">
        <f t="shared" ref="AC161:AC171" si="143">+Y161+AB161</f>
        <v>-26135.95</v>
      </c>
      <c r="AD161" s="14">
        <f t="shared" ref="AD161:AD171" si="144">+R161-Y161-AB161</f>
        <v>0</v>
      </c>
    </row>
    <row r="162" spans="1:38" x14ac:dyDescent="0.2">
      <c r="A162" s="95">
        <f>'TAX Interest Rates'!A59</f>
        <v>44620</v>
      </c>
      <c r="B162" s="14">
        <f t="shared" ref="B162:P162" si="145">ROUND(-B50*B104,2)</f>
        <v>0</v>
      </c>
      <c r="C162" s="14">
        <f t="shared" si="145"/>
        <v>0</v>
      </c>
      <c r="D162" s="14">
        <f t="shared" si="145"/>
        <v>0</v>
      </c>
      <c r="E162" s="14">
        <f t="shared" si="145"/>
        <v>0</v>
      </c>
      <c r="F162" s="14">
        <f t="shared" si="145"/>
        <v>0</v>
      </c>
      <c r="G162" s="14">
        <f t="shared" si="145"/>
        <v>0</v>
      </c>
      <c r="H162" s="14">
        <f t="shared" si="145"/>
        <v>0</v>
      </c>
      <c r="I162" s="14">
        <f t="shared" si="145"/>
        <v>0</v>
      </c>
      <c r="J162" s="14">
        <f t="shared" si="145"/>
        <v>0</v>
      </c>
      <c r="K162" s="14">
        <f t="shared" si="145"/>
        <v>0</v>
      </c>
      <c r="L162" s="14">
        <f t="shared" si="145"/>
        <v>0</v>
      </c>
      <c r="M162" s="14">
        <f t="shared" si="145"/>
        <v>0</v>
      </c>
      <c r="N162" s="14">
        <f t="shared" si="145"/>
        <v>0</v>
      </c>
      <c r="O162" s="14">
        <f t="shared" si="145"/>
        <v>0</v>
      </c>
      <c r="P162" s="14">
        <f t="shared" si="145"/>
        <v>0</v>
      </c>
      <c r="Q162" s="14"/>
      <c r="R162" s="14">
        <f t="shared" si="133"/>
        <v>0</v>
      </c>
      <c r="S162" s="14"/>
      <c r="T162" s="14">
        <f t="shared" si="134"/>
        <v>0</v>
      </c>
      <c r="U162" s="14">
        <f t="shared" si="135"/>
        <v>0</v>
      </c>
      <c r="V162" s="14">
        <f t="shared" si="136"/>
        <v>0</v>
      </c>
      <c r="W162" s="14">
        <f t="shared" si="137"/>
        <v>0</v>
      </c>
      <c r="X162" s="14">
        <f t="shared" si="138"/>
        <v>0</v>
      </c>
      <c r="Y162" s="14">
        <f t="shared" si="139"/>
        <v>0</v>
      </c>
      <c r="Z162" s="14">
        <f t="shared" si="140"/>
        <v>0</v>
      </c>
      <c r="AA162" s="14">
        <f t="shared" si="141"/>
        <v>0</v>
      </c>
      <c r="AB162" s="14">
        <f t="shared" si="142"/>
        <v>0</v>
      </c>
      <c r="AC162" s="14">
        <f t="shared" si="143"/>
        <v>0</v>
      </c>
      <c r="AD162" s="14">
        <f t="shared" si="144"/>
        <v>0</v>
      </c>
    </row>
    <row r="163" spans="1:38" x14ac:dyDescent="0.2">
      <c r="A163" s="95">
        <f>'TAX Interest Rates'!A60</f>
        <v>44651</v>
      </c>
      <c r="B163" s="14">
        <f t="shared" ref="B163:P163" si="146">ROUND(-B51*B105,2)</f>
        <v>0</v>
      </c>
      <c r="C163" s="14">
        <f t="shared" si="146"/>
        <v>0</v>
      </c>
      <c r="D163" s="14">
        <f t="shared" si="146"/>
        <v>0</v>
      </c>
      <c r="E163" s="14">
        <f t="shared" si="146"/>
        <v>0</v>
      </c>
      <c r="F163" s="14">
        <f t="shared" si="146"/>
        <v>0</v>
      </c>
      <c r="G163" s="14">
        <f t="shared" si="146"/>
        <v>0</v>
      </c>
      <c r="H163" s="14">
        <f t="shared" si="146"/>
        <v>0</v>
      </c>
      <c r="I163" s="14">
        <f t="shared" si="146"/>
        <v>0</v>
      </c>
      <c r="J163" s="14">
        <f t="shared" si="146"/>
        <v>0</v>
      </c>
      <c r="K163" s="14">
        <f t="shared" si="146"/>
        <v>0</v>
      </c>
      <c r="L163" s="14">
        <f t="shared" si="146"/>
        <v>0</v>
      </c>
      <c r="M163" s="14">
        <f t="shared" si="146"/>
        <v>0</v>
      </c>
      <c r="N163" s="14">
        <f t="shared" si="146"/>
        <v>0</v>
      </c>
      <c r="O163" s="14">
        <f t="shared" si="146"/>
        <v>0</v>
      </c>
      <c r="P163" s="14">
        <f t="shared" si="146"/>
        <v>0</v>
      </c>
      <c r="Q163" s="14"/>
      <c r="R163" s="14">
        <f t="shared" si="133"/>
        <v>0</v>
      </c>
      <c r="S163" s="14"/>
      <c r="T163" s="14">
        <f t="shared" si="134"/>
        <v>0</v>
      </c>
      <c r="U163" s="14">
        <f t="shared" si="135"/>
        <v>0</v>
      </c>
      <c r="V163" s="14">
        <f t="shared" si="136"/>
        <v>0</v>
      </c>
      <c r="W163" s="14">
        <f t="shared" si="137"/>
        <v>0</v>
      </c>
      <c r="X163" s="14">
        <f t="shared" si="138"/>
        <v>0</v>
      </c>
      <c r="Y163" s="14">
        <f t="shared" si="139"/>
        <v>0</v>
      </c>
      <c r="Z163" s="14">
        <f t="shared" si="140"/>
        <v>0</v>
      </c>
      <c r="AA163" s="14">
        <f t="shared" si="141"/>
        <v>0</v>
      </c>
      <c r="AB163" s="14">
        <f t="shared" si="142"/>
        <v>0</v>
      </c>
      <c r="AC163" s="14">
        <f t="shared" si="143"/>
        <v>0</v>
      </c>
      <c r="AD163" s="14">
        <f t="shared" si="144"/>
        <v>0</v>
      </c>
    </row>
    <row r="164" spans="1:38" x14ac:dyDescent="0.2">
      <c r="A164" s="95">
        <f>'TAX Interest Rates'!A61</f>
        <v>44681</v>
      </c>
      <c r="B164" s="14">
        <f t="shared" ref="B164:P164" si="147">ROUND(-B52*B106,2)</f>
        <v>0</v>
      </c>
      <c r="C164" s="14">
        <f t="shared" si="147"/>
        <v>0</v>
      </c>
      <c r="D164" s="14">
        <f t="shared" si="147"/>
        <v>0</v>
      </c>
      <c r="E164" s="14">
        <f t="shared" si="147"/>
        <v>0</v>
      </c>
      <c r="F164" s="14">
        <f t="shared" si="147"/>
        <v>0</v>
      </c>
      <c r="G164" s="14">
        <f t="shared" si="147"/>
        <v>0</v>
      </c>
      <c r="H164" s="14">
        <f t="shared" si="147"/>
        <v>0</v>
      </c>
      <c r="I164" s="14">
        <f t="shared" si="147"/>
        <v>0</v>
      </c>
      <c r="J164" s="14">
        <f t="shared" si="147"/>
        <v>0</v>
      </c>
      <c r="K164" s="14">
        <f t="shared" si="147"/>
        <v>0</v>
      </c>
      <c r="L164" s="14">
        <f t="shared" si="147"/>
        <v>0</v>
      </c>
      <c r="M164" s="14">
        <f t="shared" si="147"/>
        <v>0</v>
      </c>
      <c r="N164" s="14">
        <f t="shared" si="147"/>
        <v>0</v>
      </c>
      <c r="O164" s="14">
        <f t="shared" si="147"/>
        <v>0</v>
      </c>
      <c r="P164" s="14">
        <f t="shared" si="147"/>
        <v>0</v>
      </c>
      <c r="Q164" s="14"/>
      <c r="R164" s="14">
        <f t="shared" si="133"/>
        <v>0</v>
      </c>
      <c r="S164" s="14"/>
      <c r="T164" s="14">
        <f t="shared" si="134"/>
        <v>0</v>
      </c>
      <c r="U164" s="14">
        <f t="shared" si="135"/>
        <v>0</v>
      </c>
      <c r="V164" s="14">
        <f t="shared" si="136"/>
        <v>0</v>
      </c>
      <c r="W164" s="14">
        <f t="shared" si="137"/>
        <v>0</v>
      </c>
      <c r="X164" s="14">
        <f t="shared" si="138"/>
        <v>0</v>
      </c>
      <c r="Y164" s="14">
        <f t="shared" si="139"/>
        <v>0</v>
      </c>
      <c r="Z164" s="14">
        <f t="shared" si="140"/>
        <v>0</v>
      </c>
      <c r="AA164" s="14">
        <f t="shared" si="141"/>
        <v>0</v>
      </c>
      <c r="AB164" s="14">
        <f t="shared" si="142"/>
        <v>0</v>
      </c>
      <c r="AC164" s="14">
        <f t="shared" si="143"/>
        <v>0</v>
      </c>
      <c r="AD164" s="14">
        <f t="shared" si="144"/>
        <v>0</v>
      </c>
    </row>
    <row r="165" spans="1:38" hidden="1" x14ac:dyDescent="0.2">
      <c r="A165" s="95">
        <f>'TAX Interest Rates'!A62</f>
        <v>44712</v>
      </c>
      <c r="B165" s="14">
        <f t="shared" ref="B165:P165" si="148">ROUND(-B53*B107,2)</f>
        <v>0</v>
      </c>
      <c r="C165" s="14">
        <f t="shared" si="148"/>
        <v>0</v>
      </c>
      <c r="D165" s="14">
        <f t="shared" si="148"/>
        <v>0</v>
      </c>
      <c r="E165" s="14">
        <f t="shared" si="148"/>
        <v>0</v>
      </c>
      <c r="F165" s="14">
        <f t="shared" si="148"/>
        <v>0</v>
      </c>
      <c r="G165" s="14">
        <f t="shared" si="148"/>
        <v>0</v>
      </c>
      <c r="H165" s="14">
        <f t="shared" si="148"/>
        <v>0</v>
      </c>
      <c r="I165" s="14">
        <f t="shared" si="148"/>
        <v>0</v>
      </c>
      <c r="J165" s="14">
        <f t="shared" si="148"/>
        <v>0</v>
      </c>
      <c r="K165" s="14">
        <f t="shared" si="148"/>
        <v>0</v>
      </c>
      <c r="L165" s="14">
        <f t="shared" si="148"/>
        <v>0</v>
      </c>
      <c r="M165" s="14">
        <f t="shared" si="148"/>
        <v>0</v>
      </c>
      <c r="N165" s="14">
        <f t="shared" si="148"/>
        <v>0</v>
      </c>
      <c r="O165" s="14">
        <f t="shared" si="148"/>
        <v>0</v>
      </c>
      <c r="P165" s="14">
        <f t="shared" si="148"/>
        <v>0</v>
      </c>
      <c r="Q165" s="14"/>
      <c r="R165" s="14">
        <f t="shared" si="133"/>
        <v>0</v>
      </c>
      <c r="S165" s="14"/>
      <c r="T165" s="14">
        <f t="shared" si="134"/>
        <v>0</v>
      </c>
      <c r="U165" s="14">
        <f t="shared" si="135"/>
        <v>0</v>
      </c>
      <c r="V165" s="14">
        <f t="shared" si="136"/>
        <v>0</v>
      </c>
      <c r="W165" s="14">
        <f t="shared" si="137"/>
        <v>0</v>
      </c>
      <c r="X165" s="14">
        <f t="shared" si="138"/>
        <v>0</v>
      </c>
      <c r="Y165" s="14">
        <f t="shared" si="139"/>
        <v>0</v>
      </c>
      <c r="Z165" s="14">
        <f t="shared" si="140"/>
        <v>0</v>
      </c>
      <c r="AA165" s="14">
        <f t="shared" si="141"/>
        <v>0</v>
      </c>
      <c r="AB165" s="14">
        <f t="shared" si="142"/>
        <v>0</v>
      </c>
      <c r="AC165" s="14">
        <f t="shared" si="143"/>
        <v>0</v>
      </c>
      <c r="AD165" s="14">
        <f t="shared" si="144"/>
        <v>0</v>
      </c>
    </row>
    <row r="166" spans="1:38" hidden="1" x14ac:dyDescent="0.2">
      <c r="A166" s="95">
        <f>'TAX Interest Rates'!A63</f>
        <v>44742</v>
      </c>
      <c r="B166" s="14">
        <f t="shared" ref="B166:P166" si="149">ROUND(-B54*B108,2)</f>
        <v>0</v>
      </c>
      <c r="C166" s="14">
        <f t="shared" si="149"/>
        <v>0</v>
      </c>
      <c r="D166" s="14">
        <f t="shared" si="149"/>
        <v>0</v>
      </c>
      <c r="E166" s="14">
        <f t="shared" si="149"/>
        <v>0</v>
      </c>
      <c r="F166" s="14">
        <f t="shared" si="149"/>
        <v>0</v>
      </c>
      <c r="G166" s="14">
        <f t="shared" si="149"/>
        <v>0</v>
      </c>
      <c r="H166" s="14">
        <f t="shared" si="149"/>
        <v>0</v>
      </c>
      <c r="I166" s="14">
        <f t="shared" si="149"/>
        <v>0</v>
      </c>
      <c r="J166" s="14">
        <f t="shared" si="149"/>
        <v>0</v>
      </c>
      <c r="K166" s="14">
        <f t="shared" si="149"/>
        <v>0</v>
      </c>
      <c r="L166" s="14">
        <f t="shared" si="149"/>
        <v>0</v>
      </c>
      <c r="M166" s="14">
        <f t="shared" si="149"/>
        <v>0</v>
      </c>
      <c r="N166" s="14">
        <f t="shared" si="149"/>
        <v>0</v>
      </c>
      <c r="O166" s="14">
        <f t="shared" si="149"/>
        <v>0</v>
      </c>
      <c r="P166" s="14">
        <f t="shared" si="149"/>
        <v>0</v>
      </c>
      <c r="Q166" s="14"/>
      <c r="R166" s="14">
        <f t="shared" si="133"/>
        <v>0</v>
      </c>
      <c r="S166" s="14"/>
      <c r="T166" s="14">
        <f t="shared" si="134"/>
        <v>0</v>
      </c>
      <c r="U166" s="14">
        <f t="shared" si="135"/>
        <v>0</v>
      </c>
      <c r="V166" s="14">
        <f t="shared" si="136"/>
        <v>0</v>
      </c>
      <c r="W166" s="14">
        <f t="shared" si="137"/>
        <v>0</v>
      </c>
      <c r="X166" s="14">
        <f t="shared" si="138"/>
        <v>0</v>
      </c>
      <c r="Y166" s="14">
        <f t="shared" si="139"/>
        <v>0</v>
      </c>
      <c r="Z166" s="14">
        <f t="shared" si="140"/>
        <v>0</v>
      </c>
      <c r="AA166" s="14">
        <f t="shared" si="141"/>
        <v>0</v>
      </c>
      <c r="AB166" s="14">
        <f t="shared" si="142"/>
        <v>0</v>
      </c>
      <c r="AC166" s="14">
        <f t="shared" si="143"/>
        <v>0</v>
      </c>
      <c r="AD166" s="14">
        <f t="shared" si="144"/>
        <v>0</v>
      </c>
    </row>
    <row r="167" spans="1:38" hidden="1" x14ac:dyDescent="0.2">
      <c r="A167" s="95">
        <f>'TAX Interest Rates'!A64</f>
        <v>44773</v>
      </c>
      <c r="B167" s="14">
        <f t="shared" ref="B167:P167" si="150">ROUND(-B55*B109,2)</f>
        <v>0</v>
      </c>
      <c r="C167" s="14">
        <f t="shared" si="150"/>
        <v>0</v>
      </c>
      <c r="D167" s="14">
        <f t="shared" si="150"/>
        <v>0</v>
      </c>
      <c r="E167" s="14">
        <f t="shared" si="150"/>
        <v>0</v>
      </c>
      <c r="F167" s="14">
        <f t="shared" si="150"/>
        <v>0</v>
      </c>
      <c r="G167" s="14">
        <f t="shared" si="150"/>
        <v>0</v>
      </c>
      <c r="H167" s="14">
        <f t="shared" si="150"/>
        <v>0</v>
      </c>
      <c r="I167" s="14">
        <f t="shared" si="150"/>
        <v>0</v>
      </c>
      <c r="J167" s="14">
        <f t="shared" si="150"/>
        <v>0</v>
      </c>
      <c r="K167" s="14">
        <f t="shared" si="150"/>
        <v>0</v>
      </c>
      <c r="L167" s="14">
        <f t="shared" si="150"/>
        <v>0</v>
      </c>
      <c r="M167" s="14">
        <f t="shared" si="150"/>
        <v>0</v>
      </c>
      <c r="N167" s="14">
        <f t="shared" si="150"/>
        <v>0</v>
      </c>
      <c r="O167" s="14">
        <f t="shared" si="150"/>
        <v>0</v>
      </c>
      <c r="P167" s="14">
        <f t="shared" si="150"/>
        <v>0</v>
      </c>
      <c r="Q167" s="14"/>
      <c r="R167" s="14">
        <f t="shared" si="133"/>
        <v>0</v>
      </c>
      <c r="S167" s="14"/>
      <c r="T167" s="14">
        <f t="shared" si="134"/>
        <v>0</v>
      </c>
      <c r="U167" s="14">
        <f t="shared" si="135"/>
        <v>0</v>
      </c>
      <c r="V167" s="14">
        <f t="shared" si="136"/>
        <v>0</v>
      </c>
      <c r="W167" s="14">
        <f t="shared" si="137"/>
        <v>0</v>
      </c>
      <c r="X167" s="14">
        <f t="shared" si="138"/>
        <v>0</v>
      </c>
      <c r="Y167" s="14">
        <f t="shared" si="139"/>
        <v>0</v>
      </c>
      <c r="Z167" s="14">
        <f t="shared" si="140"/>
        <v>0</v>
      </c>
      <c r="AA167" s="14">
        <f t="shared" si="141"/>
        <v>0</v>
      </c>
      <c r="AB167" s="14">
        <f t="shared" si="142"/>
        <v>0</v>
      </c>
      <c r="AC167" s="14">
        <f t="shared" si="143"/>
        <v>0</v>
      </c>
      <c r="AD167" s="14">
        <f t="shared" si="144"/>
        <v>0</v>
      </c>
    </row>
    <row r="168" spans="1:38" hidden="1" x14ac:dyDescent="0.2">
      <c r="A168" s="95">
        <f>'TAX Interest Rates'!A65</f>
        <v>44804</v>
      </c>
      <c r="B168" s="14">
        <f t="shared" ref="B168:P168" si="151">ROUND(-B56*B110,2)</f>
        <v>0</v>
      </c>
      <c r="C168" s="14">
        <f t="shared" si="151"/>
        <v>0</v>
      </c>
      <c r="D168" s="14">
        <f t="shared" si="151"/>
        <v>0</v>
      </c>
      <c r="E168" s="14">
        <f t="shared" si="151"/>
        <v>0</v>
      </c>
      <c r="F168" s="14">
        <f t="shared" si="151"/>
        <v>0</v>
      </c>
      <c r="G168" s="14">
        <f t="shared" si="151"/>
        <v>0</v>
      </c>
      <c r="H168" s="14">
        <f t="shared" si="151"/>
        <v>0</v>
      </c>
      <c r="I168" s="14">
        <f t="shared" si="151"/>
        <v>0</v>
      </c>
      <c r="J168" s="14">
        <f t="shared" si="151"/>
        <v>0</v>
      </c>
      <c r="K168" s="14">
        <f t="shared" si="151"/>
        <v>0</v>
      </c>
      <c r="L168" s="14">
        <f t="shared" si="151"/>
        <v>0</v>
      </c>
      <c r="M168" s="14">
        <f t="shared" si="151"/>
        <v>0</v>
      </c>
      <c r="N168" s="14">
        <f t="shared" si="151"/>
        <v>0</v>
      </c>
      <c r="O168" s="14">
        <f t="shared" si="151"/>
        <v>0</v>
      </c>
      <c r="P168" s="14">
        <f t="shared" si="151"/>
        <v>0</v>
      </c>
      <c r="Q168" s="14"/>
      <c r="R168" s="14">
        <f t="shared" si="133"/>
        <v>0</v>
      </c>
      <c r="S168" s="14"/>
      <c r="T168" s="14">
        <f t="shared" si="134"/>
        <v>0</v>
      </c>
      <c r="U168" s="14">
        <f t="shared" si="135"/>
        <v>0</v>
      </c>
      <c r="V168" s="14">
        <f t="shared" si="136"/>
        <v>0</v>
      </c>
      <c r="W168" s="14">
        <f t="shared" si="137"/>
        <v>0</v>
      </c>
      <c r="X168" s="14">
        <f t="shared" si="138"/>
        <v>0</v>
      </c>
      <c r="Y168" s="14">
        <f t="shared" si="139"/>
        <v>0</v>
      </c>
      <c r="Z168" s="14">
        <f t="shared" si="140"/>
        <v>0</v>
      </c>
      <c r="AA168" s="14">
        <f t="shared" si="141"/>
        <v>0</v>
      </c>
      <c r="AB168" s="14">
        <f t="shared" si="142"/>
        <v>0</v>
      </c>
      <c r="AC168" s="14">
        <f t="shared" si="143"/>
        <v>0</v>
      </c>
      <c r="AD168" s="14">
        <f t="shared" si="144"/>
        <v>0</v>
      </c>
    </row>
    <row r="169" spans="1:38" hidden="1" x14ac:dyDescent="0.2">
      <c r="A169" s="95">
        <f>'TAX Interest Rates'!A66</f>
        <v>44834</v>
      </c>
      <c r="B169" s="14">
        <f t="shared" ref="B169:P169" si="152">ROUND(-B57*B111,2)</f>
        <v>0</v>
      </c>
      <c r="C169" s="14">
        <f t="shared" si="152"/>
        <v>0</v>
      </c>
      <c r="D169" s="14">
        <f t="shared" si="152"/>
        <v>0</v>
      </c>
      <c r="E169" s="14">
        <f t="shared" si="152"/>
        <v>0</v>
      </c>
      <c r="F169" s="14">
        <f t="shared" si="152"/>
        <v>0</v>
      </c>
      <c r="G169" s="14">
        <f t="shared" si="152"/>
        <v>0</v>
      </c>
      <c r="H169" s="14">
        <f t="shared" si="152"/>
        <v>0</v>
      </c>
      <c r="I169" s="14">
        <f t="shared" si="152"/>
        <v>0</v>
      </c>
      <c r="J169" s="14">
        <f t="shared" si="152"/>
        <v>0</v>
      </c>
      <c r="K169" s="14">
        <f t="shared" si="152"/>
        <v>0</v>
      </c>
      <c r="L169" s="14">
        <f t="shared" si="152"/>
        <v>0</v>
      </c>
      <c r="M169" s="14">
        <f t="shared" si="152"/>
        <v>0</v>
      </c>
      <c r="N169" s="14">
        <f t="shared" si="152"/>
        <v>0</v>
      </c>
      <c r="O169" s="14">
        <f t="shared" si="152"/>
        <v>0</v>
      </c>
      <c r="P169" s="14">
        <f t="shared" si="152"/>
        <v>0</v>
      </c>
      <c r="Q169" s="14"/>
      <c r="R169" s="14">
        <f t="shared" si="133"/>
        <v>0</v>
      </c>
      <c r="S169" s="14"/>
      <c r="T169" s="14">
        <f t="shared" si="134"/>
        <v>0</v>
      </c>
      <c r="U169" s="14">
        <f t="shared" si="135"/>
        <v>0</v>
      </c>
      <c r="V169" s="14">
        <f t="shared" si="136"/>
        <v>0</v>
      </c>
      <c r="W169" s="14">
        <f t="shared" si="137"/>
        <v>0</v>
      </c>
      <c r="X169" s="14">
        <f t="shared" si="138"/>
        <v>0</v>
      </c>
      <c r="Y169" s="14">
        <f t="shared" si="139"/>
        <v>0</v>
      </c>
      <c r="Z169" s="14">
        <f t="shared" si="140"/>
        <v>0</v>
      </c>
      <c r="AA169" s="14">
        <f t="shared" si="141"/>
        <v>0</v>
      </c>
      <c r="AB169" s="14">
        <f t="shared" si="142"/>
        <v>0</v>
      </c>
      <c r="AC169" s="14">
        <f t="shared" si="143"/>
        <v>0</v>
      </c>
      <c r="AD169" s="14">
        <f t="shared" si="144"/>
        <v>0</v>
      </c>
    </row>
    <row r="170" spans="1:38" hidden="1" x14ac:dyDescent="0.2">
      <c r="A170" s="95">
        <f>'TAX Interest Rates'!A67</f>
        <v>44865</v>
      </c>
      <c r="B170" s="14">
        <f t="shared" ref="B170:P170" si="153">ROUND(-B58*B112,2)</f>
        <v>0</v>
      </c>
      <c r="C170" s="14">
        <f t="shared" si="153"/>
        <v>0</v>
      </c>
      <c r="D170" s="14">
        <f t="shared" si="153"/>
        <v>0</v>
      </c>
      <c r="E170" s="14">
        <f t="shared" si="153"/>
        <v>0</v>
      </c>
      <c r="F170" s="14">
        <f t="shared" si="153"/>
        <v>0</v>
      </c>
      <c r="G170" s="14">
        <f t="shared" si="153"/>
        <v>0</v>
      </c>
      <c r="H170" s="14">
        <f t="shared" si="153"/>
        <v>0</v>
      </c>
      <c r="I170" s="14">
        <f t="shared" si="153"/>
        <v>0</v>
      </c>
      <c r="J170" s="14">
        <f t="shared" si="153"/>
        <v>0</v>
      </c>
      <c r="K170" s="14">
        <f t="shared" si="153"/>
        <v>0</v>
      </c>
      <c r="L170" s="14">
        <f t="shared" si="153"/>
        <v>0</v>
      </c>
      <c r="M170" s="14">
        <f t="shared" si="153"/>
        <v>0</v>
      </c>
      <c r="N170" s="14">
        <f t="shared" si="153"/>
        <v>0</v>
      </c>
      <c r="O170" s="14">
        <f t="shared" si="153"/>
        <v>0</v>
      </c>
      <c r="P170" s="14">
        <f t="shared" si="153"/>
        <v>0</v>
      </c>
      <c r="Q170" s="14"/>
      <c r="R170" s="14">
        <f t="shared" si="133"/>
        <v>0</v>
      </c>
      <c r="S170" s="14"/>
      <c r="T170" s="14">
        <f t="shared" si="134"/>
        <v>0</v>
      </c>
      <c r="U170" s="14">
        <f t="shared" si="135"/>
        <v>0</v>
      </c>
      <c r="V170" s="14">
        <f t="shared" si="136"/>
        <v>0</v>
      </c>
      <c r="W170" s="14">
        <f t="shared" si="137"/>
        <v>0</v>
      </c>
      <c r="X170" s="14">
        <f t="shared" si="138"/>
        <v>0</v>
      </c>
      <c r="Y170" s="14">
        <f t="shared" si="139"/>
        <v>0</v>
      </c>
      <c r="Z170" s="14">
        <f t="shared" si="140"/>
        <v>0</v>
      </c>
      <c r="AA170" s="14">
        <f t="shared" si="141"/>
        <v>0</v>
      </c>
      <c r="AB170" s="14">
        <f t="shared" si="142"/>
        <v>0</v>
      </c>
      <c r="AC170" s="14">
        <f t="shared" si="143"/>
        <v>0</v>
      </c>
      <c r="AD170" s="14">
        <f t="shared" si="144"/>
        <v>0</v>
      </c>
    </row>
    <row r="171" spans="1:38" hidden="1" x14ac:dyDescent="0.2">
      <c r="A171" s="1">
        <f>'TAX Interest Rates'!A68</f>
        <v>44895</v>
      </c>
      <c r="B171" s="14">
        <f t="shared" ref="B171:P171" si="154">ROUND(-B59*B113,2)</f>
        <v>0</v>
      </c>
      <c r="C171" s="14">
        <f t="shared" si="154"/>
        <v>0</v>
      </c>
      <c r="D171" s="14">
        <f t="shared" si="154"/>
        <v>0</v>
      </c>
      <c r="E171" s="14">
        <f t="shared" si="154"/>
        <v>0</v>
      </c>
      <c r="F171" s="14">
        <f t="shared" si="154"/>
        <v>0</v>
      </c>
      <c r="G171" s="14">
        <f t="shared" si="154"/>
        <v>0</v>
      </c>
      <c r="H171" s="14">
        <f t="shared" si="154"/>
        <v>0</v>
      </c>
      <c r="I171" s="14">
        <f t="shared" si="154"/>
        <v>0</v>
      </c>
      <c r="J171" s="14">
        <f t="shared" si="154"/>
        <v>0</v>
      </c>
      <c r="K171" s="14">
        <f t="shared" si="154"/>
        <v>0</v>
      </c>
      <c r="L171" s="14">
        <f t="shared" si="154"/>
        <v>0</v>
      </c>
      <c r="M171" s="14">
        <f t="shared" si="154"/>
        <v>0</v>
      </c>
      <c r="N171" s="14">
        <f t="shared" si="154"/>
        <v>0</v>
      </c>
      <c r="O171" s="14">
        <f t="shared" si="154"/>
        <v>0</v>
      </c>
      <c r="P171" s="14">
        <f t="shared" si="154"/>
        <v>0</v>
      </c>
      <c r="Q171" s="14"/>
      <c r="R171" s="14">
        <f t="shared" si="133"/>
        <v>0</v>
      </c>
      <c r="S171" s="14"/>
      <c r="T171" s="14">
        <f t="shared" si="134"/>
        <v>0</v>
      </c>
      <c r="U171" s="14">
        <f t="shared" si="135"/>
        <v>0</v>
      </c>
      <c r="V171" s="14">
        <f t="shared" si="136"/>
        <v>0</v>
      </c>
      <c r="W171" s="14">
        <f t="shared" si="137"/>
        <v>0</v>
      </c>
      <c r="X171" s="14">
        <f t="shared" si="138"/>
        <v>0</v>
      </c>
      <c r="Y171" s="14">
        <f t="shared" si="139"/>
        <v>0</v>
      </c>
      <c r="Z171" s="14">
        <f t="shared" si="140"/>
        <v>0</v>
      </c>
      <c r="AA171" s="14">
        <f t="shared" si="141"/>
        <v>0</v>
      </c>
      <c r="AB171" s="14">
        <f t="shared" si="142"/>
        <v>0</v>
      </c>
      <c r="AC171" s="14">
        <f t="shared" si="143"/>
        <v>0</v>
      </c>
      <c r="AD171" s="14">
        <f t="shared" si="144"/>
        <v>0</v>
      </c>
    </row>
    <row r="173" spans="1:38" x14ac:dyDescent="0.2">
      <c r="U173" s="95"/>
      <c r="AL173" s="1">
        <f>SUM(V173:AI173)</f>
        <v>0</v>
      </c>
    </row>
    <row r="174" spans="1:38" x14ac:dyDescent="0.2">
      <c r="U174" s="95"/>
      <c r="AL174" s="1">
        <f t="shared" ref="AL174:AL196" si="155">SUM(V174:AI174)</f>
        <v>0</v>
      </c>
    </row>
    <row r="175" spans="1:38" x14ac:dyDescent="0.2">
      <c r="U175" s="95"/>
      <c r="AL175" s="1">
        <f t="shared" si="155"/>
        <v>0</v>
      </c>
    </row>
    <row r="176" spans="1:38" x14ac:dyDescent="0.2">
      <c r="U176" s="95"/>
      <c r="AL176" s="1">
        <f t="shared" si="155"/>
        <v>0</v>
      </c>
    </row>
    <row r="177" spans="21:39" x14ac:dyDescent="0.2">
      <c r="U177" s="95"/>
      <c r="AL177" s="1">
        <f t="shared" si="155"/>
        <v>0</v>
      </c>
    </row>
    <row r="178" spans="21:39" x14ac:dyDescent="0.2">
      <c r="U178" s="95"/>
      <c r="AL178" s="1">
        <f t="shared" si="155"/>
        <v>0</v>
      </c>
    </row>
    <row r="179" spans="21:39" x14ac:dyDescent="0.2">
      <c r="U179" s="95"/>
      <c r="AL179" s="1">
        <f t="shared" si="155"/>
        <v>0</v>
      </c>
    </row>
    <row r="180" spans="21:39" x14ac:dyDescent="0.2">
      <c r="U180" s="95"/>
      <c r="AL180" s="1">
        <f t="shared" si="155"/>
        <v>0</v>
      </c>
    </row>
    <row r="181" spans="21:39" x14ac:dyDescent="0.2">
      <c r="U181" s="95"/>
      <c r="AL181" s="1">
        <f t="shared" si="155"/>
        <v>0</v>
      </c>
    </row>
    <row r="182" spans="21:39" x14ac:dyDescent="0.2">
      <c r="U182" s="95"/>
      <c r="AL182" s="1">
        <f t="shared" si="155"/>
        <v>0</v>
      </c>
    </row>
    <row r="183" spans="21:39" x14ac:dyDescent="0.2">
      <c r="U183" s="95"/>
      <c r="AL183" s="1">
        <f t="shared" si="155"/>
        <v>0</v>
      </c>
    </row>
    <row r="184" spans="21:39" x14ac:dyDescent="0.2">
      <c r="U184" s="95"/>
      <c r="AL184" s="1">
        <f t="shared" si="155"/>
        <v>0</v>
      </c>
    </row>
    <row r="185" spans="21:39" x14ac:dyDescent="0.2">
      <c r="U185" s="95"/>
      <c r="AL185" s="1">
        <f t="shared" si="155"/>
        <v>0</v>
      </c>
    </row>
    <row r="186" spans="21:39" x14ac:dyDescent="0.2">
      <c r="U186" s="95"/>
      <c r="AL186" s="1">
        <f t="shared" si="155"/>
        <v>0</v>
      </c>
    </row>
    <row r="187" spans="21:39" x14ac:dyDescent="0.2">
      <c r="U187" s="95"/>
      <c r="AL187" s="1">
        <f t="shared" si="155"/>
        <v>0</v>
      </c>
    </row>
    <row r="188" spans="21:39" x14ac:dyDescent="0.2">
      <c r="U188" s="95"/>
      <c r="AL188" s="1">
        <f t="shared" si="155"/>
        <v>0</v>
      </c>
    </row>
    <row r="189" spans="21:39" x14ac:dyDescent="0.2">
      <c r="U189" s="95"/>
      <c r="AL189" s="1">
        <f t="shared" si="155"/>
        <v>0</v>
      </c>
      <c r="AM189" s="1">
        <f>SUM(AL173:AL189)</f>
        <v>0</v>
      </c>
    </row>
    <row r="190" spans="21:39" x14ac:dyDescent="0.2">
      <c r="U190" s="95"/>
      <c r="AJ190" s="1">
        <f t="shared" ref="X190:AJ194" si="156">+AJ42*AJ97</f>
        <v>0</v>
      </c>
      <c r="AL190" s="1">
        <f t="shared" si="155"/>
        <v>0</v>
      </c>
    </row>
    <row r="191" spans="21:39" x14ac:dyDescent="0.2">
      <c r="U191" s="95"/>
      <c r="AJ191" s="1">
        <f t="shared" ref="V191:AJ194" si="157">+AJ43*AJ98</f>
        <v>0</v>
      </c>
      <c r="AL191" s="1">
        <f t="shared" si="155"/>
        <v>0</v>
      </c>
    </row>
    <row r="192" spans="21:39" x14ac:dyDescent="0.2">
      <c r="U192" s="95"/>
      <c r="AJ192" s="1">
        <f t="shared" si="156"/>
        <v>0</v>
      </c>
      <c r="AL192" s="1">
        <f t="shared" si="155"/>
        <v>0</v>
      </c>
    </row>
    <row r="193" spans="21:39" x14ac:dyDescent="0.2">
      <c r="U193" s="95"/>
      <c r="AJ193" s="1">
        <f t="shared" si="156"/>
        <v>0</v>
      </c>
      <c r="AL193" s="1">
        <f t="shared" si="155"/>
        <v>0</v>
      </c>
    </row>
    <row r="194" spans="21:39" x14ac:dyDescent="0.2">
      <c r="U194" s="95"/>
      <c r="AJ194" s="1">
        <f t="shared" si="156"/>
        <v>0</v>
      </c>
      <c r="AL194" s="1">
        <f t="shared" si="155"/>
        <v>0</v>
      </c>
    </row>
    <row r="195" spans="21:39" x14ac:dyDescent="0.2">
      <c r="U195" s="95"/>
      <c r="AJ195" s="1">
        <f t="shared" ref="X195:AJ195" si="158">+AJ47*AJ101</f>
        <v>0</v>
      </c>
      <c r="AL195" s="1">
        <f t="shared" si="155"/>
        <v>0</v>
      </c>
    </row>
    <row r="196" spans="21:39" x14ac:dyDescent="0.2">
      <c r="U196" s="95"/>
      <c r="AJ196" s="1">
        <f t="shared" ref="X196:AJ196" si="159">+AJ48*AJ102</f>
        <v>0</v>
      </c>
      <c r="AL196" s="1">
        <f t="shared" si="155"/>
        <v>0</v>
      </c>
      <c r="AM196" s="1">
        <f>SUM(AL190:AL196)</f>
        <v>0</v>
      </c>
    </row>
    <row r="197" spans="21:39" x14ac:dyDescent="0.2">
      <c r="U197" s="95"/>
    </row>
  </sheetData>
  <mergeCells count="4">
    <mergeCell ref="C2:E2"/>
    <mergeCell ref="F2:H2"/>
    <mergeCell ref="I2:J2"/>
    <mergeCell ref="M2:P2"/>
  </mergeCells>
  <printOptions horizontalCentered="1"/>
  <pageMargins left="0.25" right="0.25" top="0.75" bottom="0.75" header="0.3" footer="0.3"/>
  <pageSetup scale="91" orientation="landscape" r:id="rId1"/>
  <headerFooter>
    <oddFooter xml:space="preserve">&amp;LWA Tax Deferral Accounts&amp;C&amp;A&amp;R47WA.2540.20481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64"/>
  <sheetViews>
    <sheetView view="pageBreakPreview" zoomScaleNormal="100" zoomScaleSheetLayoutView="100" workbookViewId="0">
      <selection activeCell="P11" sqref="P11"/>
    </sheetView>
  </sheetViews>
  <sheetFormatPr defaultColWidth="8.88671875" defaultRowHeight="12.75" outlineLevelCol="1" x14ac:dyDescent="0.2"/>
  <cols>
    <col min="1" max="2" width="8.88671875" style="1"/>
    <col min="3" max="3" width="10.109375" style="1" customWidth="1"/>
    <col min="4" max="4" width="8.88671875" style="1"/>
    <col min="5" max="5" width="10.21875" style="1" customWidth="1"/>
    <col min="6" max="6" width="8.88671875" style="1"/>
    <col min="7" max="7" width="13.109375" style="1" customWidth="1"/>
    <col min="8" max="8" width="11.6640625" style="1" customWidth="1"/>
    <col min="9" max="9" width="1.21875" style="1" customWidth="1"/>
    <col min="10" max="10" width="10.77734375" style="1" hidden="1" customWidth="1" outlineLevel="1"/>
    <col min="11" max="11" width="9.88671875" style="1" hidden="1" customWidth="1" outlineLevel="1"/>
    <col min="12" max="12" width="9" style="15" hidden="1" customWidth="1" outlineLevel="1"/>
    <col min="13" max="13" width="10.33203125" style="15" hidden="1" customWidth="1" outlineLevel="1"/>
    <col min="14" max="14" width="3.6640625" style="1" customWidth="1" collapsed="1"/>
    <col min="15" max="16384" width="8.88671875" style="1"/>
  </cols>
  <sheetData>
    <row r="1" spans="1:16" x14ac:dyDescent="0.2">
      <c r="A1" s="126" t="s">
        <v>6</v>
      </c>
      <c r="B1" s="127"/>
      <c r="C1" s="128" t="s">
        <v>7</v>
      </c>
      <c r="D1" s="128"/>
      <c r="E1" s="128"/>
      <c r="F1" s="128"/>
      <c r="G1" s="128"/>
      <c r="H1" s="129"/>
      <c r="I1" s="79"/>
      <c r="J1" s="16"/>
    </row>
    <row r="2" spans="1:16" x14ac:dyDescent="0.2">
      <c r="A2" s="122" t="s">
        <v>8</v>
      </c>
      <c r="B2" s="123"/>
      <c r="C2" s="124" t="s">
        <v>43</v>
      </c>
      <c r="D2" s="124"/>
      <c r="E2" s="124"/>
      <c r="F2" s="124"/>
      <c r="G2" s="124"/>
      <c r="H2" s="125"/>
      <c r="I2" s="79"/>
      <c r="J2" s="16"/>
    </row>
    <row r="3" spans="1:16" x14ac:dyDescent="0.2">
      <c r="A3" s="122" t="s">
        <v>9</v>
      </c>
      <c r="B3" s="123"/>
      <c r="C3" s="124" t="s">
        <v>42</v>
      </c>
      <c r="D3" s="124"/>
      <c r="E3" s="124"/>
      <c r="F3" s="124"/>
      <c r="G3" s="124"/>
      <c r="H3" s="125"/>
      <c r="I3" s="79"/>
      <c r="J3" s="16"/>
    </row>
    <row r="4" spans="1:16" x14ac:dyDescent="0.2">
      <c r="A4" s="122" t="s">
        <v>10</v>
      </c>
      <c r="B4" s="123"/>
      <c r="C4" s="124"/>
      <c r="D4" s="124"/>
      <c r="E4" s="124"/>
      <c r="F4" s="124"/>
      <c r="G4" s="124"/>
      <c r="H4" s="125"/>
      <c r="I4" s="79"/>
      <c r="J4" s="16"/>
    </row>
    <row r="5" spans="1:16" x14ac:dyDescent="0.2">
      <c r="A5" s="122" t="s">
        <v>11</v>
      </c>
      <c r="B5" s="123"/>
      <c r="C5" s="124" t="s">
        <v>18</v>
      </c>
      <c r="D5" s="124"/>
      <c r="E5" s="124"/>
      <c r="F5" s="124"/>
      <c r="G5" s="124"/>
      <c r="H5" s="125"/>
      <c r="I5" s="79"/>
      <c r="J5" s="16"/>
    </row>
    <row r="6" spans="1:16" x14ac:dyDescent="0.2">
      <c r="A6" s="122" t="s">
        <v>12</v>
      </c>
      <c r="B6" s="123"/>
      <c r="C6" s="124" t="s">
        <v>72</v>
      </c>
      <c r="D6" s="124"/>
      <c r="E6" s="124"/>
      <c r="F6" s="124"/>
      <c r="G6" s="124"/>
      <c r="H6" s="125"/>
      <c r="I6" s="79"/>
      <c r="J6" s="16"/>
    </row>
    <row r="7" spans="1:16" ht="13.5" thickBot="1" x14ac:dyDescent="0.25">
      <c r="A7" s="116" t="s">
        <v>13</v>
      </c>
      <c r="B7" s="117"/>
      <c r="C7" s="118" t="s">
        <v>35</v>
      </c>
      <c r="D7" s="118"/>
      <c r="E7" s="118"/>
      <c r="F7" s="118"/>
      <c r="G7" s="118"/>
      <c r="H7" s="119"/>
      <c r="I7" s="80"/>
      <c r="J7" s="19"/>
    </row>
    <row r="8" spans="1:16" x14ac:dyDescent="0.2">
      <c r="A8" s="23"/>
      <c r="B8" s="23"/>
      <c r="C8" s="24"/>
      <c r="D8" s="24"/>
      <c r="E8" s="24"/>
      <c r="F8" s="24"/>
      <c r="G8" s="24"/>
      <c r="H8" s="24"/>
      <c r="I8" s="24"/>
      <c r="K8" s="25"/>
    </row>
    <row r="9" spans="1:16" x14ac:dyDescent="0.2">
      <c r="A9" s="2"/>
      <c r="D9" s="120" t="s">
        <v>19</v>
      </c>
      <c r="E9" s="120"/>
      <c r="F9" s="120"/>
    </row>
    <row r="10" spans="1:16" s="57" customFormat="1" ht="40.5" customHeight="1" x14ac:dyDescent="0.2">
      <c r="A10" s="3" t="s">
        <v>20</v>
      </c>
      <c r="B10" s="3" t="s">
        <v>4</v>
      </c>
      <c r="C10" s="3" t="s">
        <v>5</v>
      </c>
      <c r="D10" s="3" t="s">
        <v>14</v>
      </c>
      <c r="E10" s="3" t="s">
        <v>15</v>
      </c>
      <c r="F10" s="3" t="s">
        <v>2</v>
      </c>
      <c r="G10" s="3" t="s">
        <v>0</v>
      </c>
      <c r="H10" s="3" t="s">
        <v>1</v>
      </c>
      <c r="I10" s="81"/>
      <c r="J10" s="3" t="s">
        <v>21</v>
      </c>
      <c r="K10" s="3" t="s">
        <v>22</v>
      </c>
      <c r="L10" s="13" t="s">
        <v>16</v>
      </c>
      <c r="M10" s="13" t="s">
        <v>17</v>
      </c>
      <c r="O10" s="57" t="s">
        <v>15</v>
      </c>
      <c r="P10" s="57" t="s">
        <v>75</v>
      </c>
    </row>
    <row r="11" spans="1:16" x14ac:dyDescent="0.2">
      <c r="A11" s="20"/>
      <c r="B11" s="20"/>
      <c r="C11" s="20"/>
      <c r="D11" s="20"/>
      <c r="E11" s="20"/>
      <c r="F11" s="20"/>
      <c r="G11" s="20"/>
      <c r="H11" s="18"/>
      <c r="I11" s="82"/>
      <c r="J11" s="19"/>
    </row>
    <row r="12" spans="1:16" x14ac:dyDescent="0.2">
      <c r="A12" s="121" t="s">
        <v>39</v>
      </c>
      <c r="B12" s="121"/>
      <c r="C12" s="121"/>
      <c r="D12" s="121"/>
      <c r="E12" s="121"/>
      <c r="F12" s="121"/>
      <c r="G12" s="18">
        <v>-231637.15</v>
      </c>
      <c r="H12" s="18"/>
      <c r="I12" s="82"/>
      <c r="J12" s="26"/>
      <c r="K12" s="14"/>
    </row>
    <row r="13" spans="1:16" x14ac:dyDescent="0.2">
      <c r="A13" s="121"/>
      <c r="B13" s="121"/>
      <c r="C13" s="121"/>
      <c r="D13" s="121"/>
      <c r="E13" s="121"/>
      <c r="F13" s="121"/>
      <c r="G13" s="18"/>
      <c r="H13" s="18">
        <f>SUM(G12:G12)</f>
        <v>-231637.15</v>
      </c>
      <c r="I13" s="82"/>
      <c r="J13" s="19"/>
    </row>
    <row r="14" spans="1:16" x14ac:dyDescent="0.2">
      <c r="A14" s="17">
        <v>43343</v>
      </c>
      <c r="B14" s="32" t="s">
        <v>32</v>
      </c>
      <c r="C14" s="31">
        <f>+'Protected EDIT Gross up'!R4</f>
        <v>61836631</v>
      </c>
      <c r="D14" s="14">
        <f>5676.52-32280.1</f>
        <v>-26603.579999999998</v>
      </c>
      <c r="E14" s="18">
        <f>+'Protected EDIT Gross up'!R116</f>
        <v>11388.77</v>
      </c>
      <c r="F14" s="18">
        <v>0</v>
      </c>
      <c r="G14" s="18"/>
      <c r="H14" s="18">
        <f>SUM(D14:G14)+H13</f>
        <v>-246851.96</v>
      </c>
      <c r="I14" s="82"/>
      <c r="J14" s="26">
        <v>-246851.96</v>
      </c>
      <c r="K14" s="1">
        <f>J14-H14</f>
        <v>0</v>
      </c>
      <c r="L14" s="15" t="s">
        <v>55</v>
      </c>
      <c r="M14" s="76">
        <v>43364</v>
      </c>
      <c r="O14" s="1">
        <f>+E14</f>
        <v>11388.77</v>
      </c>
    </row>
    <row r="15" spans="1:16" x14ac:dyDescent="0.2">
      <c r="A15" s="17">
        <v>43373</v>
      </c>
      <c r="B15" s="32" t="s">
        <v>32</v>
      </c>
      <c r="C15" s="31">
        <f>+'Protected EDIT Gross up'!R5</f>
        <v>69221884</v>
      </c>
      <c r="D15" s="14">
        <v>-32280.09</v>
      </c>
      <c r="E15" s="18">
        <f>+'Protected EDIT Gross up'!R117</f>
        <v>17498.43</v>
      </c>
      <c r="F15" s="18">
        <v>0</v>
      </c>
      <c r="G15" s="18"/>
      <c r="H15" s="18">
        <f t="shared" ref="H15:H24" si="0">SUM(D15:G15)+H14</f>
        <v>-261633.62</v>
      </c>
      <c r="I15" s="82"/>
      <c r="J15" s="26">
        <v>-261633.62</v>
      </c>
      <c r="K15" s="14">
        <f>J15-H15</f>
        <v>0</v>
      </c>
      <c r="L15" s="15" t="s">
        <v>55</v>
      </c>
      <c r="M15" s="76">
        <v>43381</v>
      </c>
      <c r="O15" s="1">
        <f t="shared" ref="O15:O54" si="1">+E15</f>
        <v>17498.43</v>
      </c>
    </row>
    <row r="16" spans="1:16" x14ac:dyDescent="0.2">
      <c r="A16" s="17">
        <v>43404</v>
      </c>
      <c r="B16" s="32" t="s">
        <v>32</v>
      </c>
      <c r="C16" s="31">
        <f>+'Protected EDIT Gross up'!R6</f>
        <v>58118580</v>
      </c>
      <c r="D16" s="14">
        <v>-32280.09</v>
      </c>
      <c r="E16" s="18">
        <f>+'Protected EDIT Gross up'!R118</f>
        <v>21654.06</v>
      </c>
      <c r="F16" s="18">
        <v>0</v>
      </c>
      <c r="G16" s="19"/>
      <c r="H16" s="21">
        <f t="shared" si="0"/>
        <v>-272259.65000000002</v>
      </c>
      <c r="I16" s="83"/>
      <c r="J16" s="26">
        <v>-272259.65000000002</v>
      </c>
      <c r="K16" s="14">
        <f t="shared" ref="K16:K30" si="2">J16-H16</f>
        <v>0</v>
      </c>
      <c r="L16" s="15" t="s">
        <v>55</v>
      </c>
      <c r="M16" s="76">
        <v>43411</v>
      </c>
      <c r="O16" s="1">
        <f t="shared" si="1"/>
        <v>21654.06</v>
      </c>
    </row>
    <row r="17" spans="1:16" x14ac:dyDescent="0.2">
      <c r="A17" s="17">
        <v>43434</v>
      </c>
      <c r="B17" s="32" t="s">
        <v>60</v>
      </c>
      <c r="C17" s="31">
        <f>+'Protected EDIT Gross up'!R8+'Protected EDIT Gross up'!R7</f>
        <v>43389765</v>
      </c>
      <c r="D17" s="14">
        <v>-32280.09</v>
      </c>
      <c r="E17" s="18">
        <f>+'Protected EDIT Gross up'!R119+'Protected EDIT Gross up'!R120</f>
        <v>27988.36</v>
      </c>
      <c r="F17" s="18">
        <v>0</v>
      </c>
      <c r="G17" s="19"/>
      <c r="H17" s="21">
        <f t="shared" si="0"/>
        <v>-276551.38</v>
      </c>
      <c r="I17" s="83"/>
      <c r="J17" s="1">
        <v>-276551.38</v>
      </c>
      <c r="K17" s="14">
        <f t="shared" si="2"/>
        <v>0</v>
      </c>
      <c r="L17" s="15" t="s">
        <v>55</v>
      </c>
      <c r="M17" s="76">
        <v>43444</v>
      </c>
      <c r="O17" s="1">
        <f t="shared" si="1"/>
        <v>27988.36</v>
      </c>
    </row>
    <row r="18" spans="1:16" x14ac:dyDescent="0.2">
      <c r="A18" s="17">
        <v>43465</v>
      </c>
      <c r="B18" s="32" t="s">
        <v>32</v>
      </c>
      <c r="C18" s="31">
        <f>+'Protected EDIT Gross up'!R9</f>
        <v>80158637</v>
      </c>
      <c r="D18" s="14">
        <v>-53471.98</v>
      </c>
      <c r="E18" s="18">
        <f>+'Protected EDIT Gross up'!R121</f>
        <v>55207.250000000007</v>
      </c>
      <c r="F18" s="18">
        <v>0</v>
      </c>
      <c r="G18" s="19"/>
      <c r="H18" s="21">
        <f t="shared" si="0"/>
        <v>-274816.11</v>
      </c>
      <c r="I18" s="83"/>
      <c r="J18" s="1">
        <v>-274816.11</v>
      </c>
      <c r="K18" s="14">
        <f t="shared" si="2"/>
        <v>0</v>
      </c>
      <c r="L18" s="15" t="s">
        <v>55</v>
      </c>
      <c r="M18" s="76">
        <v>43482</v>
      </c>
      <c r="O18" s="1">
        <f t="shared" si="1"/>
        <v>55207.250000000007</v>
      </c>
      <c r="P18" s="1">
        <f>SUM(O14:O18)</f>
        <v>133736.87</v>
      </c>
    </row>
    <row r="19" spans="1:16" x14ac:dyDescent="0.2">
      <c r="A19" s="17">
        <v>43496</v>
      </c>
      <c r="B19" s="32" t="s">
        <v>32</v>
      </c>
      <c r="C19" s="31">
        <f>+'Protected EDIT Gross up'!R10</f>
        <v>86264908</v>
      </c>
      <c r="D19" s="14">
        <v>-36453.050000000003</v>
      </c>
      <c r="E19" s="18">
        <f>+'Protected EDIT Gross up'!R122</f>
        <v>62003.169999999991</v>
      </c>
      <c r="F19" s="18">
        <v>0</v>
      </c>
      <c r="G19" s="19"/>
      <c r="H19" s="21">
        <f t="shared" si="0"/>
        <v>-249265.99</v>
      </c>
      <c r="I19" s="83"/>
      <c r="J19" s="1">
        <v>-249265.99</v>
      </c>
      <c r="K19" s="14">
        <f t="shared" si="2"/>
        <v>0</v>
      </c>
      <c r="L19" s="15" t="s">
        <v>55</v>
      </c>
      <c r="M19" s="76">
        <v>43531</v>
      </c>
      <c r="O19" s="1">
        <f t="shared" si="1"/>
        <v>62003.169999999991</v>
      </c>
    </row>
    <row r="20" spans="1:16" x14ac:dyDescent="0.2">
      <c r="A20" s="17">
        <v>43524</v>
      </c>
      <c r="B20" s="32" t="s">
        <v>32</v>
      </c>
      <c r="C20" s="31">
        <f>+'Protected EDIT Gross up'!R11</f>
        <v>82269503</v>
      </c>
      <c r="D20" s="14">
        <v>-36453.050000000003</v>
      </c>
      <c r="E20" s="18">
        <f>+'Protected EDIT Gross up'!R123</f>
        <v>64860.140000000007</v>
      </c>
      <c r="F20" s="18">
        <v>0</v>
      </c>
      <c r="G20" s="19"/>
      <c r="H20" s="21">
        <f t="shared" si="0"/>
        <v>-220858.9</v>
      </c>
      <c r="I20" s="83"/>
      <c r="J20" s="1">
        <v>-220858.9</v>
      </c>
      <c r="K20" s="14">
        <f t="shared" si="2"/>
        <v>0</v>
      </c>
      <c r="L20" s="15" t="s">
        <v>55</v>
      </c>
      <c r="M20" s="76">
        <v>43531</v>
      </c>
      <c r="O20" s="1">
        <f t="shared" si="1"/>
        <v>64860.140000000007</v>
      </c>
    </row>
    <row r="21" spans="1:16" x14ac:dyDescent="0.2">
      <c r="A21" s="17">
        <v>43555</v>
      </c>
      <c r="B21" s="32" t="s">
        <v>32</v>
      </c>
      <c r="C21" s="31">
        <f>+'Protected EDIT Gross up'!R12</f>
        <v>84736435</v>
      </c>
      <c r="D21" s="14">
        <v>-36453.050000000003</v>
      </c>
      <c r="E21" s="18">
        <f>+'Protected EDIT Gross up'!R124</f>
        <v>70318.19</v>
      </c>
      <c r="F21" s="18">
        <v>0</v>
      </c>
      <c r="G21" s="19"/>
      <c r="H21" s="21">
        <f t="shared" si="0"/>
        <v>-186993.76</v>
      </c>
      <c r="I21" s="83"/>
      <c r="J21" s="1">
        <v>-186993.76</v>
      </c>
      <c r="K21" s="14">
        <f t="shared" si="2"/>
        <v>0</v>
      </c>
      <c r="L21" s="15" t="s">
        <v>55</v>
      </c>
      <c r="M21" s="76">
        <v>43560</v>
      </c>
      <c r="O21" s="1">
        <f t="shared" si="1"/>
        <v>70318.19</v>
      </c>
    </row>
    <row r="22" spans="1:16" x14ac:dyDescent="0.2">
      <c r="A22" s="17">
        <v>43585</v>
      </c>
      <c r="B22" s="32" t="s">
        <v>32</v>
      </c>
      <c r="C22" s="31">
        <f>+'Protected EDIT Gross up'!R13</f>
        <v>62230455</v>
      </c>
      <c r="D22" s="14">
        <v>-36453.050000000003</v>
      </c>
      <c r="E22" s="18">
        <f>+'Protected EDIT Gross up'!R125</f>
        <v>41714.250000000007</v>
      </c>
      <c r="F22" s="18">
        <v>0</v>
      </c>
      <c r="H22" s="21">
        <f t="shared" si="0"/>
        <v>-181732.56</v>
      </c>
      <c r="I22" s="83"/>
      <c r="J22" s="1">
        <v>-181732.56</v>
      </c>
      <c r="K22" s="14">
        <f t="shared" si="2"/>
        <v>0</v>
      </c>
      <c r="L22" s="15" t="s">
        <v>55</v>
      </c>
      <c r="M22" s="76">
        <v>43593</v>
      </c>
      <c r="O22" s="1">
        <f t="shared" si="1"/>
        <v>41714.250000000007</v>
      </c>
    </row>
    <row r="23" spans="1:16" x14ac:dyDescent="0.2">
      <c r="A23" s="17">
        <v>43616</v>
      </c>
      <c r="B23" s="32" t="s">
        <v>32</v>
      </c>
      <c r="C23" s="31">
        <f>+'Protected EDIT Gross up'!R14</f>
        <v>50477479</v>
      </c>
      <c r="D23" s="14">
        <v>-36453.050000000003</v>
      </c>
      <c r="E23" s="18">
        <f>+'Protected EDIT Gross up'!R126</f>
        <v>27050.95</v>
      </c>
      <c r="F23" s="18">
        <v>0</v>
      </c>
      <c r="H23" s="21">
        <f t="shared" si="0"/>
        <v>-191134.66</v>
      </c>
      <c r="I23" s="83"/>
      <c r="J23" s="1">
        <v>-191134.66</v>
      </c>
      <c r="K23" s="14">
        <f t="shared" si="2"/>
        <v>0</v>
      </c>
      <c r="L23" s="15" t="s">
        <v>55</v>
      </c>
      <c r="M23" s="76">
        <v>43623</v>
      </c>
      <c r="O23" s="1">
        <f t="shared" si="1"/>
        <v>27050.95</v>
      </c>
    </row>
    <row r="24" spans="1:16" x14ac:dyDescent="0.2">
      <c r="A24" s="17">
        <v>43646</v>
      </c>
      <c r="B24" s="32" t="s">
        <v>32</v>
      </c>
      <c r="C24" s="31">
        <f>+'Protected EDIT Gross up'!R15</f>
        <v>51732018</v>
      </c>
      <c r="D24" s="14">
        <v>-36453.050000000003</v>
      </c>
      <c r="E24" s="18">
        <f>+'Protected EDIT Gross up'!R127</f>
        <v>19272.579999999998</v>
      </c>
      <c r="F24" s="18">
        <v>0</v>
      </c>
      <c r="H24" s="21">
        <f t="shared" si="0"/>
        <v>-208315.13</v>
      </c>
      <c r="I24" s="83"/>
      <c r="J24" s="1">
        <v>-208315.13</v>
      </c>
      <c r="K24" s="14">
        <f t="shared" si="2"/>
        <v>0</v>
      </c>
      <c r="L24" s="15" t="s">
        <v>55</v>
      </c>
      <c r="M24" s="76">
        <v>43654</v>
      </c>
      <c r="O24" s="1">
        <f t="shared" si="1"/>
        <v>19272.579999999998</v>
      </c>
    </row>
    <row r="25" spans="1:16" x14ac:dyDescent="0.2">
      <c r="A25" s="17">
        <v>43677</v>
      </c>
      <c r="B25" s="32" t="s">
        <v>32</v>
      </c>
      <c r="C25" s="31">
        <f>+'Protected EDIT Gross up'!R16</f>
        <v>67400695</v>
      </c>
      <c r="D25" s="14">
        <v>-36453.050000000003</v>
      </c>
      <c r="E25" s="18">
        <f>+'Protected EDIT Gross up'!R128</f>
        <v>19747.38</v>
      </c>
      <c r="F25" s="18">
        <v>0</v>
      </c>
      <c r="H25" s="21">
        <f t="shared" ref="H25:H30" si="3">SUM(D25:G25)+H24</f>
        <v>-225020.80000000002</v>
      </c>
      <c r="I25" s="83"/>
      <c r="J25" s="1">
        <v>-225020.79999999999</v>
      </c>
      <c r="K25" s="14">
        <f t="shared" si="2"/>
        <v>0</v>
      </c>
      <c r="L25" s="15" t="s">
        <v>55</v>
      </c>
      <c r="M25" s="76">
        <v>43685</v>
      </c>
      <c r="O25" s="1">
        <f t="shared" si="1"/>
        <v>19747.38</v>
      </c>
    </row>
    <row r="26" spans="1:16" x14ac:dyDescent="0.2">
      <c r="A26" s="17">
        <v>43708</v>
      </c>
      <c r="B26" s="32" t="s">
        <v>32</v>
      </c>
      <c r="C26" s="31">
        <f>+'Protected EDIT Gross up'!R17</f>
        <v>76438837</v>
      </c>
      <c r="D26" s="14">
        <v>-36453.050000000003</v>
      </c>
      <c r="E26" s="18">
        <f>+'Protected EDIT Gross up'!R129</f>
        <v>20108.5</v>
      </c>
      <c r="F26" s="18">
        <v>0</v>
      </c>
      <c r="H26" s="21">
        <f t="shared" si="3"/>
        <v>-241365.35000000003</v>
      </c>
      <c r="I26" s="83"/>
      <c r="J26" s="1">
        <v>-241365.35</v>
      </c>
      <c r="K26" s="14">
        <f t="shared" si="2"/>
        <v>0</v>
      </c>
      <c r="L26" s="15" t="s">
        <v>55</v>
      </c>
      <c r="M26" s="76">
        <v>43717</v>
      </c>
      <c r="O26" s="1">
        <f t="shared" si="1"/>
        <v>20108.5</v>
      </c>
    </row>
    <row r="27" spans="1:16" x14ac:dyDescent="0.2">
      <c r="A27" s="17">
        <v>43738</v>
      </c>
      <c r="B27" s="32" t="s">
        <v>32</v>
      </c>
      <c r="C27" s="31">
        <f>+'Protected EDIT Gross up'!R18</f>
        <v>73218474</v>
      </c>
      <c r="D27" s="14">
        <v>-36453.050000000003</v>
      </c>
      <c r="E27" s="18">
        <f>+'Protected EDIT Gross up'!R130</f>
        <v>19361.68</v>
      </c>
      <c r="F27" s="18">
        <v>0</v>
      </c>
      <c r="H27" s="21">
        <f t="shared" si="3"/>
        <v>-258456.72000000003</v>
      </c>
      <c r="I27" s="83"/>
      <c r="J27" s="1">
        <v>-258456.72</v>
      </c>
      <c r="K27" s="14">
        <f t="shared" si="2"/>
        <v>0</v>
      </c>
      <c r="L27" s="15" t="s">
        <v>55</v>
      </c>
      <c r="M27" s="76">
        <v>43745</v>
      </c>
      <c r="O27" s="1">
        <f t="shared" si="1"/>
        <v>19361.68</v>
      </c>
    </row>
    <row r="28" spans="1:16" x14ac:dyDescent="0.2">
      <c r="A28" s="17">
        <v>43769</v>
      </c>
      <c r="B28" s="32" t="s">
        <v>32</v>
      </c>
      <c r="C28" s="31">
        <f>+'Protected EDIT Gross up'!R19</f>
        <v>62211815</v>
      </c>
      <c r="D28" s="14">
        <v>-36453.050000000003</v>
      </c>
      <c r="E28" s="18">
        <f>+'Protected EDIT Gross up'!R131</f>
        <v>27682.620000000003</v>
      </c>
      <c r="F28" s="18">
        <v>0</v>
      </c>
      <c r="H28" s="21">
        <f t="shared" si="3"/>
        <v>-267227.15000000002</v>
      </c>
      <c r="I28" s="83"/>
      <c r="J28" s="1">
        <v>-267227.15000000002</v>
      </c>
      <c r="K28" s="14">
        <f t="shared" si="2"/>
        <v>0</v>
      </c>
      <c r="L28" s="15" t="s">
        <v>55</v>
      </c>
      <c r="M28" s="76">
        <v>43776</v>
      </c>
      <c r="O28" s="1">
        <f t="shared" si="1"/>
        <v>27682.620000000003</v>
      </c>
    </row>
    <row r="29" spans="1:16" x14ac:dyDescent="0.2">
      <c r="A29" s="17">
        <v>43799</v>
      </c>
      <c r="B29" s="32" t="s">
        <v>60</v>
      </c>
      <c r="C29" s="31">
        <f>+'Protected EDIT Gross up'!R20+'Protected EDIT Gross up'!R21</f>
        <v>72608604</v>
      </c>
      <c r="D29" s="14">
        <v>-36453.050000000003</v>
      </c>
      <c r="E29" s="18">
        <f>+'Protected EDIT Gross up'!R132+'Protected EDIT Gross up'!R133</f>
        <v>44105.55</v>
      </c>
      <c r="F29" s="18">
        <v>0</v>
      </c>
      <c r="H29" s="21">
        <f t="shared" si="3"/>
        <v>-259574.65000000002</v>
      </c>
      <c r="I29" s="83"/>
      <c r="J29" s="1">
        <v>-259574.65</v>
      </c>
      <c r="K29" s="14">
        <f t="shared" si="2"/>
        <v>0</v>
      </c>
      <c r="L29" s="15" t="s">
        <v>55</v>
      </c>
      <c r="M29" s="76">
        <v>43808</v>
      </c>
      <c r="O29" s="1">
        <f t="shared" si="1"/>
        <v>44105.55</v>
      </c>
    </row>
    <row r="30" spans="1:16" x14ac:dyDescent="0.2">
      <c r="A30" s="17">
        <v>43830</v>
      </c>
      <c r="B30" s="32" t="s">
        <v>32</v>
      </c>
      <c r="C30" s="31">
        <f>+'Protected EDIT Gross up'!R22</f>
        <v>95612394</v>
      </c>
      <c r="D30" s="14">
        <v>-36453.050000000003</v>
      </c>
      <c r="E30" s="18">
        <f>+'Protected EDIT Gross up'!R134</f>
        <v>67417.539999999994</v>
      </c>
      <c r="F30" s="18">
        <v>0</v>
      </c>
      <c r="H30" s="21">
        <f t="shared" si="3"/>
        <v>-228610.16000000003</v>
      </c>
      <c r="I30" s="83"/>
      <c r="J30" s="1">
        <v>-228610.16</v>
      </c>
      <c r="K30" s="14">
        <f t="shared" si="2"/>
        <v>0</v>
      </c>
      <c r="L30" s="15" t="s">
        <v>55</v>
      </c>
      <c r="M30" s="76">
        <v>43838</v>
      </c>
      <c r="O30" s="1">
        <f t="shared" si="1"/>
        <v>67417.539999999994</v>
      </c>
      <c r="P30" s="1">
        <f>SUM(O19:O30)</f>
        <v>483642.55</v>
      </c>
    </row>
    <row r="31" spans="1:16" x14ac:dyDescent="0.2">
      <c r="A31" s="17">
        <v>43861</v>
      </c>
      <c r="B31" s="32" t="s">
        <v>32</v>
      </c>
      <c r="C31" s="31">
        <f>+'Protected EDIT Gross up'!R23</f>
        <v>96190788</v>
      </c>
      <c r="D31" s="14">
        <v>-32363.39</v>
      </c>
      <c r="E31" s="18">
        <f>+'Protected EDIT Gross up'!R135</f>
        <v>78056.860000000015</v>
      </c>
      <c r="F31" s="18">
        <v>0</v>
      </c>
      <c r="H31" s="21">
        <f t="shared" ref="H31:H42" si="4">SUM(D31:G31)+H30</f>
        <v>-182916.69</v>
      </c>
      <c r="I31" s="83"/>
      <c r="J31" s="1">
        <v>-182916.69</v>
      </c>
      <c r="K31" s="14">
        <f t="shared" ref="K31:K42" si="5">J31-H31</f>
        <v>0</v>
      </c>
      <c r="L31" s="15" t="s">
        <v>55</v>
      </c>
      <c r="M31" s="76">
        <v>43871</v>
      </c>
      <c r="O31" s="1">
        <f t="shared" si="1"/>
        <v>78056.860000000015</v>
      </c>
    </row>
    <row r="32" spans="1:16" x14ac:dyDescent="0.2">
      <c r="A32" s="17">
        <v>43890</v>
      </c>
      <c r="B32" s="32" t="s">
        <v>32</v>
      </c>
      <c r="C32" s="31">
        <f>+'Protected EDIT Gross up'!R24</f>
        <v>84770508</v>
      </c>
      <c r="D32" s="14">
        <v>-32363.39</v>
      </c>
      <c r="E32" s="18">
        <f>+'Protected EDIT Gross up'!R136</f>
        <v>65198.060000000012</v>
      </c>
      <c r="F32" s="18">
        <v>0</v>
      </c>
      <c r="H32" s="21">
        <f t="shared" si="4"/>
        <v>-150082.01999999999</v>
      </c>
      <c r="I32" s="83"/>
      <c r="J32" s="1">
        <v>-150082.01999999999</v>
      </c>
      <c r="K32" s="14">
        <f t="shared" si="5"/>
        <v>0</v>
      </c>
      <c r="L32" s="15" t="s">
        <v>55</v>
      </c>
      <c r="M32" s="76">
        <v>43899</v>
      </c>
      <c r="O32" s="1">
        <f t="shared" si="1"/>
        <v>65198.060000000012</v>
      </c>
    </row>
    <row r="33" spans="1:16" x14ac:dyDescent="0.2">
      <c r="A33" s="17">
        <v>43921</v>
      </c>
      <c r="B33" s="32" t="s">
        <v>32</v>
      </c>
      <c r="C33" s="31">
        <f>+'Protected EDIT Gross up'!R25</f>
        <v>99882117</v>
      </c>
      <c r="D33" s="14">
        <v>-32363.39</v>
      </c>
      <c r="E33" s="18">
        <f>+'Protected EDIT Gross up'!R137</f>
        <v>67843.03</v>
      </c>
      <c r="F33" s="18">
        <v>0</v>
      </c>
      <c r="H33" s="21">
        <f t="shared" si="4"/>
        <v>-114602.37999999999</v>
      </c>
      <c r="I33" s="83"/>
      <c r="J33" s="1">
        <v>-114602.38</v>
      </c>
      <c r="K33" s="14">
        <f t="shared" si="5"/>
        <v>0</v>
      </c>
      <c r="L33" s="15" t="s">
        <v>55</v>
      </c>
      <c r="M33" s="76">
        <v>43929</v>
      </c>
      <c r="O33" s="1">
        <f t="shared" si="1"/>
        <v>67843.03</v>
      </c>
    </row>
    <row r="34" spans="1:16" x14ac:dyDescent="0.2">
      <c r="A34" s="17">
        <v>43951</v>
      </c>
      <c r="B34" s="32" t="s">
        <v>32</v>
      </c>
      <c r="C34" s="31">
        <f>+'Protected EDIT Gross up'!R26</f>
        <v>81878770</v>
      </c>
      <c r="D34" s="14">
        <v>-32363.39</v>
      </c>
      <c r="E34" s="18">
        <f>+'Protected EDIT Gross up'!R138</f>
        <v>53269.95</v>
      </c>
      <c r="F34" s="18">
        <v>0</v>
      </c>
      <c r="H34" s="21">
        <f t="shared" si="4"/>
        <v>-93695.819999999992</v>
      </c>
      <c r="I34" s="83"/>
      <c r="J34" s="1">
        <v>-93695.82</v>
      </c>
      <c r="K34" s="14">
        <f t="shared" si="5"/>
        <v>0</v>
      </c>
      <c r="L34" s="15" t="s">
        <v>55</v>
      </c>
      <c r="M34" s="76">
        <v>43959</v>
      </c>
      <c r="O34" s="1">
        <f t="shared" si="1"/>
        <v>53269.95</v>
      </c>
    </row>
    <row r="35" spans="1:16" x14ac:dyDescent="0.2">
      <c r="A35" s="17">
        <v>43982</v>
      </c>
      <c r="B35" s="32" t="s">
        <v>32</v>
      </c>
      <c r="C35" s="31">
        <f>+'Protected EDIT Gross up'!R27</f>
        <v>46164069</v>
      </c>
      <c r="D35" s="14">
        <v>-32363.39</v>
      </c>
      <c r="E35" s="18">
        <f>+'Protected EDIT Gross up'!R139</f>
        <v>27322.68</v>
      </c>
      <c r="F35" s="18">
        <v>0</v>
      </c>
      <c r="H35" s="21">
        <f t="shared" si="4"/>
        <v>-98736.53</v>
      </c>
      <c r="I35" s="83"/>
      <c r="J35" s="1">
        <v>-98736.53</v>
      </c>
      <c r="K35" s="14">
        <f t="shared" si="5"/>
        <v>0</v>
      </c>
      <c r="L35" s="15" t="s">
        <v>55</v>
      </c>
      <c r="M35" s="76">
        <v>43990</v>
      </c>
      <c r="O35" s="1">
        <f t="shared" si="1"/>
        <v>27322.68</v>
      </c>
    </row>
    <row r="36" spans="1:16" x14ac:dyDescent="0.2">
      <c r="A36" s="17">
        <v>44012</v>
      </c>
      <c r="B36" s="32" t="s">
        <v>32</v>
      </c>
      <c r="C36" s="31">
        <f>+'Protected EDIT Gross up'!R28</f>
        <v>43284213</v>
      </c>
      <c r="D36" s="14">
        <v>-32363.39</v>
      </c>
      <c r="E36" s="18">
        <f>+'Protected EDIT Gross up'!R140</f>
        <v>22174.95</v>
      </c>
      <c r="F36" s="18">
        <v>0</v>
      </c>
      <c r="H36" s="21">
        <f t="shared" si="4"/>
        <v>-108924.97</v>
      </c>
      <c r="I36" s="83"/>
      <c r="J36" s="1">
        <v>-108924.97</v>
      </c>
      <c r="K36" s="14">
        <f t="shared" si="5"/>
        <v>0</v>
      </c>
      <c r="L36" s="15" t="s">
        <v>55</v>
      </c>
      <c r="M36" s="76">
        <v>44019</v>
      </c>
      <c r="O36" s="1">
        <f t="shared" si="1"/>
        <v>22174.95</v>
      </c>
    </row>
    <row r="37" spans="1:16" x14ac:dyDescent="0.2">
      <c r="A37" s="17">
        <v>44043</v>
      </c>
      <c r="B37" s="32" t="s">
        <v>32</v>
      </c>
      <c r="C37" s="31">
        <f>+'Protected EDIT Gross up'!R29</f>
        <v>55089338</v>
      </c>
      <c r="D37" s="14">
        <v>-32363.39</v>
      </c>
      <c r="E37" s="18">
        <f>+'Protected EDIT Gross up'!R141</f>
        <v>21860.23</v>
      </c>
      <c r="F37" s="18">
        <v>0</v>
      </c>
      <c r="H37" s="21">
        <f t="shared" si="4"/>
        <v>-119428.13</v>
      </c>
      <c r="I37" s="83"/>
      <c r="J37" s="1">
        <v>-119428.13</v>
      </c>
      <c r="K37" s="14">
        <f t="shared" si="5"/>
        <v>0</v>
      </c>
      <c r="L37" s="15" t="s">
        <v>55</v>
      </c>
      <c r="M37" s="76">
        <v>44053</v>
      </c>
      <c r="O37" s="1">
        <f t="shared" si="1"/>
        <v>21860.23</v>
      </c>
    </row>
    <row r="38" spans="1:16" x14ac:dyDescent="0.2">
      <c r="A38" s="17">
        <v>44074</v>
      </c>
      <c r="B38" s="32" t="s">
        <v>32</v>
      </c>
      <c r="C38" s="31">
        <f>+'Protected EDIT Gross up'!R30</f>
        <v>66863465</v>
      </c>
      <c r="D38" s="14">
        <v>-32363.39</v>
      </c>
      <c r="E38" s="18">
        <f>+'Protected EDIT Gross up'!R142</f>
        <v>20393.449999999997</v>
      </c>
      <c r="F38" s="18">
        <v>0</v>
      </c>
      <c r="H38" s="21">
        <f t="shared" si="4"/>
        <v>-131398.07</v>
      </c>
      <c r="I38" s="83"/>
      <c r="J38" s="1">
        <v>-131398.07</v>
      </c>
      <c r="K38" s="14">
        <f t="shared" si="5"/>
        <v>0</v>
      </c>
      <c r="L38" s="15" t="s">
        <v>55</v>
      </c>
      <c r="M38" s="76">
        <v>44084</v>
      </c>
      <c r="O38" s="1">
        <f t="shared" si="1"/>
        <v>20393.449999999997</v>
      </c>
    </row>
    <row r="39" spans="1:16" x14ac:dyDescent="0.2">
      <c r="A39" s="17">
        <v>44104</v>
      </c>
      <c r="B39" s="32" t="s">
        <v>32</v>
      </c>
      <c r="C39" s="31">
        <f>+'Protected EDIT Gross up'!R31</f>
        <v>73703550</v>
      </c>
      <c r="D39" s="14">
        <v>-32363.39</v>
      </c>
      <c r="E39" s="18">
        <f>+'Protected EDIT Gross up'!R143</f>
        <v>22438.249999999996</v>
      </c>
      <c r="F39" s="18">
        <v>0</v>
      </c>
      <c r="H39" s="21">
        <f t="shared" si="4"/>
        <v>-141323.21000000002</v>
      </c>
      <c r="I39" s="83"/>
      <c r="J39" s="1">
        <v>-141323.21</v>
      </c>
      <c r="K39" s="14">
        <f t="shared" si="5"/>
        <v>0</v>
      </c>
      <c r="L39" s="15" t="s">
        <v>55</v>
      </c>
      <c r="M39" s="76">
        <v>44111</v>
      </c>
      <c r="O39" s="1">
        <f t="shared" si="1"/>
        <v>22438.249999999996</v>
      </c>
    </row>
    <row r="40" spans="1:16" x14ac:dyDescent="0.2">
      <c r="A40" s="17">
        <v>44135</v>
      </c>
      <c r="B40" s="32" t="s">
        <v>32</v>
      </c>
      <c r="C40" s="31">
        <f>+'Protected EDIT Gross up'!R32</f>
        <v>65687484</v>
      </c>
      <c r="D40" s="14">
        <v>-32363.39</v>
      </c>
      <c r="E40" s="18">
        <f>+'Protected EDIT Gross up'!R144</f>
        <v>24445.530000000002</v>
      </c>
      <c r="F40" s="18">
        <v>0</v>
      </c>
      <c r="H40" s="21">
        <f t="shared" si="4"/>
        <v>-149241.07</v>
      </c>
      <c r="I40" s="83"/>
      <c r="J40" s="1">
        <v>-149241.07</v>
      </c>
      <c r="K40" s="14">
        <f t="shared" si="5"/>
        <v>0</v>
      </c>
      <c r="L40" s="15" t="s">
        <v>55</v>
      </c>
      <c r="M40" s="76">
        <v>44141</v>
      </c>
      <c r="O40" s="1">
        <f t="shared" si="1"/>
        <v>24445.530000000002</v>
      </c>
    </row>
    <row r="41" spans="1:16" x14ac:dyDescent="0.2">
      <c r="A41" s="17">
        <v>44165</v>
      </c>
      <c r="B41" s="32" t="s">
        <v>32</v>
      </c>
      <c r="C41" s="31">
        <f>+'Protected EDIT Gross up'!R33+'Protected EDIT Gross up'!R34</f>
        <v>68293788</v>
      </c>
      <c r="D41" s="14">
        <v>-32363.39</v>
      </c>
      <c r="E41" s="18">
        <f>+'Protected EDIT Gross up'!R145+'Protected EDIT Gross up'!R146</f>
        <v>38522.17</v>
      </c>
      <c r="F41" s="18">
        <v>0</v>
      </c>
      <c r="H41" s="21">
        <f t="shared" si="4"/>
        <v>-143082.29</v>
      </c>
      <c r="I41" s="83"/>
      <c r="J41" s="1">
        <v>-143082.29</v>
      </c>
      <c r="K41" s="14">
        <f t="shared" si="5"/>
        <v>0</v>
      </c>
      <c r="L41" s="15" t="s">
        <v>55</v>
      </c>
      <c r="M41" s="76">
        <v>44173</v>
      </c>
      <c r="O41" s="1">
        <f t="shared" si="1"/>
        <v>38522.17</v>
      </c>
    </row>
    <row r="42" spans="1:16" x14ac:dyDescent="0.2">
      <c r="A42" s="17">
        <v>44196</v>
      </c>
      <c r="B42" s="32" t="s">
        <v>32</v>
      </c>
      <c r="C42" s="31">
        <f>+'Protected EDIT Gross up'!R35</f>
        <v>94595765</v>
      </c>
      <c r="D42" s="14">
        <v>-19932.759999999998</v>
      </c>
      <c r="E42" s="18">
        <f>+'Protected EDIT Gross up'!R147</f>
        <v>60452.739999999991</v>
      </c>
      <c r="F42" s="18">
        <v>0</v>
      </c>
      <c r="H42" s="21">
        <f t="shared" si="4"/>
        <v>-102562.31000000001</v>
      </c>
      <c r="I42" s="83"/>
      <c r="J42" s="1">
        <v>-102562.31</v>
      </c>
      <c r="K42" s="14">
        <f t="shared" si="5"/>
        <v>0</v>
      </c>
      <c r="L42" s="15" t="s">
        <v>55</v>
      </c>
      <c r="M42" s="76">
        <v>44204</v>
      </c>
      <c r="O42" s="1">
        <f t="shared" si="1"/>
        <v>60452.739999999991</v>
      </c>
      <c r="P42" s="1">
        <f>SUM(O31:O42)</f>
        <v>501977.9</v>
      </c>
    </row>
    <row r="43" spans="1:16" x14ac:dyDescent="0.2">
      <c r="A43" s="17">
        <v>44227</v>
      </c>
      <c r="B43" s="32" t="s">
        <v>32</v>
      </c>
      <c r="C43" s="31">
        <f>+'Protected EDIT Gross up'!R36</f>
        <v>93263558</v>
      </c>
      <c r="D43" s="14">
        <v>-39226.120000000003</v>
      </c>
      <c r="E43" s="18">
        <f>+'Protected EDIT Gross up'!R148</f>
        <v>63083.489999999991</v>
      </c>
      <c r="F43" s="18">
        <v>0</v>
      </c>
      <c r="H43" s="21">
        <f t="shared" ref="H43:H52" si="6">SUM(D43:G43)+H42</f>
        <v>-78704.940000000031</v>
      </c>
      <c r="I43" s="83"/>
      <c r="J43" s="1">
        <v>-78704.94</v>
      </c>
      <c r="K43" s="14">
        <f t="shared" ref="K43:K52" si="7">J43-H43</f>
        <v>0</v>
      </c>
      <c r="L43" s="15" t="s">
        <v>55</v>
      </c>
      <c r="M43" s="76">
        <v>44232</v>
      </c>
      <c r="O43" s="1">
        <f t="shared" si="1"/>
        <v>63083.489999999991</v>
      </c>
    </row>
    <row r="44" spans="1:16" x14ac:dyDescent="0.2">
      <c r="A44" s="17">
        <v>44255</v>
      </c>
      <c r="B44" s="32" t="s">
        <v>32</v>
      </c>
      <c r="C44" s="31">
        <f>+'Protected EDIT Gross up'!R37</f>
        <v>86995469</v>
      </c>
      <c r="D44" s="14">
        <v>-39226.120000000003</v>
      </c>
      <c r="E44" s="18">
        <f>+'Protected EDIT Gross up'!R149</f>
        <v>59343.28</v>
      </c>
      <c r="F44" s="18">
        <v>0</v>
      </c>
      <c r="H44" s="21">
        <f t="shared" si="6"/>
        <v>-58587.780000000035</v>
      </c>
      <c r="I44" s="83"/>
      <c r="J44" s="1">
        <v>-58587.78</v>
      </c>
      <c r="K44" s="14">
        <f t="shared" si="7"/>
        <v>0</v>
      </c>
      <c r="L44" s="15" t="s">
        <v>55</v>
      </c>
      <c r="M44" s="76">
        <v>44263</v>
      </c>
      <c r="O44" s="1">
        <f t="shared" si="1"/>
        <v>59343.28</v>
      </c>
    </row>
    <row r="45" spans="1:16" x14ac:dyDescent="0.2">
      <c r="A45" s="17">
        <v>44286</v>
      </c>
      <c r="B45" s="32" t="s">
        <v>32</v>
      </c>
      <c r="C45" s="31">
        <f>+'Protected EDIT Gross up'!R38</f>
        <v>103209019</v>
      </c>
      <c r="D45" s="14">
        <v>-39226.120000000003</v>
      </c>
      <c r="E45" s="18">
        <f>+'Protected EDIT Gross up'!R150</f>
        <v>65017.179999999993</v>
      </c>
      <c r="F45" s="18">
        <v>0</v>
      </c>
      <c r="H45" s="21">
        <f t="shared" si="6"/>
        <v>-32796.720000000045</v>
      </c>
      <c r="I45" s="83"/>
      <c r="J45" s="1">
        <v>-32796.720000000001</v>
      </c>
      <c r="K45" s="14">
        <f t="shared" si="7"/>
        <v>0</v>
      </c>
      <c r="L45" s="15" t="s">
        <v>55</v>
      </c>
      <c r="M45" s="76">
        <v>44293</v>
      </c>
      <c r="O45" s="1">
        <f t="shared" si="1"/>
        <v>65017.179999999993</v>
      </c>
    </row>
    <row r="46" spans="1:16" x14ac:dyDescent="0.2">
      <c r="A46" s="17">
        <v>44316</v>
      </c>
      <c r="B46" s="32" t="s">
        <v>32</v>
      </c>
      <c r="C46" s="31">
        <f>+'Protected EDIT Gross up'!R39</f>
        <v>89581135</v>
      </c>
      <c r="D46" s="14">
        <v>-39226.120000000003</v>
      </c>
      <c r="E46" s="18">
        <f>+'Protected EDIT Gross up'!R151</f>
        <v>47904.69</v>
      </c>
      <c r="F46" s="18">
        <v>0</v>
      </c>
      <c r="H46" s="21">
        <f t="shared" si="6"/>
        <v>-24118.150000000045</v>
      </c>
      <c r="I46" s="83"/>
      <c r="J46" s="1">
        <v>-24118.15</v>
      </c>
      <c r="K46" s="14">
        <f t="shared" si="7"/>
        <v>4.3655745685100555E-11</v>
      </c>
      <c r="L46" s="15" t="s">
        <v>55</v>
      </c>
      <c r="M46" s="76">
        <v>44326</v>
      </c>
      <c r="O46" s="1">
        <f t="shared" si="1"/>
        <v>47904.69</v>
      </c>
    </row>
    <row r="47" spans="1:16" x14ac:dyDescent="0.2">
      <c r="A47" s="17">
        <v>44347</v>
      </c>
      <c r="B47" s="32" t="s">
        <v>32</v>
      </c>
      <c r="C47" s="31">
        <f>+'Protected EDIT Gross up'!R40</f>
        <v>56228122</v>
      </c>
      <c r="D47" s="14">
        <v>-39226.120000000003</v>
      </c>
      <c r="E47" s="18">
        <f>+'Protected EDIT Gross up'!R152</f>
        <v>26028.140000000003</v>
      </c>
      <c r="F47" s="18">
        <v>0</v>
      </c>
      <c r="H47" s="21">
        <f t="shared" si="6"/>
        <v>-37316.130000000048</v>
      </c>
      <c r="I47" s="83"/>
      <c r="J47" s="1">
        <v>-37316.129999999997</v>
      </c>
      <c r="K47" s="14">
        <f t="shared" si="7"/>
        <v>0</v>
      </c>
      <c r="L47" s="15" t="s">
        <v>55</v>
      </c>
      <c r="M47" s="76">
        <v>44354</v>
      </c>
      <c r="O47" s="1">
        <f t="shared" si="1"/>
        <v>26028.140000000003</v>
      </c>
    </row>
    <row r="48" spans="1:16" x14ac:dyDescent="0.2">
      <c r="A48" s="17">
        <v>44377</v>
      </c>
      <c r="B48" s="32" t="s">
        <v>32</v>
      </c>
      <c r="C48" s="31">
        <f>+'Protected EDIT Gross up'!R41</f>
        <v>68779022</v>
      </c>
      <c r="D48" s="77">
        <v>-85098.49</v>
      </c>
      <c r="E48" s="18">
        <f>+'Protected EDIT Gross up'!R153</f>
        <v>24410.06</v>
      </c>
      <c r="F48" s="18">
        <v>0</v>
      </c>
      <c r="H48" s="21">
        <f t="shared" si="6"/>
        <v>-98004.560000000056</v>
      </c>
      <c r="I48" s="83"/>
      <c r="J48" s="1">
        <v>-98004.56</v>
      </c>
      <c r="K48" s="14">
        <f t="shared" si="7"/>
        <v>0</v>
      </c>
      <c r="L48" s="15" t="s">
        <v>55</v>
      </c>
      <c r="M48" s="76">
        <v>44386</v>
      </c>
      <c r="N48" s="78" t="s">
        <v>73</v>
      </c>
      <c r="O48" s="1">
        <f t="shared" si="1"/>
        <v>24410.06</v>
      </c>
    </row>
    <row r="49" spans="1:16" x14ac:dyDescent="0.2">
      <c r="A49" s="17">
        <v>44408</v>
      </c>
      <c r="B49" s="32" t="s">
        <v>32</v>
      </c>
      <c r="C49" s="31">
        <f>+'Protected EDIT Gross up'!R42</f>
        <v>72135275</v>
      </c>
      <c r="D49" s="14">
        <v>-44076.68</v>
      </c>
      <c r="E49" s="18">
        <f>+'Protected EDIT Gross up'!R154</f>
        <v>19688.540000000005</v>
      </c>
      <c r="F49" s="18">
        <v>0</v>
      </c>
      <c r="H49" s="21">
        <f t="shared" si="6"/>
        <v>-122392.70000000006</v>
      </c>
      <c r="I49" s="83"/>
      <c r="J49" s="1">
        <v>-122392.7</v>
      </c>
      <c r="K49" s="14">
        <f t="shared" si="7"/>
        <v>0</v>
      </c>
      <c r="L49" s="15" t="s">
        <v>55</v>
      </c>
      <c r="M49" s="76">
        <v>44417</v>
      </c>
      <c r="O49" s="1">
        <f t="shared" si="1"/>
        <v>19688.540000000005</v>
      </c>
    </row>
    <row r="50" spans="1:16" x14ac:dyDescent="0.2">
      <c r="A50" s="17">
        <v>44439</v>
      </c>
      <c r="B50" s="32" t="s">
        <v>32</v>
      </c>
      <c r="C50" s="31">
        <f>+'Protected EDIT Gross up'!R43</f>
        <v>70764185</v>
      </c>
      <c r="D50" s="14">
        <v>-44076.68</v>
      </c>
      <c r="E50" s="18">
        <f>+'Protected EDIT Gross up'!R155</f>
        <v>18667.52</v>
      </c>
      <c r="F50" s="18">
        <v>0</v>
      </c>
      <c r="H50" s="21">
        <f t="shared" si="6"/>
        <v>-147801.86000000004</v>
      </c>
      <c r="I50" s="83"/>
      <c r="J50" s="1">
        <v>-147801.85999999999</v>
      </c>
      <c r="K50" s="14">
        <f t="shared" si="7"/>
        <v>0</v>
      </c>
      <c r="L50" s="15" t="s">
        <v>55</v>
      </c>
      <c r="M50" s="76">
        <v>44448</v>
      </c>
      <c r="O50" s="1">
        <f t="shared" si="1"/>
        <v>18667.52</v>
      </c>
    </row>
    <row r="51" spans="1:16" x14ac:dyDescent="0.2">
      <c r="A51" s="17">
        <v>44469</v>
      </c>
      <c r="B51" s="32" t="s">
        <v>32</v>
      </c>
      <c r="C51" s="31">
        <f>+'Protected EDIT Gross up'!R44</f>
        <v>71864038</v>
      </c>
      <c r="D51" s="14">
        <v>-44076.68</v>
      </c>
      <c r="E51" s="18">
        <f>+'Protected EDIT Gross up'!R156</f>
        <v>19761.5</v>
      </c>
      <c r="F51" s="18">
        <v>0</v>
      </c>
      <c r="H51" s="21">
        <f t="shared" si="6"/>
        <v>-172117.04000000004</v>
      </c>
      <c r="I51" s="83"/>
      <c r="J51" s="1">
        <v>-172117.04</v>
      </c>
      <c r="K51" s="14">
        <f t="shared" si="7"/>
        <v>0</v>
      </c>
      <c r="L51" s="15" t="s">
        <v>55</v>
      </c>
      <c r="M51" s="76">
        <v>44476</v>
      </c>
      <c r="O51" s="1">
        <f t="shared" si="1"/>
        <v>19761.5</v>
      </c>
    </row>
    <row r="52" spans="1:16" x14ac:dyDescent="0.2">
      <c r="A52" s="17">
        <v>44500</v>
      </c>
      <c r="B52" s="32" t="s">
        <v>32</v>
      </c>
      <c r="C52" s="31">
        <f>+'Protected EDIT Gross up'!R45</f>
        <v>72338720</v>
      </c>
      <c r="D52" s="14">
        <v>-44076.68</v>
      </c>
      <c r="E52" s="18">
        <f>+'Protected EDIT Gross up'!R157</f>
        <v>25516.279999999995</v>
      </c>
      <c r="F52" s="18">
        <v>0</v>
      </c>
      <c r="H52" s="21">
        <f t="shared" si="6"/>
        <v>-190677.44000000003</v>
      </c>
      <c r="I52" s="83"/>
      <c r="J52" s="1">
        <v>-190677.44</v>
      </c>
      <c r="K52" s="14">
        <f t="shared" si="7"/>
        <v>0</v>
      </c>
      <c r="L52" s="15" t="s">
        <v>55</v>
      </c>
      <c r="M52" s="76">
        <v>44505</v>
      </c>
      <c r="O52" s="1">
        <f t="shared" si="1"/>
        <v>25516.279999999995</v>
      </c>
    </row>
    <row r="53" spans="1:16" x14ac:dyDescent="0.2">
      <c r="A53" s="17">
        <v>44530</v>
      </c>
      <c r="B53" s="32" t="s">
        <v>32</v>
      </c>
      <c r="C53" s="31">
        <f>+'Protected EDIT Gross up'!R46+'Protected EDIT Gross up'!R47</f>
        <v>75721245</v>
      </c>
      <c r="D53" s="14">
        <v>-44076.68</v>
      </c>
      <c r="E53" s="18">
        <f>+'Protected EDIT Gross up'!R158+'Protected EDIT Gross up'!R159</f>
        <v>37252.490000000005</v>
      </c>
      <c r="F53" s="18">
        <v>0</v>
      </c>
      <c r="H53" s="21">
        <f t="shared" ref="H53" si="8">SUM(D53:G53)+H52</f>
        <v>-197501.63000000003</v>
      </c>
      <c r="I53" s="83"/>
      <c r="J53" s="1">
        <v>-197501.63</v>
      </c>
      <c r="K53" s="14">
        <f t="shared" ref="K53" si="9">J53-H53</f>
        <v>0</v>
      </c>
      <c r="L53" s="15" t="s">
        <v>55</v>
      </c>
      <c r="M53" s="76">
        <v>44538</v>
      </c>
      <c r="O53" s="1">
        <f t="shared" si="1"/>
        <v>37252.490000000005</v>
      </c>
    </row>
    <row r="54" spans="1:16" x14ac:dyDescent="0.2">
      <c r="A54" s="17">
        <v>44561</v>
      </c>
      <c r="B54" s="32" t="s">
        <v>32</v>
      </c>
      <c r="C54" s="31">
        <f>+'Protected EDIT Gross up'!R48</f>
        <v>83926722</v>
      </c>
      <c r="D54" s="14">
        <v>-81912.3</v>
      </c>
      <c r="E54" s="18">
        <f>+'Protected EDIT Gross up'!R160</f>
        <v>55436.26</v>
      </c>
      <c r="F54" s="18">
        <v>0</v>
      </c>
      <c r="H54" s="21">
        <f t="shared" ref="H54:H64" si="10">SUM(D54:G54)+H53</f>
        <v>-223977.67000000004</v>
      </c>
      <c r="I54" s="83"/>
      <c r="J54" s="1">
        <v>-223977.67</v>
      </c>
      <c r="K54" s="14">
        <f t="shared" ref="K54:K64" si="11">J54-H54</f>
        <v>0</v>
      </c>
      <c r="L54" s="15" t="s">
        <v>55</v>
      </c>
      <c r="M54" s="76">
        <v>44567</v>
      </c>
      <c r="O54" s="1">
        <f t="shared" si="1"/>
        <v>55436.26</v>
      </c>
      <c r="P54" s="1">
        <f>SUM(O43:O54)</f>
        <v>462109.43</v>
      </c>
    </row>
    <row r="55" spans="1:16" x14ac:dyDescent="0.2">
      <c r="A55" s="17"/>
      <c r="B55" s="32"/>
      <c r="C55" s="31"/>
      <c r="D55" s="14"/>
      <c r="E55" s="18"/>
      <c r="F55" s="18"/>
      <c r="H55" s="21"/>
      <c r="I55" s="83"/>
      <c r="K55" s="14">
        <f t="shared" si="11"/>
        <v>0</v>
      </c>
      <c r="M55" s="76"/>
    </row>
    <row r="56" spans="1:16" x14ac:dyDescent="0.2">
      <c r="A56" s="17"/>
      <c r="B56" s="32"/>
      <c r="C56" s="31"/>
      <c r="D56" s="14"/>
      <c r="E56" s="18"/>
      <c r="F56" s="18"/>
      <c r="H56" s="21"/>
      <c r="I56" s="83"/>
      <c r="K56" s="14">
        <f t="shared" si="11"/>
        <v>0</v>
      </c>
      <c r="M56" s="76"/>
    </row>
    <row r="57" spans="1:16" x14ac:dyDescent="0.2">
      <c r="A57" s="17"/>
      <c r="B57" s="32"/>
      <c r="C57" s="31"/>
      <c r="D57" s="14"/>
      <c r="E57" s="18"/>
      <c r="F57" s="18"/>
      <c r="H57" s="21"/>
      <c r="I57" s="83"/>
      <c r="K57" s="14">
        <f t="shared" si="11"/>
        <v>0</v>
      </c>
      <c r="M57" s="76"/>
    </row>
    <row r="58" spans="1:16" x14ac:dyDescent="0.2">
      <c r="A58" s="17"/>
      <c r="B58" s="32"/>
      <c r="C58" s="31"/>
      <c r="D58" s="14"/>
      <c r="E58" s="18"/>
      <c r="F58" s="18"/>
      <c r="H58" s="21"/>
      <c r="I58" s="83"/>
      <c r="K58" s="14">
        <f t="shared" si="11"/>
        <v>0</v>
      </c>
      <c r="M58" s="76"/>
    </row>
    <row r="59" spans="1:16" x14ac:dyDescent="0.2">
      <c r="A59" s="17"/>
      <c r="B59" s="32"/>
      <c r="C59" s="31"/>
      <c r="D59" s="14"/>
      <c r="E59" s="18"/>
      <c r="F59" s="18"/>
      <c r="H59" s="21"/>
      <c r="I59" s="83"/>
      <c r="K59" s="14">
        <f t="shared" si="11"/>
        <v>0</v>
      </c>
      <c r="M59" s="76"/>
    </row>
    <row r="60" spans="1:16" x14ac:dyDescent="0.2">
      <c r="A60" s="17"/>
      <c r="B60" s="32"/>
      <c r="C60" s="31"/>
      <c r="D60" s="14"/>
      <c r="E60" s="18"/>
      <c r="F60" s="18"/>
      <c r="H60" s="21"/>
      <c r="I60" s="83"/>
      <c r="K60" s="14">
        <f t="shared" si="11"/>
        <v>0</v>
      </c>
      <c r="M60" s="76"/>
    </row>
    <row r="61" spans="1:16" x14ac:dyDescent="0.2">
      <c r="A61" s="17"/>
      <c r="B61" s="32"/>
      <c r="C61" s="31"/>
      <c r="D61" s="14"/>
      <c r="E61" s="18"/>
      <c r="F61" s="18"/>
      <c r="H61" s="21"/>
      <c r="I61" s="83"/>
      <c r="K61" s="14">
        <f t="shared" si="11"/>
        <v>0</v>
      </c>
      <c r="M61" s="76"/>
    </row>
    <row r="62" spans="1:16" x14ac:dyDescent="0.2">
      <c r="A62" s="17"/>
      <c r="B62" s="32"/>
      <c r="C62" s="31"/>
      <c r="D62" s="14"/>
      <c r="E62" s="18"/>
      <c r="F62" s="18"/>
      <c r="H62" s="21"/>
      <c r="I62" s="83"/>
      <c r="K62" s="14">
        <f t="shared" si="11"/>
        <v>0</v>
      </c>
      <c r="M62" s="76"/>
    </row>
    <row r="63" spans="1:16" x14ac:dyDescent="0.2">
      <c r="A63" s="17"/>
      <c r="B63" s="32"/>
      <c r="C63" s="31"/>
      <c r="D63" s="14"/>
      <c r="E63" s="18"/>
      <c r="F63" s="18"/>
      <c r="H63" s="21"/>
      <c r="I63" s="83"/>
      <c r="K63" s="14">
        <f t="shared" si="11"/>
        <v>0</v>
      </c>
      <c r="M63" s="76"/>
    </row>
    <row r="64" spans="1:16" x14ac:dyDescent="0.2">
      <c r="A64" s="17"/>
      <c r="B64" s="32"/>
      <c r="C64" s="31"/>
      <c r="D64" s="14"/>
      <c r="E64" s="18"/>
      <c r="F64" s="18"/>
      <c r="H64" s="21"/>
      <c r="I64" s="83"/>
      <c r="K64" s="14">
        <f t="shared" si="11"/>
        <v>0</v>
      </c>
      <c r="M64" s="76"/>
    </row>
  </sheetData>
  <mergeCells count="17">
    <mergeCell ref="A1:B1"/>
    <mergeCell ref="C1:H1"/>
    <mergeCell ref="A2:B2"/>
    <mergeCell ref="C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H7"/>
    <mergeCell ref="D9:F9"/>
    <mergeCell ref="A12:F12"/>
    <mergeCell ref="A13:F13"/>
  </mergeCells>
  <pageMargins left="0.7" right="0.7" top="0.75" bottom="0.75" header="0.3" footer="0.3"/>
  <pageSetup scale="99" fitToHeight="0" orientation="landscape" r:id="rId1"/>
  <headerFooter>
    <oddFooter>&amp;LWA Tax Amort&amp;C&amp;A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AD170"/>
  <sheetViews>
    <sheetView zoomScaleNormal="100" workbookViewId="0">
      <selection activeCell="M54" sqref="M54"/>
    </sheetView>
  </sheetViews>
  <sheetFormatPr defaultColWidth="8.88671875" defaultRowHeight="12.75" x14ac:dyDescent="0.2"/>
  <cols>
    <col min="1" max="1" width="6.21875" style="1" customWidth="1"/>
    <col min="2" max="2" width="8.77734375" style="1" customWidth="1"/>
    <col min="3" max="3" width="8" style="1" hidden="1" customWidth="1"/>
    <col min="4" max="4" width="8.21875" style="1" bestFit="1" customWidth="1"/>
    <col min="5" max="6" width="8" style="1" customWidth="1"/>
    <col min="7" max="7" width="9" style="1" bestFit="1" customWidth="1"/>
    <col min="8" max="8" width="8.77734375" style="1" bestFit="1" customWidth="1"/>
    <col min="9" max="10" width="8" style="1" hidden="1" customWidth="1"/>
    <col min="11" max="11" width="8" style="1" customWidth="1"/>
    <col min="12" max="12" width="9.6640625" style="1" customWidth="1"/>
    <col min="13" max="13" width="9.5546875" style="1" bestFit="1" customWidth="1"/>
    <col min="14" max="14" width="9.6640625" style="1" customWidth="1"/>
    <col min="15" max="15" width="8.88671875" style="1" customWidth="1"/>
    <col min="16" max="16" width="5.6640625" style="1" hidden="1" customWidth="1"/>
    <col min="17" max="17" width="1.77734375" style="1" customWidth="1"/>
    <col min="18" max="18" width="9.77734375" style="1" customWidth="1"/>
    <col min="19" max="19" width="6.88671875" style="1" customWidth="1"/>
    <col min="20" max="16384" width="8.88671875" style="1"/>
  </cols>
  <sheetData>
    <row r="2" spans="1:19" ht="15.75" customHeight="1" x14ac:dyDescent="0.2">
      <c r="B2" s="86">
        <v>4800</v>
      </c>
      <c r="C2" s="130">
        <v>4809</v>
      </c>
      <c r="D2" s="131"/>
      <c r="E2" s="132"/>
      <c r="F2" s="130">
        <v>4810</v>
      </c>
      <c r="G2" s="131"/>
      <c r="H2" s="132"/>
      <c r="I2" s="130">
        <v>4811</v>
      </c>
      <c r="J2" s="132"/>
      <c r="K2" s="87">
        <v>4813</v>
      </c>
      <c r="L2" s="87">
        <v>4861</v>
      </c>
      <c r="M2" s="130">
        <v>4863</v>
      </c>
      <c r="N2" s="131"/>
      <c r="O2" s="131"/>
      <c r="P2" s="132"/>
    </row>
    <row r="3" spans="1:19" x14ac:dyDescent="0.2">
      <c r="B3" s="88">
        <v>503</v>
      </c>
      <c r="C3" s="89" t="s">
        <v>31</v>
      </c>
      <c r="D3" s="89">
        <v>505</v>
      </c>
      <c r="E3" s="90">
        <v>511</v>
      </c>
      <c r="F3" s="89" t="s">
        <v>30</v>
      </c>
      <c r="G3" s="89">
        <v>504</v>
      </c>
      <c r="H3" s="90" t="s">
        <v>64</v>
      </c>
      <c r="I3" s="89" t="s">
        <v>31</v>
      </c>
      <c r="J3" s="90">
        <v>570</v>
      </c>
      <c r="K3" s="88">
        <v>570</v>
      </c>
      <c r="L3" s="105" t="s">
        <v>70</v>
      </c>
      <c r="M3" s="92">
        <v>6631</v>
      </c>
      <c r="N3" s="92">
        <v>6633</v>
      </c>
      <c r="O3" s="92">
        <v>6635</v>
      </c>
      <c r="P3" s="93">
        <v>916</v>
      </c>
      <c r="R3" s="94" t="s">
        <v>3</v>
      </c>
    </row>
    <row r="4" spans="1:19" hidden="1" x14ac:dyDescent="0.2">
      <c r="A4" s="95">
        <v>43343</v>
      </c>
      <c r="B4" s="96">
        <f>+'Therm Sales Master'!B123</f>
        <v>996895</v>
      </c>
      <c r="C4" s="97">
        <f>+'Therm Sales Master'!C123</f>
        <v>0</v>
      </c>
      <c r="D4" s="97">
        <f>+'Therm Sales Master'!D123</f>
        <v>160070</v>
      </c>
      <c r="E4" s="98">
        <f>+'Therm Sales Master'!E123</f>
        <v>88492</v>
      </c>
      <c r="F4" s="97">
        <f>+'Therm Sales Master'!F123</f>
        <v>158</v>
      </c>
      <c r="G4" s="97">
        <f>+'Therm Sales Master'!G123</f>
        <v>986030</v>
      </c>
      <c r="H4" s="98">
        <f>+'Therm Sales Master'!H123</f>
        <v>137321</v>
      </c>
      <c r="I4" s="97">
        <f>+'Therm Sales Master'!I123</f>
        <v>359</v>
      </c>
      <c r="J4" s="98">
        <f>+'Therm Sales Master'!J123</f>
        <v>0</v>
      </c>
      <c r="K4" s="96">
        <f>+'Therm Sales Master'!K123</f>
        <v>93391</v>
      </c>
      <c r="L4" s="96">
        <f>+'Therm Sales Master'!L123</f>
        <v>26924983</v>
      </c>
      <c r="M4" s="97">
        <f>+'Therm Sales Master'!M123</f>
        <v>0</v>
      </c>
      <c r="N4" s="97">
        <f>+'Therm Sales Master'!N123</f>
        <v>12762544</v>
      </c>
      <c r="O4" s="97">
        <f>+'Therm Sales Master'!O123</f>
        <v>5293486</v>
      </c>
      <c r="P4" s="98">
        <f>+'Therm Sales Master'!P123</f>
        <v>14392902</v>
      </c>
      <c r="R4" s="99">
        <f t="shared" ref="R4:R15" si="0">SUM(B4:Q4)</f>
        <v>61836631</v>
      </c>
    </row>
    <row r="5" spans="1:19" hidden="1" x14ac:dyDescent="0.2">
      <c r="A5" s="95">
        <v>43373</v>
      </c>
      <c r="B5" s="96">
        <f>+'Therm Sales Master'!B124</f>
        <v>2809188</v>
      </c>
      <c r="C5" s="97">
        <f>+'Therm Sales Master'!C124</f>
        <v>-359</v>
      </c>
      <c r="D5" s="97">
        <f>+'Therm Sales Master'!D124</f>
        <v>648016</v>
      </c>
      <c r="E5" s="98">
        <f>+'Therm Sales Master'!E124</f>
        <v>241009</v>
      </c>
      <c r="F5" s="97">
        <f>+'Therm Sales Master'!F124</f>
        <v>501</v>
      </c>
      <c r="G5" s="97">
        <f>+'Therm Sales Master'!G124</f>
        <v>2784183</v>
      </c>
      <c r="H5" s="98">
        <f>+'Therm Sales Master'!H124</f>
        <v>384208</v>
      </c>
      <c r="I5" s="97">
        <f>+'Therm Sales Master'!I124</f>
        <v>547</v>
      </c>
      <c r="J5" s="98">
        <f>+'Therm Sales Master'!J124</f>
        <v>0</v>
      </c>
      <c r="K5" s="96">
        <f>+'Therm Sales Master'!K124</f>
        <v>118645</v>
      </c>
      <c r="L5" s="96">
        <f>+'Therm Sales Master'!L124</f>
        <v>30461110</v>
      </c>
      <c r="M5" s="97">
        <f>+'Therm Sales Master'!M124</f>
        <v>15312916</v>
      </c>
      <c r="N5" s="97">
        <f>+'Therm Sales Master'!N124</f>
        <v>14381027</v>
      </c>
      <c r="O5" s="97">
        <f>+'Therm Sales Master'!O124</f>
        <v>2080893</v>
      </c>
      <c r="P5" s="98">
        <f>+'Therm Sales Master'!P124</f>
        <v>0</v>
      </c>
      <c r="R5" s="97">
        <f t="shared" si="0"/>
        <v>69221884</v>
      </c>
    </row>
    <row r="6" spans="1:19" hidden="1" x14ac:dyDescent="0.2">
      <c r="A6" s="95">
        <v>43404</v>
      </c>
      <c r="B6" s="96">
        <f>+'Therm Sales Master'!B125</f>
        <v>5307116</v>
      </c>
      <c r="C6" s="97">
        <f>+'Therm Sales Master'!C125</f>
        <v>0</v>
      </c>
      <c r="D6" s="97">
        <f>+'Therm Sales Master'!D125</f>
        <v>1031586</v>
      </c>
      <c r="E6" s="98">
        <f>+'Therm Sales Master'!E125</f>
        <v>447130</v>
      </c>
      <c r="F6" s="97">
        <f>+'Therm Sales Master'!F125</f>
        <v>2079</v>
      </c>
      <c r="G6" s="97">
        <f>+'Therm Sales Master'!G125</f>
        <v>4259766</v>
      </c>
      <c r="H6" s="98">
        <f>+'Therm Sales Master'!H125</f>
        <v>674628</v>
      </c>
      <c r="I6" s="97">
        <f>+'Therm Sales Master'!I125</f>
        <v>21</v>
      </c>
      <c r="J6" s="98">
        <f>+'Therm Sales Master'!J125</f>
        <v>0</v>
      </c>
      <c r="K6" s="96">
        <f>+'Therm Sales Master'!K125</f>
        <v>197742</v>
      </c>
      <c r="L6" s="96">
        <f>+'Therm Sales Master'!L125</f>
        <v>32448578</v>
      </c>
      <c r="M6" s="97">
        <f>+'Therm Sales Master'!M125</f>
        <v>7714309</v>
      </c>
      <c r="N6" s="97">
        <f>+'Therm Sales Master'!N125</f>
        <v>4034082</v>
      </c>
      <c r="O6" s="97">
        <f>+'Therm Sales Master'!O125</f>
        <v>2001543</v>
      </c>
      <c r="P6" s="98">
        <f>+'Therm Sales Master'!P125</f>
        <v>0</v>
      </c>
      <c r="R6" s="97">
        <f t="shared" si="0"/>
        <v>58118580</v>
      </c>
    </row>
    <row r="7" spans="1:19" hidden="1" x14ac:dyDescent="0.2">
      <c r="A7" s="95">
        <v>43434</v>
      </c>
      <c r="B7" s="96">
        <f>+'Therm Sales Master'!B126</f>
        <v>5727490</v>
      </c>
      <c r="C7" s="97">
        <f>+'Therm Sales Master'!C126</f>
        <v>0</v>
      </c>
      <c r="D7" s="97">
        <f>+'Therm Sales Master'!D126</f>
        <v>691277</v>
      </c>
      <c r="E7" s="98">
        <f>+'Therm Sales Master'!E126</f>
        <v>107458</v>
      </c>
      <c r="F7" s="97">
        <f>+'Therm Sales Master'!F126</f>
        <v>0</v>
      </c>
      <c r="G7" s="97">
        <f>+'Therm Sales Master'!G126</f>
        <v>4031349</v>
      </c>
      <c r="H7" s="98">
        <f>+'Therm Sales Master'!H126</f>
        <v>459820</v>
      </c>
      <c r="I7" s="97">
        <f>+'Therm Sales Master'!I126</f>
        <v>0</v>
      </c>
      <c r="J7" s="98">
        <f>+'Therm Sales Master'!J126</f>
        <v>0</v>
      </c>
      <c r="K7" s="96">
        <f>+'Therm Sales Master'!K126</f>
        <v>0</v>
      </c>
      <c r="L7" s="96">
        <f>+'Therm Sales Master'!L126</f>
        <v>0</v>
      </c>
      <c r="M7" s="97">
        <f>+'Therm Sales Master'!M126</f>
        <v>0</v>
      </c>
      <c r="N7" s="97">
        <f>+'Therm Sales Master'!N126</f>
        <v>0</v>
      </c>
      <c r="O7" s="97">
        <f>+'Therm Sales Master'!O126</f>
        <v>0</v>
      </c>
      <c r="P7" s="98">
        <f>+'Therm Sales Master'!P126</f>
        <v>0</v>
      </c>
      <c r="R7" s="97">
        <f t="shared" ref="R7" si="1">SUM(B7:Q7)</f>
        <v>11017394</v>
      </c>
      <c r="S7" s="1" t="s">
        <v>56</v>
      </c>
    </row>
    <row r="8" spans="1:19" hidden="1" x14ac:dyDescent="0.2">
      <c r="A8" s="95">
        <v>43434</v>
      </c>
      <c r="B8" s="96">
        <f>+'Therm Sales Master'!B127</f>
        <v>3233440</v>
      </c>
      <c r="C8" s="97">
        <f>+'Therm Sales Master'!C127</f>
        <v>63</v>
      </c>
      <c r="D8" s="97">
        <f>+'Therm Sales Master'!D127</f>
        <v>298083</v>
      </c>
      <c r="E8" s="98">
        <f>+'Therm Sales Master'!E127</f>
        <v>77569</v>
      </c>
      <c r="F8" s="97">
        <f>+'Therm Sales Master'!F127</f>
        <v>3464</v>
      </c>
      <c r="G8" s="97">
        <f>+'Therm Sales Master'!G127</f>
        <v>2122532</v>
      </c>
      <c r="H8" s="98">
        <f>+'Therm Sales Master'!H127</f>
        <v>331925</v>
      </c>
      <c r="I8" s="97">
        <f>+'Therm Sales Master'!I127</f>
        <v>0</v>
      </c>
      <c r="J8" s="98">
        <f>+'Therm Sales Master'!J127</f>
        <v>0</v>
      </c>
      <c r="K8" s="96">
        <f>+'Therm Sales Master'!K127</f>
        <v>217688</v>
      </c>
      <c r="L8" s="96">
        <f>+'Therm Sales Master'!L127</f>
        <v>25948738</v>
      </c>
      <c r="M8" s="97">
        <f>+'Therm Sales Master'!M127</f>
        <v>76766</v>
      </c>
      <c r="N8" s="97">
        <f>+'Therm Sales Master'!N127</f>
        <v>28205</v>
      </c>
      <c r="O8" s="97">
        <f>+'Therm Sales Master'!O127</f>
        <v>33898</v>
      </c>
      <c r="P8" s="98">
        <f>+'Therm Sales Master'!P127</f>
        <v>0</v>
      </c>
      <c r="R8" s="97">
        <f t="shared" si="0"/>
        <v>32372371</v>
      </c>
      <c r="S8" s="1" t="s">
        <v>57</v>
      </c>
    </row>
    <row r="9" spans="1:19" hidden="1" x14ac:dyDescent="0.2">
      <c r="A9" s="95">
        <v>43465</v>
      </c>
      <c r="B9" s="96">
        <f>+'Therm Sales Master'!B128</f>
        <v>17031202</v>
      </c>
      <c r="C9" s="97">
        <f>+'Therm Sales Master'!C128</f>
        <v>-63</v>
      </c>
      <c r="D9" s="97">
        <f>+'Therm Sales Master'!D128</f>
        <v>1475293</v>
      </c>
      <c r="E9" s="98">
        <f>+'Therm Sales Master'!E128</f>
        <v>305292</v>
      </c>
      <c r="F9" s="97">
        <f>+'Therm Sales Master'!F128</f>
        <v>4915</v>
      </c>
      <c r="G9" s="97">
        <f>+'Therm Sales Master'!G128</f>
        <v>11460190</v>
      </c>
      <c r="H9" s="98">
        <f>+'Therm Sales Master'!H128</f>
        <v>1383646</v>
      </c>
      <c r="I9" s="97">
        <f>+'Therm Sales Master'!I128</f>
        <v>142</v>
      </c>
      <c r="J9" s="98">
        <f>+'Therm Sales Master'!J128</f>
        <v>0</v>
      </c>
      <c r="K9" s="96">
        <f>+'Therm Sales Master'!K128</f>
        <v>260482</v>
      </c>
      <c r="L9" s="96">
        <f>+'Therm Sales Master'!L128</f>
        <v>29346851</v>
      </c>
      <c r="M9" s="97">
        <f>+'Therm Sales Master'!M128</f>
        <v>14382579</v>
      </c>
      <c r="N9" s="97">
        <f>+'Therm Sales Master'!N128</f>
        <v>4450625</v>
      </c>
      <c r="O9" s="97">
        <f>+'Therm Sales Master'!O128</f>
        <v>57483</v>
      </c>
      <c r="P9" s="98">
        <f>+'Therm Sales Master'!P128</f>
        <v>0</v>
      </c>
      <c r="R9" s="97">
        <f t="shared" si="0"/>
        <v>80158637</v>
      </c>
    </row>
    <row r="10" spans="1:19" hidden="1" x14ac:dyDescent="0.2">
      <c r="A10" s="95">
        <v>43496</v>
      </c>
      <c r="B10" s="96">
        <f>+'Therm Sales Master'!B129</f>
        <v>19425579</v>
      </c>
      <c r="C10" s="97">
        <f>+'Therm Sales Master'!C129</f>
        <v>0</v>
      </c>
      <c r="D10" s="97">
        <f>+'Therm Sales Master'!D129</f>
        <v>1433715</v>
      </c>
      <c r="E10" s="98">
        <f>+'Therm Sales Master'!E129</f>
        <v>330955</v>
      </c>
      <c r="F10" s="97">
        <f>+'Therm Sales Master'!F129</f>
        <v>4626</v>
      </c>
      <c r="G10" s="97">
        <f>+'Therm Sales Master'!G129</f>
        <v>13117967</v>
      </c>
      <c r="H10" s="98">
        <f>+'Therm Sales Master'!H129</f>
        <v>1477641</v>
      </c>
      <c r="I10" s="97">
        <f>+'Therm Sales Master'!I129</f>
        <v>7</v>
      </c>
      <c r="J10" s="98">
        <f>+'Therm Sales Master'!J129</f>
        <v>0</v>
      </c>
      <c r="K10" s="96">
        <f>+'Therm Sales Master'!K129</f>
        <v>258811</v>
      </c>
      <c r="L10" s="96">
        <f>+'Therm Sales Master'!L129</f>
        <v>31076934</v>
      </c>
      <c r="M10" s="97">
        <f>+'Therm Sales Master'!M129</f>
        <v>14944499</v>
      </c>
      <c r="N10" s="97">
        <f>+'Therm Sales Master'!N129</f>
        <v>4088088</v>
      </c>
      <c r="O10" s="97">
        <f>+'Therm Sales Master'!O129</f>
        <v>106086</v>
      </c>
      <c r="P10" s="98">
        <f>+'Therm Sales Master'!P129</f>
        <v>0</v>
      </c>
      <c r="R10" s="97">
        <f t="shared" si="0"/>
        <v>86264908</v>
      </c>
    </row>
    <row r="11" spans="1:19" hidden="1" x14ac:dyDescent="0.2">
      <c r="A11" s="95">
        <v>43524</v>
      </c>
      <c r="B11" s="96">
        <f>+'Therm Sales Master'!B130</f>
        <v>20826493</v>
      </c>
      <c r="C11" s="97">
        <f>+'Therm Sales Master'!C130</f>
        <v>0</v>
      </c>
      <c r="D11" s="97">
        <f>+'Therm Sales Master'!D130</f>
        <v>1616149</v>
      </c>
      <c r="E11" s="98">
        <f>+'Therm Sales Master'!E130</f>
        <v>325966</v>
      </c>
      <c r="F11" s="97">
        <f>+'Therm Sales Master'!F130</f>
        <v>5486</v>
      </c>
      <c r="G11" s="97">
        <f>+'Therm Sales Master'!G130</f>
        <v>13988227</v>
      </c>
      <c r="H11" s="98">
        <f>+'Therm Sales Master'!H130</f>
        <v>1527495</v>
      </c>
      <c r="I11" s="97">
        <f>+'Therm Sales Master'!I130</f>
        <v>0</v>
      </c>
      <c r="J11" s="98">
        <f>+'Therm Sales Master'!J130</f>
        <v>0</v>
      </c>
      <c r="K11" s="96">
        <f>+'Therm Sales Master'!K130</f>
        <v>270184</v>
      </c>
      <c r="L11" s="96">
        <f>+'Therm Sales Master'!L130</f>
        <v>30225230</v>
      </c>
      <c r="M11" s="97">
        <f>+'Therm Sales Master'!M130</f>
        <v>7408861</v>
      </c>
      <c r="N11" s="97">
        <f>+'Therm Sales Master'!N130</f>
        <v>5846716</v>
      </c>
      <c r="O11" s="97">
        <f>+'Therm Sales Master'!O130</f>
        <v>228696</v>
      </c>
      <c r="P11" s="98">
        <f>+'Therm Sales Master'!P130</f>
        <v>0</v>
      </c>
      <c r="R11" s="97">
        <f t="shared" si="0"/>
        <v>82269503</v>
      </c>
    </row>
    <row r="12" spans="1:19" hidden="1" x14ac:dyDescent="0.2">
      <c r="A12" s="95">
        <v>43555</v>
      </c>
      <c r="B12" s="96">
        <f>+'Therm Sales Master'!B131</f>
        <v>22406676</v>
      </c>
      <c r="C12" s="97">
        <f>+'Therm Sales Master'!C131</f>
        <v>0</v>
      </c>
      <c r="D12" s="97">
        <f>+'Therm Sales Master'!D131</f>
        <v>1794729</v>
      </c>
      <c r="E12" s="98">
        <f>+'Therm Sales Master'!E131</f>
        <v>344448</v>
      </c>
      <c r="F12" s="97">
        <f>+'Therm Sales Master'!F131</f>
        <v>3527</v>
      </c>
      <c r="G12" s="97">
        <f>+'Therm Sales Master'!G131</f>
        <v>15941825</v>
      </c>
      <c r="H12" s="98">
        <f>+'Therm Sales Master'!H131</f>
        <v>1650107</v>
      </c>
      <c r="I12" s="97">
        <f>+'Therm Sales Master'!I131</f>
        <v>0</v>
      </c>
      <c r="J12" s="98">
        <f>+'Therm Sales Master'!J131</f>
        <v>0</v>
      </c>
      <c r="K12" s="96">
        <f>+'Therm Sales Master'!K131</f>
        <v>248145</v>
      </c>
      <c r="L12" s="96">
        <f>+'Therm Sales Master'!L131</f>
        <v>29441177</v>
      </c>
      <c r="M12" s="97">
        <f>+'Therm Sales Master'!M131</f>
        <v>9817659</v>
      </c>
      <c r="N12" s="97">
        <f>+'Therm Sales Master'!N131</f>
        <v>3088142</v>
      </c>
      <c r="O12" s="97">
        <f>+'Therm Sales Master'!O131</f>
        <v>0</v>
      </c>
      <c r="P12" s="98">
        <f>+'Therm Sales Master'!P131</f>
        <v>0</v>
      </c>
      <c r="R12" s="97">
        <f t="shared" si="0"/>
        <v>84736435</v>
      </c>
    </row>
    <row r="13" spans="1:19" hidden="1" x14ac:dyDescent="0.2">
      <c r="A13" s="95">
        <v>43585</v>
      </c>
      <c r="B13" s="96">
        <f>+'Therm Sales Master'!B132</f>
        <v>12262358</v>
      </c>
      <c r="C13" s="97">
        <f>+'Therm Sales Master'!C132</f>
        <v>0</v>
      </c>
      <c r="D13" s="97">
        <f>+'Therm Sales Master'!D132</f>
        <v>1331310</v>
      </c>
      <c r="E13" s="98">
        <f>+'Therm Sales Master'!E132</f>
        <v>339049</v>
      </c>
      <c r="F13" s="97">
        <f>+'Therm Sales Master'!F132</f>
        <v>2258</v>
      </c>
      <c r="G13" s="97">
        <f>+'Therm Sales Master'!G132</f>
        <v>9096547</v>
      </c>
      <c r="H13" s="98">
        <f>+'Therm Sales Master'!H132</f>
        <v>1028839</v>
      </c>
      <c r="I13" s="97">
        <f>+'Therm Sales Master'!I132</f>
        <v>128</v>
      </c>
      <c r="J13" s="98">
        <f>+'Therm Sales Master'!J132</f>
        <v>0</v>
      </c>
      <c r="K13" s="96">
        <f>+'Therm Sales Master'!K132</f>
        <v>191467</v>
      </c>
      <c r="L13" s="96">
        <f>+'Therm Sales Master'!L132</f>
        <v>27808927</v>
      </c>
      <c r="M13" s="97">
        <f>+'Therm Sales Master'!M132</f>
        <v>7594206</v>
      </c>
      <c r="N13" s="97">
        <f>+'Therm Sales Master'!N132</f>
        <v>2551096</v>
      </c>
      <c r="O13" s="97">
        <f>+'Therm Sales Master'!O132</f>
        <v>24270</v>
      </c>
      <c r="P13" s="98">
        <f>+'Therm Sales Master'!P132</f>
        <v>0</v>
      </c>
      <c r="R13" s="97">
        <f t="shared" si="0"/>
        <v>62230455</v>
      </c>
    </row>
    <row r="14" spans="1:19" hidden="1" x14ac:dyDescent="0.2">
      <c r="A14" s="95">
        <v>43616</v>
      </c>
      <c r="B14" s="96">
        <f>+'Therm Sales Master'!B133</f>
        <v>7409569</v>
      </c>
      <c r="C14" s="97">
        <f>+'Therm Sales Master'!C133</f>
        <v>0</v>
      </c>
      <c r="D14" s="97">
        <f>+'Therm Sales Master'!D133</f>
        <v>789879</v>
      </c>
      <c r="E14" s="98">
        <f>+'Therm Sales Master'!E133</f>
        <v>267660</v>
      </c>
      <c r="F14" s="97">
        <f>+'Therm Sales Master'!F133</f>
        <v>645</v>
      </c>
      <c r="G14" s="97">
        <f>+'Therm Sales Master'!G133</f>
        <v>5370530</v>
      </c>
      <c r="H14" s="98">
        <f>+'Therm Sales Master'!H133</f>
        <v>692205</v>
      </c>
      <c r="I14" s="97">
        <f>+'Therm Sales Master'!I133</f>
        <v>151</v>
      </c>
      <c r="J14" s="98">
        <f>+'Therm Sales Master'!J133</f>
        <v>0</v>
      </c>
      <c r="K14" s="96">
        <f>+'Therm Sales Master'!K133</f>
        <v>142256</v>
      </c>
      <c r="L14" s="96">
        <f>+'Therm Sales Master'!L133</f>
        <v>29847911</v>
      </c>
      <c r="M14" s="97">
        <f>+'Therm Sales Master'!M133</f>
        <v>5340649</v>
      </c>
      <c r="N14" s="97">
        <f>+'Therm Sales Master'!N133</f>
        <v>381981</v>
      </c>
      <c r="O14" s="97">
        <f>+'Therm Sales Master'!O133</f>
        <v>234043</v>
      </c>
      <c r="P14" s="98">
        <f>+'Therm Sales Master'!P133</f>
        <v>0</v>
      </c>
      <c r="R14" s="97">
        <f t="shared" si="0"/>
        <v>50477479</v>
      </c>
    </row>
    <row r="15" spans="1:19" hidden="1" x14ac:dyDescent="0.2">
      <c r="A15" s="95">
        <v>43646</v>
      </c>
      <c r="B15" s="96">
        <f>+'Therm Sales Master'!B134</f>
        <v>4046705</v>
      </c>
      <c r="C15" s="97">
        <f>+'Therm Sales Master'!C134</f>
        <v>0</v>
      </c>
      <c r="D15" s="97">
        <f>+'Therm Sales Master'!D134</f>
        <v>579038</v>
      </c>
      <c r="E15" s="98">
        <f>+'Therm Sales Master'!E134</f>
        <v>275040</v>
      </c>
      <c r="F15" s="97">
        <f>+'Therm Sales Master'!F134</f>
        <v>367</v>
      </c>
      <c r="G15" s="97">
        <f>+'Therm Sales Master'!G134</f>
        <v>3465484</v>
      </c>
      <c r="H15" s="98">
        <f>+'Therm Sales Master'!H134</f>
        <v>479946</v>
      </c>
      <c r="I15" s="97">
        <f>+'Therm Sales Master'!I134</f>
        <v>0</v>
      </c>
      <c r="J15" s="98">
        <f>+'Therm Sales Master'!J134</f>
        <v>0</v>
      </c>
      <c r="K15" s="96">
        <f>+'Therm Sales Master'!K134</f>
        <v>110987</v>
      </c>
      <c r="L15" s="96">
        <f>+'Therm Sales Master'!L134</f>
        <v>27060192</v>
      </c>
      <c r="M15" s="97">
        <f>+'Therm Sales Master'!M134</f>
        <v>7824546</v>
      </c>
      <c r="N15" s="97">
        <f>+'Therm Sales Master'!N134</f>
        <v>6776820</v>
      </c>
      <c r="O15" s="97">
        <f>+'Therm Sales Master'!O134</f>
        <v>1112893</v>
      </c>
      <c r="P15" s="98">
        <f>+'Therm Sales Master'!P134</f>
        <v>0</v>
      </c>
      <c r="R15" s="97">
        <f t="shared" si="0"/>
        <v>51732018</v>
      </c>
    </row>
    <row r="16" spans="1:19" hidden="1" x14ac:dyDescent="0.2">
      <c r="A16" s="95">
        <v>43677</v>
      </c>
      <c r="B16" s="96">
        <f>+'Therm Sales Master'!B135</f>
        <v>3217527</v>
      </c>
      <c r="C16" s="97">
        <f>+'Therm Sales Master'!C135</f>
        <v>0</v>
      </c>
      <c r="D16" s="97">
        <f>+'Therm Sales Master'!D135</f>
        <v>537168</v>
      </c>
      <c r="E16" s="98">
        <f>+'Therm Sales Master'!E135</f>
        <v>315197</v>
      </c>
      <c r="F16" s="97">
        <f>+'Therm Sales Master'!F135</f>
        <v>155</v>
      </c>
      <c r="G16" s="97">
        <f>+'Therm Sales Master'!G135</f>
        <v>3054528</v>
      </c>
      <c r="H16" s="98">
        <f>+'Therm Sales Master'!H135</f>
        <v>406093</v>
      </c>
      <c r="I16" s="97">
        <f>+'Therm Sales Master'!I135</f>
        <v>163</v>
      </c>
      <c r="J16" s="98">
        <f>+'Therm Sales Master'!J135</f>
        <v>0</v>
      </c>
      <c r="K16" s="96">
        <f>+'Therm Sales Master'!K135</f>
        <v>120028</v>
      </c>
      <c r="L16" s="96">
        <f>+'Therm Sales Master'!L135</f>
        <v>26075307</v>
      </c>
      <c r="M16" s="97">
        <f>+'Therm Sales Master'!M135</f>
        <v>14501183</v>
      </c>
      <c r="N16" s="97">
        <f>+'Therm Sales Master'!N135</f>
        <v>14122838</v>
      </c>
      <c r="O16" s="97">
        <f>+'Therm Sales Master'!O135</f>
        <v>5050508</v>
      </c>
      <c r="P16" s="98">
        <f>+'Therm Sales Master'!P135</f>
        <v>0</v>
      </c>
      <c r="R16" s="97">
        <f t="shared" ref="R16:R22" si="2">SUM(B16:Q16)</f>
        <v>67400695</v>
      </c>
    </row>
    <row r="17" spans="1:19" hidden="1" x14ac:dyDescent="0.2">
      <c r="A17" s="95">
        <v>43708</v>
      </c>
      <c r="B17" s="96">
        <f>+'Therm Sales Master'!B136</f>
        <v>2775098</v>
      </c>
      <c r="C17" s="97">
        <f>+'Therm Sales Master'!C136</f>
        <v>0</v>
      </c>
      <c r="D17" s="97">
        <f>+'Therm Sales Master'!D136</f>
        <v>564404</v>
      </c>
      <c r="E17" s="98">
        <f>+'Therm Sales Master'!E136</f>
        <v>350812</v>
      </c>
      <c r="F17" s="97">
        <f>+'Therm Sales Master'!F136</f>
        <v>138</v>
      </c>
      <c r="G17" s="97">
        <f>+'Therm Sales Master'!G136</f>
        <v>2791770</v>
      </c>
      <c r="H17" s="98">
        <f>+'Therm Sales Master'!H136</f>
        <v>400926</v>
      </c>
      <c r="I17" s="97">
        <f>+'Therm Sales Master'!I136</f>
        <v>0</v>
      </c>
      <c r="J17" s="98">
        <f>+'Therm Sales Master'!J136</f>
        <v>0</v>
      </c>
      <c r="K17" s="96">
        <f>+'Therm Sales Master'!K136</f>
        <v>93626</v>
      </c>
      <c r="L17" s="96">
        <f>+'Therm Sales Master'!L136</f>
        <v>28191126</v>
      </c>
      <c r="M17" s="97">
        <f>+'Therm Sales Master'!M136</f>
        <v>16164686</v>
      </c>
      <c r="N17" s="97">
        <f>+'Therm Sales Master'!N136</f>
        <v>15605297</v>
      </c>
      <c r="O17" s="97">
        <f>+'Therm Sales Master'!O136</f>
        <v>9500954</v>
      </c>
      <c r="P17" s="98">
        <f>+'Therm Sales Master'!P136</f>
        <v>0</v>
      </c>
      <c r="R17" s="97">
        <f t="shared" si="2"/>
        <v>76438837</v>
      </c>
    </row>
    <row r="18" spans="1:19" hidden="1" x14ac:dyDescent="0.2">
      <c r="A18" s="95">
        <v>43738</v>
      </c>
      <c r="B18" s="96">
        <f>+'Therm Sales Master'!B137</f>
        <v>2691847</v>
      </c>
      <c r="C18" s="97">
        <f>+'Therm Sales Master'!C137</f>
        <v>0</v>
      </c>
      <c r="D18" s="97">
        <f>+'Therm Sales Master'!D137</f>
        <v>651984</v>
      </c>
      <c r="E18" s="98">
        <f>+'Therm Sales Master'!E137</f>
        <v>310612</v>
      </c>
      <c r="F18" s="97">
        <f>+'Therm Sales Master'!F137</f>
        <v>619</v>
      </c>
      <c r="G18" s="97">
        <f>+'Therm Sales Master'!G137</f>
        <v>2672689</v>
      </c>
      <c r="H18" s="98">
        <f>+'Therm Sales Master'!H137</f>
        <v>346838</v>
      </c>
      <c r="I18" s="97">
        <f>+'Therm Sales Master'!I137</f>
        <v>411</v>
      </c>
      <c r="J18" s="98">
        <f>+'Therm Sales Master'!J137</f>
        <v>0</v>
      </c>
      <c r="K18" s="96">
        <f>+'Therm Sales Master'!K137</f>
        <v>111442</v>
      </c>
      <c r="L18" s="96">
        <f>+'Therm Sales Master'!L137</f>
        <v>31412664</v>
      </c>
      <c r="M18" s="97">
        <f>+'Therm Sales Master'!M137</f>
        <v>15653966</v>
      </c>
      <c r="N18" s="97">
        <f>+'Therm Sales Master'!N137</f>
        <v>14512835</v>
      </c>
      <c r="O18" s="97">
        <f>+'Therm Sales Master'!O137</f>
        <v>4852567</v>
      </c>
      <c r="P18" s="98">
        <f>+'Therm Sales Master'!P137</f>
        <v>0</v>
      </c>
      <c r="R18" s="97">
        <f t="shared" si="2"/>
        <v>73218474</v>
      </c>
    </row>
    <row r="19" spans="1:19" hidden="1" x14ac:dyDescent="0.2">
      <c r="A19" s="95">
        <v>43769</v>
      </c>
      <c r="B19" s="96">
        <f>+'Therm Sales Master'!B138</f>
        <v>6366467</v>
      </c>
      <c r="C19" s="97">
        <f>+'Therm Sales Master'!C138</f>
        <v>0</v>
      </c>
      <c r="D19" s="97">
        <f>+'Therm Sales Master'!D138</f>
        <v>1274354</v>
      </c>
      <c r="E19" s="98">
        <f>+'Therm Sales Master'!E138</f>
        <v>413276</v>
      </c>
      <c r="F19" s="97">
        <f>+'Therm Sales Master'!F138</f>
        <v>2955</v>
      </c>
      <c r="G19" s="97">
        <f>+'Therm Sales Master'!G138</f>
        <v>4853452</v>
      </c>
      <c r="H19" s="98">
        <f>+'Therm Sales Master'!H138</f>
        <v>2027719</v>
      </c>
      <c r="I19" s="97">
        <f>+'Therm Sales Master'!I138</f>
        <v>317</v>
      </c>
      <c r="J19" s="98">
        <f>+'Therm Sales Master'!J138</f>
        <v>0</v>
      </c>
      <c r="K19" s="96">
        <f>+'Therm Sales Master'!K138</f>
        <v>232820</v>
      </c>
      <c r="L19" s="96">
        <f>+'Therm Sales Master'!L138</f>
        <v>34409561</v>
      </c>
      <c r="M19" s="97">
        <f>+'Therm Sales Master'!M138</f>
        <v>11066352</v>
      </c>
      <c r="N19" s="97">
        <f>+'Therm Sales Master'!N138</f>
        <v>667138</v>
      </c>
      <c r="O19" s="97">
        <f>+'Therm Sales Master'!O138</f>
        <v>897404</v>
      </c>
      <c r="P19" s="98">
        <f>+'Therm Sales Master'!P138</f>
        <v>0</v>
      </c>
      <c r="R19" s="97">
        <f t="shared" si="2"/>
        <v>62211815</v>
      </c>
    </row>
    <row r="20" spans="1:19" hidden="1" x14ac:dyDescent="0.2">
      <c r="A20" s="95">
        <v>43799</v>
      </c>
      <c r="B20" s="96">
        <f>+'Therm Sales Master'!B139</f>
        <v>7622134</v>
      </c>
      <c r="C20" s="97">
        <f>+'Therm Sales Master'!C139</f>
        <v>0</v>
      </c>
      <c r="D20" s="97">
        <f>+'Therm Sales Master'!D139</f>
        <v>806453</v>
      </c>
      <c r="E20" s="98">
        <f>+'Therm Sales Master'!E139</f>
        <v>292270</v>
      </c>
      <c r="F20" s="97">
        <f>+'Therm Sales Master'!F139</f>
        <v>0</v>
      </c>
      <c r="G20" s="97">
        <f>+'Therm Sales Master'!G139</f>
        <v>5319138</v>
      </c>
      <c r="H20" s="98">
        <f>+'Therm Sales Master'!H139</f>
        <v>626870</v>
      </c>
      <c r="I20" s="97">
        <f>+'Therm Sales Master'!I139</f>
        <v>0</v>
      </c>
      <c r="J20" s="98">
        <f>+'Therm Sales Master'!J139</f>
        <v>0</v>
      </c>
      <c r="K20" s="96">
        <f>+'Therm Sales Master'!K139</f>
        <v>0</v>
      </c>
      <c r="L20" s="96">
        <f>+'Therm Sales Master'!L139</f>
        <v>132</v>
      </c>
      <c r="M20" s="97">
        <f>+'Therm Sales Master'!M139</f>
        <v>0</v>
      </c>
      <c r="N20" s="97">
        <f>+'Therm Sales Master'!N139</f>
        <v>0</v>
      </c>
      <c r="O20" s="97">
        <f>+'Therm Sales Master'!O139</f>
        <v>0</v>
      </c>
      <c r="P20" s="98">
        <f>+'Therm Sales Master'!P139</f>
        <v>0</v>
      </c>
      <c r="R20" s="97">
        <f t="shared" si="2"/>
        <v>14666997</v>
      </c>
      <c r="S20" s="1" t="s">
        <v>56</v>
      </c>
    </row>
    <row r="21" spans="1:19" hidden="1" x14ac:dyDescent="0.2">
      <c r="A21" s="95">
        <v>43799</v>
      </c>
      <c r="B21" s="96">
        <f>+'Therm Sales Master'!B140</f>
        <v>4006834</v>
      </c>
      <c r="C21" s="97">
        <f>+'Therm Sales Master'!C140</f>
        <v>0</v>
      </c>
      <c r="D21" s="97">
        <f>+'Therm Sales Master'!D140</f>
        <v>352170</v>
      </c>
      <c r="E21" s="98">
        <f>+'Therm Sales Master'!E140</f>
        <v>192646</v>
      </c>
      <c r="F21" s="97">
        <f>+'Therm Sales Master'!F140</f>
        <v>3958</v>
      </c>
      <c r="G21" s="97">
        <f>+'Therm Sales Master'!G140</f>
        <v>2589532</v>
      </c>
      <c r="H21" s="98">
        <f>+'Therm Sales Master'!H140</f>
        <v>1908901</v>
      </c>
      <c r="I21" s="97">
        <f>+'Therm Sales Master'!I140</f>
        <v>491</v>
      </c>
      <c r="J21" s="98">
        <f>+'Therm Sales Master'!J140</f>
        <v>0</v>
      </c>
      <c r="K21" s="96">
        <f>+'Therm Sales Master'!K140</f>
        <v>230233</v>
      </c>
      <c r="L21" s="96">
        <f>+'Therm Sales Master'!L140</f>
        <v>29790523</v>
      </c>
      <c r="M21" s="97">
        <f>+'Therm Sales Master'!M140</f>
        <v>12699045</v>
      </c>
      <c r="N21" s="97">
        <f>+'Therm Sales Master'!N140</f>
        <v>5956005</v>
      </c>
      <c r="O21" s="97">
        <f>+'Therm Sales Master'!O140</f>
        <v>211269</v>
      </c>
      <c r="P21" s="98">
        <f>+'Therm Sales Master'!P140</f>
        <v>0</v>
      </c>
      <c r="R21" s="97">
        <f t="shared" ref="R21" si="3">SUM(B21:Q21)</f>
        <v>57941607</v>
      </c>
      <c r="S21" s="1" t="s">
        <v>57</v>
      </c>
    </row>
    <row r="22" spans="1:19" hidden="1" x14ac:dyDescent="0.2">
      <c r="A22" s="95">
        <v>43830</v>
      </c>
      <c r="B22" s="96">
        <f>+'Therm Sales Master'!B141</f>
        <v>17650518</v>
      </c>
      <c r="C22" s="97">
        <f>+'Therm Sales Master'!C141</f>
        <v>0</v>
      </c>
      <c r="D22" s="97">
        <f>+'Therm Sales Master'!D141</f>
        <v>1422636</v>
      </c>
      <c r="E22" s="98">
        <f>+'Therm Sales Master'!E141</f>
        <v>368658</v>
      </c>
      <c r="F22" s="97">
        <f>+'Therm Sales Master'!F141</f>
        <v>4552</v>
      </c>
      <c r="G22" s="97">
        <f>+'Therm Sales Master'!G141</f>
        <v>11976706</v>
      </c>
      <c r="H22" s="98">
        <f>+'Therm Sales Master'!H141</f>
        <v>2959155</v>
      </c>
      <c r="I22" s="97">
        <f>+'Therm Sales Master'!I141</f>
        <v>261</v>
      </c>
      <c r="J22" s="98">
        <f>+'Therm Sales Master'!J141</f>
        <v>0</v>
      </c>
      <c r="K22" s="96">
        <f>+'Therm Sales Master'!K141</f>
        <v>254015</v>
      </c>
      <c r="L22" s="96">
        <f>+'Therm Sales Master'!L141</f>
        <v>31617374</v>
      </c>
      <c r="M22" s="97">
        <f>+'Therm Sales Master'!M141</f>
        <v>14173947</v>
      </c>
      <c r="N22" s="97">
        <f>+'Therm Sales Master'!N141</f>
        <v>13886984</v>
      </c>
      <c r="O22" s="97">
        <f>+'Therm Sales Master'!O141</f>
        <v>1297588</v>
      </c>
      <c r="P22" s="98">
        <f>+'Therm Sales Master'!P141</f>
        <v>0</v>
      </c>
      <c r="R22" s="97">
        <f t="shared" si="2"/>
        <v>95612394</v>
      </c>
    </row>
    <row r="23" spans="1:19" hidden="1" x14ac:dyDescent="0.2">
      <c r="A23" s="95">
        <v>43861</v>
      </c>
      <c r="B23" s="96">
        <f>+'Therm Sales Master'!B142</f>
        <v>21443608</v>
      </c>
      <c r="C23" s="97">
        <f>+'Therm Sales Master'!C142</f>
        <v>0</v>
      </c>
      <c r="D23" s="97">
        <f>+'Therm Sales Master'!D142</f>
        <v>1522757</v>
      </c>
      <c r="E23" s="98">
        <f>+'Therm Sales Master'!E142</f>
        <v>431249</v>
      </c>
      <c r="F23" s="97">
        <f>+'Therm Sales Master'!F142</f>
        <v>4887</v>
      </c>
      <c r="G23" s="97">
        <f>+'Therm Sales Master'!G142</f>
        <v>14478708</v>
      </c>
      <c r="H23" s="98">
        <f>+'Therm Sales Master'!H142</f>
        <v>3309514</v>
      </c>
      <c r="I23" s="97">
        <f>+'Therm Sales Master'!I142</f>
        <v>85</v>
      </c>
      <c r="J23" s="98">
        <f>+'Therm Sales Master'!J142</f>
        <v>0</v>
      </c>
      <c r="K23" s="96">
        <f>+'Therm Sales Master'!K142</f>
        <v>256203</v>
      </c>
      <c r="L23" s="96">
        <f>+'Therm Sales Master'!L142</f>
        <v>32467716</v>
      </c>
      <c r="M23" s="97">
        <f>+'Therm Sales Master'!M142</f>
        <v>12220363</v>
      </c>
      <c r="N23" s="97">
        <f>+'Therm Sales Master'!N142</f>
        <v>9693367</v>
      </c>
      <c r="O23" s="97">
        <f>+'Therm Sales Master'!O142</f>
        <v>362331</v>
      </c>
      <c r="P23" s="98">
        <f>+'Therm Sales Master'!P142</f>
        <v>0</v>
      </c>
      <c r="R23" s="97">
        <f t="shared" ref="R23:R34" si="4">SUM(B23:Q23)</f>
        <v>96190788</v>
      </c>
    </row>
    <row r="24" spans="1:19" hidden="1" x14ac:dyDescent="0.2">
      <c r="A24" s="95">
        <v>43890</v>
      </c>
      <c r="B24" s="96">
        <f>+'Therm Sales Master'!B143</f>
        <v>17506775</v>
      </c>
      <c r="C24" s="97">
        <f>+'Therm Sales Master'!C143</f>
        <v>0</v>
      </c>
      <c r="D24" s="97">
        <f>+'Therm Sales Master'!D143</f>
        <v>1322495</v>
      </c>
      <c r="E24" s="98">
        <f>+'Therm Sales Master'!E143</f>
        <v>393372</v>
      </c>
      <c r="F24" s="97">
        <f>+'Therm Sales Master'!F143</f>
        <v>4650</v>
      </c>
      <c r="G24" s="97">
        <f>+'Therm Sales Master'!G143</f>
        <v>11970901</v>
      </c>
      <c r="H24" s="98">
        <f>+'Therm Sales Master'!H143</f>
        <v>2889473</v>
      </c>
      <c r="I24" s="97">
        <f>+'Therm Sales Master'!I143</f>
        <v>341</v>
      </c>
      <c r="J24" s="98">
        <f>+'Therm Sales Master'!J143</f>
        <v>0</v>
      </c>
      <c r="K24" s="96">
        <f>+'Therm Sales Master'!K143</f>
        <v>228991</v>
      </c>
      <c r="L24" s="96">
        <f>+'Therm Sales Master'!L143</f>
        <v>30355704</v>
      </c>
      <c r="M24" s="97">
        <f>+'Therm Sales Master'!M143</f>
        <v>11897437</v>
      </c>
      <c r="N24" s="97">
        <f>+'Therm Sales Master'!N143</f>
        <v>7438730</v>
      </c>
      <c r="O24" s="97">
        <f>+'Therm Sales Master'!O143</f>
        <v>761639</v>
      </c>
      <c r="P24" s="98">
        <f>+'Therm Sales Master'!P143</f>
        <v>0</v>
      </c>
      <c r="R24" s="97">
        <f t="shared" si="4"/>
        <v>84770508</v>
      </c>
    </row>
    <row r="25" spans="1:19" hidden="1" x14ac:dyDescent="0.2">
      <c r="A25" s="95">
        <v>43921</v>
      </c>
      <c r="B25" s="96">
        <f>+'Therm Sales Master'!B144</f>
        <v>17635811</v>
      </c>
      <c r="C25" s="97">
        <f>+'Therm Sales Master'!C144</f>
        <v>0</v>
      </c>
      <c r="D25" s="97">
        <f>+'Therm Sales Master'!D144</f>
        <v>1356275</v>
      </c>
      <c r="E25" s="98">
        <f>+'Therm Sales Master'!E144</f>
        <v>297569</v>
      </c>
      <c r="F25" s="97">
        <f>+'Therm Sales Master'!F144</f>
        <v>4903</v>
      </c>
      <c r="G25" s="97">
        <f>+'Therm Sales Master'!G144</f>
        <v>11812961</v>
      </c>
      <c r="H25" s="98">
        <f>+'Therm Sales Master'!H144</f>
        <v>3033699</v>
      </c>
      <c r="I25" s="97">
        <f>+'Therm Sales Master'!I144</f>
        <v>182</v>
      </c>
      <c r="J25" s="98">
        <f>+'Therm Sales Master'!J144</f>
        <v>0</v>
      </c>
      <c r="K25" s="96">
        <f>+'Therm Sales Master'!K144</f>
        <v>229265</v>
      </c>
      <c r="L25" s="96">
        <f>+'Therm Sales Master'!L144</f>
        <v>32606618</v>
      </c>
      <c r="M25" s="97">
        <f>+'Therm Sales Master'!M144</f>
        <v>15670834</v>
      </c>
      <c r="N25" s="97">
        <f>+'Therm Sales Master'!N144</f>
        <v>14229128</v>
      </c>
      <c r="O25" s="97">
        <f>+'Therm Sales Master'!O144</f>
        <v>3004872</v>
      </c>
      <c r="P25" s="98">
        <f>+'Therm Sales Master'!P144</f>
        <v>0</v>
      </c>
      <c r="R25" s="97">
        <f t="shared" si="4"/>
        <v>99882117</v>
      </c>
    </row>
    <row r="26" spans="1:19" hidden="1" x14ac:dyDescent="0.2">
      <c r="A26" s="95">
        <v>43951</v>
      </c>
      <c r="B26" s="96">
        <f>+'Therm Sales Master'!B145</f>
        <v>13930299</v>
      </c>
      <c r="C26" s="97">
        <f>+'Therm Sales Master'!C145</f>
        <v>0</v>
      </c>
      <c r="D26" s="97">
        <f>+'Therm Sales Master'!D145</f>
        <v>1128418</v>
      </c>
      <c r="E26" s="98">
        <f>+'Therm Sales Master'!E145</f>
        <v>537766</v>
      </c>
      <c r="F26" s="97">
        <f>+'Therm Sales Master'!F145</f>
        <v>3889</v>
      </c>
      <c r="G26" s="97">
        <f>+'Therm Sales Master'!G145</f>
        <v>8554564</v>
      </c>
      <c r="H26" s="98">
        <f>+'Therm Sales Master'!H145</f>
        <v>2377971</v>
      </c>
      <c r="I26" s="97">
        <f>+'Therm Sales Master'!I145</f>
        <v>193</v>
      </c>
      <c r="J26" s="98">
        <f>+'Therm Sales Master'!J145</f>
        <v>0</v>
      </c>
      <c r="K26" s="96">
        <f>+'Therm Sales Master'!K145</f>
        <v>189521</v>
      </c>
      <c r="L26" s="96">
        <f>+'Therm Sales Master'!L145</f>
        <v>27153616</v>
      </c>
      <c r="M26" s="97">
        <f>+'Therm Sales Master'!M145</f>
        <v>13569738</v>
      </c>
      <c r="N26" s="97">
        <f>+'Therm Sales Master'!N145</f>
        <v>11001952</v>
      </c>
      <c r="O26" s="97">
        <f>+'Therm Sales Master'!O145</f>
        <v>3430843</v>
      </c>
      <c r="P26" s="98">
        <f>+'Therm Sales Master'!P145</f>
        <v>0</v>
      </c>
      <c r="R26" s="97">
        <f t="shared" si="4"/>
        <v>81878770</v>
      </c>
    </row>
    <row r="27" spans="1:19" hidden="1" x14ac:dyDescent="0.2">
      <c r="A27" s="95">
        <v>43982</v>
      </c>
      <c r="B27" s="96">
        <f>+'Therm Sales Master'!B146</f>
        <v>6809502</v>
      </c>
      <c r="C27" s="97">
        <f>+'Therm Sales Master'!C146</f>
        <v>0</v>
      </c>
      <c r="D27" s="97">
        <f>+'Therm Sales Master'!D146</f>
        <v>713209</v>
      </c>
      <c r="E27" s="98">
        <f>+'Therm Sales Master'!E146</f>
        <v>222952</v>
      </c>
      <c r="F27" s="97">
        <f>+'Therm Sales Master'!F146</f>
        <v>2219</v>
      </c>
      <c r="G27" s="97">
        <f>+'Therm Sales Master'!G146</f>
        <v>4127918</v>
      </c>
      <c r="H27" s="98">
        <f>+'Therm Sales Master'!H146</f>
        <v>1489675</v>
      </c>
      <c r="I27" s="97">
        <f>+'Therm Sales Master'!I146</f>
        <v>0</v>
      </c>
      <c r="J27" s="98">
        <f>+'Therm Sales Master'!J146</f>
        <v>0</v>
      </c>
      <c r="K27" s="96">
        <f>+'Therm Sales Master'!K146</f>
        <v>139474</v>
      </c>
      <c r="L27" s="96">
        <f>+'Therm Sales Master'!L146</f>
        <v>29220834</v>
      </c>
      <c r="M27" s="97">
        <f>+'Therm Sales Master'!M146</f>
        <v>2198918</v>
      </c>
      <c r="N27" s="97">
        <f>+'Therm Sales Master'!N146</f>
        <v>791584</v>
      </c>
      <c r="O27" s="97">
        <f>+'Therm Sales Master'!O146</f>
        <v>447784</v>
      </c>
      <c r="P27" s="98">
        <f>+'Therm Sales Master'!P146</f>
        <v>0</v>
      </c>
      <c r="R27" s="97">
        <f t="shared" si="4"/>
        <v>46164069</v>
      </c>
    </row>
    <row r="28" spans="1:19" hidden="1" x14ac:dyDescent="0.2">
      <c r="A28" s="95">
        <v>44012</v>
      </c>
      <c r="B28" s="96">
        <f>+'Therm Sales Master'!B147</f>
        <v>5005480</v>
      </c>
      <c r="C28" s="97">
        <f>+'Therm Sales Master'!C147</f>
        <v>0</v>
      </c>
      <c r="D28" s="97">
        <f>+'Therm Sales Master'!D147</f>
        <v>637229</v>
      </c>
      <c r="E28" s="98">
        <f>+'Therm Sales Master'!E147</f>
        <v>433558</v>
      </c>
      <c r="F28" s="97">
        <f>+'Therm Sales Master'!F147</f>
        <v>2099</v>
      </c>
      <c r="G28" s="97">
        <f>+'Therm Sales Master'!G147</f>
        <v>3158885</v>
      </c>
      <c r="H28" s="98">
        <f>+'Therm Sales Master'!H147</f>
        <v>1216237</v>
      </c>
      <c r="I28" s="97">
        <f>+'Therm Sales Master'!I147</f>
        <v>0</v>
      </c>
      <c r="J28" s="98">
        <f>+'Therm Sales Master'!J147</f>
        <v>0</v>
      </c>
      <c r="K28" s="96">
        <f>+'Therm Sales Master'!K147</f>
        <v>109505</v>
      </c>
      <c r="L28" s="96">
        <f>+'Therm Sales Master'!L147</f>
        <v>27661973</v>
      </c>
      <c r="M28" s="97">
        <f>+'Therm Sales Master'!M147</f>
        <v>3015900</v>
      </c>
      <c r="N28" s="97">
        <f>+'Therm Sales Master'!N147</f>
        <v>1306946</v>
      </c>
      <c r="O28" s="97">
        <f>+'Therm Sales Master'!O147</f>
        <v>736401</v>
      </c>
      <c r="P28" s="98">
        <f>+'Therm Sales Master'!P147</f>
        <v>0</v>
      </c>
      <c r="R28" s="97">
        <f t="shared" si="4"/>
        <v>43284213</v>
      </c>
    </row>
    <row r="29" spans="1:19" hidden="1" x14ac:dyDescent="0.2">
      <c r="A29" s="95">
        <v>44043</v>
      </c>
      <c r="B29" s="96">
        <f>+'Therm Sales Master'!B148</f>
        <v>4024864</v>
      </c>
      <c r="C29" s="97">
        <f>+'Therm Sales Master'!C148</f>
        <v>0</v>
      </c>
      <c r="D29" s="97">
        <f>+'Therm Sales Master'!D148</f>
        <v>562464</v>
      </c>
      <c r="E29" s="98">
        <f>+'Therm Sales Master'!E148</f>
        <v>335278</v>
      </c>
      <c r="F29" s="97">
        <f>+'Therm Sales Master'!F148</f>
        <v>943</v>
      </c>
      <c r="G29" s="97">
        <f>+'Therm Sales Master'!G148</f>
        <v>2836474</v>
      </c>
      <c r="H29" s="98">
        <f>+'Therm Sales Master'!H148</f>
        <v>1217402</v>
      </c>
      <c r="I29" s="97">
        <f>+'Therm Sales Master'!I148</f>
        <v>0</v>
      </c>
      <c r="J29" s="98">
        <f>+'Therm Sales Master'!J148</f>
        <v>0</v>
      </c>
      <c r="K29" s="96">
        <f>+'Therm Sales Master'!K148</f>
        <v>106383</v>
      </c>
      <c r="L29" s="96">
        <f>+'Therm Sales Master'!L148</f>
        <v>28966911</v>
      </c>
      <c r="M29" s="97">
        <f>+'Therm Sales Master'!M148</f>
        <v>9874110</v>
      </c>
      <c r="N29" s="97">
        <f>+'Therm Sales Master'!N148</f>
        <v>5180231</v>
      </c>
      <c r="O29" s="97">
        <f>+'Therm Sales Master'!O148</f>
        <v>1984278</v>
      </c>
      <c r="P29" s="98">
        <f>+'Therm Sales Master'!P148</f>
        <v>0</v>
      </c>
      <c r="R29" s="97">
        <f t="shared" si="4"/>
        <v>55089338</v>
      </c>
    </row>
    <row r="30" spans="1:19" hidden="1" x14ac:dyDescent="0.2">
      <c r="A30" s="95">
        <v>44074</v>
      </c>
      <c r="B30" s="96">
        <f>+'Therm Sales Master'!B149</f>
        <v>2732363</v>
      </c>
      <c r="C30" s="97">
        <f>+'Therm Sales Master'!C149</f>
        <v>0</v>
      </c>
      <c r="D30" s="97">
        <f>+'Therm Sales Master'!D149</f>
        <v>497342</v>
      </c>
      <c r="E30" s="98">
        <f>+'Therm Sales Master'!E149</f>
        <v>298740</v>
      </c>
      <c r="F30" s="97">
        <f>+'Therm Sales Master'!F149</f>
        <v>816</v>
      </c>
      <c r="G30" s="97">
        <f>+'Therm Sales Master'!G149</f>
        <v>2165794</v>
      </c>
      <c r="H30" s="98">
        <f>+'Therm Sales Master'!H149</f>
        <v>956939</v>
      </c>
      <c r="I30" s="97">
        <f>+'Therm Sales Master'!I149</f>
        <v>0</v>
      </c>
      <c r="J30" s="98">
        <f>+'Therm Sales Master'!J149</f>
        <v>0</v>
      </c>
      <c r="K30" s="96">
        <f>+'Therm Sales Master'!K149</f>
        <v>100500</v>
      </c>
      <c r="L30" s="96">
        <f>+'Therm Sales Master'!L149</f>
        <v>32340707</v>
      </c>
      <c r="M30" s="97">
        <f>+'Therm Sales Master'!M149</f>
        <v>13157147</v>
      </c>
      <c r="N30" s="97">
        <f>+'Therm Sales Master'!N149</f>
        <v>10278160</v>
      </c>
      <c r="O30" s="97">
        <f>+'Therm Sales Master'!O149</f>
        <v>4334957</v>
      </c>
      <c r="P30" s="98">
        <f>+'Therm Sales Master'!P149</f>
        <v>0</v>
      </c>
      <c r="R30" s="97">
        <f t="shared" si="4"/>
        <v>66863465</v>
      </c>
    </row>
    <row r="31" spans="1:19" hidden="1" x14ac:dyDescent="0.2">
      <c r="A31" s="95">
        <v>44104</v>
      </c>
      <c r="B31" s="96">
        <f>+'Therm Sales Master'!B150</f>
        <v>2948480</v>
      </c>
      <c r="C31" s="97">
        <f>+'Therm Sales Master'!C150</f>
        <v>0</v>
      </c>
      <c r="D31" s="97">
        <f>+'Therm Sales Master'!D150</f>
        <v>620797</v>
      </c>
      <c r="E31" s="98">
        <f>+'Therm Sales Master'!E150</f>
        <v>341767</v>
      </c>
      <c r="F31" s="97">
        <f>+'Therm Sales Master'!F150</f>
        <v>643</v>
      </c>
      <c r="G31" s="97">
        <f>+'Therm Sales Master'!G150</f>
        <v>2450387</v>
      </c>
      <c r="H31" s="98">
        <f>+'Therm Sales Master'!H150</f>
        <v>933559</v>
      </c>
      <c r="I31" s="97">
        <f>+'Therm Sales Master'!I150</f>
        <v>0</v>
      </c>
      <c r="J31" s="98">
        <f>+'Therm Sales Master'!J150</f>
        <v>0</v>
      </c>
      <c r="K31" s="96">
        <f>+'Therm Sales Master'!K150</f>
        <v>94559</v>
      </c>
      <c r="L31" s="96">
        <f>+'Therm Sales Master'!L150</f>
        <v>34240639</v>
      </c>
      <c r="M31" s="97">
        <f>+'Therm Sales Master'!M150</f>
        <v>14061705</v>
      </c>
      <c r="N31" s="97">
        <f>+'Therm Sales Master'!N150</f>
        <v>12575104</v>
      </c>
      <c r="O31" s="97">
        <f>+'Therm Sales Master'!O150</f>
        <v>5435910</v>
      </c>
      <c r="P31" s="98">
        <f>+'Therm Sales Master'!P150</f>
        <v>0</v>
      </c>
      <c r="R31" s="97">
        <f t="shared" si="4"/>
        <v>73703550</v>
      </c>
    </row>
    <row r="32" spans="1:19" hidden="1" x14ac:dyDescent="0.2">
      <c r="A32" s="95">
        <v>44135</v>
      </c>
      <c r="B32" s="96">
        <f>+'Therm Sales Master'!B151</f>
        <v>4232461</v>
      </c>
      <c r="C32" s="97">
        <f>+'Therm Sales Master'!C151</f>
        <v>0</v>
      </c>
      <c r="D32" s="97">
        <f>+'Therm Sales Master'!D151</f>
        <v>1000739</v>
      </c>
      <c r="E32" s="98">
        <f>+'Therm Sales Master'!E151</f>
        <v>374010</v>
      </c>
      <c r="F32" s="97">
        <f>+'Therm Sales Master'!F151</f>
        <v>3290</v>
      </c>
      <c r="G32" s="97">
        <f>+'Therm Sales Master'!G151</f>
        <v>3183599</v>
      </c>
      <c r="H32" s="98">
        <f>+'Therm Sales Master'!H151</f>
        <v>506452</v>
      </c>
      <c r="I32" s="97">
        <f>+'Therm Sales Master'!I151</f>
        <v>0</v>
      </c>
      <c r="J32" s="98">
        <f>+'Therm Sales Master'!J151</f>
        <v>0</v>
      </c>
      <c r="K32" s="96">
        <f>+'Therm Sales Master'!K151</f>
        <v>178840</v>
      </c>
      <c r="L32" s="96">
        <f>+'Therm Sales Master'!L151</f>
        <v>36890125</v>
      </c>
      <c r="M32" s="97">
        <f>+'Therm Sales Master'!M151</f>
        <v>9459059</v>
      </c>
      <c r="N32" s="97">
        <f>+'Therm Sales Master'!N151</f>
        <v>8268305</v>
      </c>
      <c r="O32" s="97">
        <f>+'Therm Sales Master'!O151</f>
        <v>1590604</v>
      </c>
      <c r="P32" s="98">
        <f>+'Therm Sales Master'!P151</f>
        <v>0</v>
      </c>
      <c r="R32" s="97">
        <f t="shared" si="4"/>
        <v>65687484</v>
      </c>
    </row>
    <row r="33" spans="1:19" hidden="1" x14ac:dyDescent="0.2">
      <c r="A33" s="95">
        <v>44165</v>
      </c>
      <c r="B33" s="96">
        <f>+'Therm Sales Master'!B152</f>
        <v>6886950</v>
      </c>
      <c r="C33" s="97">
        <f>+'Therm Sales Master'!C152</f>
        <v>0</v>
      </c>
      <c r="D33" s="97">
        <f>+'Therm Sales Master'!D152</f>
        <v>615235</v>
      </c>
      <c r="E33" s="98">
        <f>+'Therm Sales Master'!E152</f>
        <v>224068</v>
      </c>
      <c r="F33" s="97">
        <f>+'Therm Sales Master'!F152</f>
        <v>0</v>
      </c>
      <c r="G33" s="97">
        <f>+'Therm Sales Master'!G152</f>
        <v>4428383</v>
      </c>
      <c r="H33" s="98">
        <f>+'Therm Sales Master'!H152</f>
        <v>570674</v>
      </c>
      <c r="I33" s="97">
        <f>+'Therm Sales Master'!I152</f>
        <v>0</v>
      </c>
      <c r="J33" s="98">
        <f>+'Therm Sales Master'!J152</f>
        <v>0</v>
      </c>
      <c r="K33" s="96">
        <f>+'Therm Sales Master'!K152</f>
        <v>0</v>
      </c>
      <c r="L33" s="96">
        <f>+'Therm Sales Master'!L152</f>
        <v>-43037</v>
      </c>
      <c r="M33" s="97">
        <f>+'Therm Sales Master'!M152</f>
        <v>0</v>
      </c>
      <c r="N33" s="97">
        <f>+'Therm Sales Master'!N152</f>
        <v>0</v>
      </c>
      <c r="O33" s="97">
        <f>+'Therm Sales Master'!O152</f>
        <v>0</v>
      </c>
      <c r="P33" s="98">
        <f>+'Therm Sales Master'!P152</f>
        <v>0</v>
      </c>
      <c r="R33" s="97">
        <f t="shared" si="4"/>
        <v>12682273</v>
      </c>
      <c r="S33" s="1" t="s">
        <v>56</v>
      </c>
    </row>
    <row r="34" spans="1:19" hidden="1" x14ac:dyDescent="0.2">
      <c r="A34" s="95">
        <v>44165</v>
      </c>
      <c r="B34" s="96">
        <f>+'Therm Sales Master'!B153</f>
        <v>3564962</v>
      </c>
      <c r="C34" s="97">
        <f>+'Therm Sales Master'!C153</f>
        <v>0</v>
      </c>
      <c r="D34" s="97">
        <f>+'Therm Sales Master'!D153</f>
        <v>255052</v>
      </c>
      <c r="E34" s="98">
        <f>+'Therm Sales Master'!E153</f>
        <v>108414</v>
      </c>
      <c r="F34" s="97">
        <f>+'Therm Sales Master'!F153</f>
        <v>5658</v>
      </c>
      <c r="G34" s="97">
        <f>+'Therm Sales Master'!G153</f>
        <v>2059842</v>
      </c>
      <c r="H34" s="98">
        <f>+'Therm Sales Master'!H153</f>
        <v>341335</v>
      </c>
      <c r="I34" s="97">
        <f>+'Therm Sales Master'!I153</f>
        <v>0</v>
      </c>
      <c r="J34" s="98">
        <f>+'Therm Sales Master'!J153</f>
        <v>0</v>
      </c>
      <c r="K34" s="96">
        <f>+'Therm Sales Master'!K153</f>
        <v>220318</v>
      </c>
      <c r="L34" s="96">
        <f>+'Therm Sales Master'!L153</f>
        <v>38203799</v>
      </c>
      <c r="M34" s="97">
        <f>+'Therm Sales Master'!M153</f>
        <v>7516479</v>
      </c>
      <c r="N34" s="97">
        <f>+'Therm Sales Master'!N153</f>
        <v>2419246</v>
      </c>
      <c r="O34" s="97">
        <f>+'Therm Sales Master'!O153</f>
        <v>916410</v>
      </c>
      <c r="P34" s="98">
        <f>+'Therm Sales Master'!P153</f>
        <v>0</v>
      </c>
      <c r="R34" s="97">
        <f t="shared" si="4"/>
        <v>55611515</v>
      </c>
      <c r="S34" s="1" t="s">
        <v>57</v>
      </c>
    </row>
    <row r="35" spans="1:19" hidden="1" x14ac:dyDescent="0.2">
      <c r="A35" s="95">
        <v>44196</v>
      </c>
      <c r="B35" s="96">
        <f>+'Therm Sales Master'!B154</f>
        <v>18475354</v>
      </c>
      <c r="C35" s="97">
        <f>+'Therm Sales Master'!C154</f>
        <v>0</v>
      </c>
      <c r="D35" s="97">
        <f>+'Therm Sales Master'!D154</f>
        <v>1356324</v>
      </c>
      <c r="E35" s="98">
        <f>+'Therm Sales Master'!E154</f>
        <v>419977</v>
      </c>
      <c r="F35" s="97">
        <f>+'Therm Sales Master'!F154</f>
        <v>7535</v>
      </c>
      <c r="G35" s="97">
        <f>+'Therm Sales Master'!G154</f>
        <v>12051598</v>
      </c>
      <c r="H35" s="98">
        <f>+'Therm Sales Master'!H154</f>
        <v>1502233</v>
      </c>
      <c r="I35" s="97">
        <f>+'Therm Sales Master'!I154</f>
        <v>0</v>
      </c>
      <c r="J35" s="98">
        <f>+'Therm Sales Master'!J154</f>
        <v>0</v>
      </c>
      <c r="K35" s="96">
        <f>+'Therm Sales Master'!K154</f>
        <v>244469</v>
      </c>
      <c r="L35" s="96">
        <f>+'Therm Sales Master'!L154</f>
        <v>37243979</v>
      </c>
      <c r="M35" s="97">
        <f>+'Therm Sales Master'!M154</f>
        <v>13353201</v>
      </c>
      <c r="N35" s="97">
        <f>+'Therm Sales Master'!N154</f>
        <v>9176642</v>
      </c>
      <c r="O35" s="97">
        <f>+'Therm Sales Master'!O154</f>
        <v>764453</v>
      </c>
      <c r="P35" s="98">
        <f>+'Therm Sales Master'!P154</f>
        <v>0</v>
      </c>
      <c r="R35" s="97">
        <f t="shared" ref="R35:R45" si="5">SUM(B35:Q35)</f>
        <v>94595765</v>
      </c>
    </row>
    <row r="36" spans="1:19" hidden="1" x14ac:dyDescent="0.2">
      <c r="A36" s="95">
        <v>44227</v>
      </c>
      <c r="B36" s="96">
        <f>+'Therm Sales Master'!B155</f>
        <v>19685299</v>
      </c>
      <c r="C36" s="97">
        <f>+'Therm Sales Master'!C155</f>
        <v>0</v>
      </c>
      <c r="D36" s="97">
        <f>+'Therm Sales Master'!D155</f>
        <v>1264480</v>
      </c>
      <c r="E36" s="98">
        <f>+'Therm Sales Master'!E155</f>
        <v>431368</v>
      </c>
      <c r="F36" s="97">
        <f>+'Therm Sales Master'!F155</f>
        <v>12694</v>
      </c>
      <c r="G36" s="97">
        <f>+'Therm Sales Master'!G155</f>
        <v>12849986</v>
      </c>
      <c r="H36" s="98">
        <f>+'Therm Sales Master'!H155</f>
        <v>1460025</v>
      </c>
      <c r="I36" s="97">
        <f>+'Therm Sales Master'!I155</f>
        <v>0</v>
      </c>
      <c r="J36" s="98">
        <f>+'Therm Sales Master'!J155</f>
        <v>0</v>
      </c>
      <c r="K36" s="96">
        <f>+'Therm Sales Master'!K155</f>
        <v>248648</v>
      </c>
      <c r="L36" s="96">
        <f>+'Therm Sales Master'!L155</f>
        <v>39534451</v>
      </c>
      <c r="M36" s="97">
        <f>+'Therm Sales Master'!M155</f>
        <v>12333204</v>
      </c>
      <c r="N36" s="97">
        <f>+'Therm Sales Master'!N155</f>
        <v>5190781</v>
      </c>
      <c r="O36" s="97">
        <f>+'Therm Sales Master'!O155</f>
        <v>252622</v>
      </c>
      <c r="P36" s="98">
        <f>+'Therm Sales Master'!P155</f>
        <v>0</v>
      </c>
      <c r="R36" s="97">
        <f t="shared" si="5"/>
        <v>93263558</v>
      </c>
    </row>
    <row r="37" spans="1:19" hidden="1" x14ac:dyDescent="0.2">
      <c r="A37" s="95">
        <v>44255</v>
      </c>
      <c r="B37" s="96">
        <f>+'Therm Sales Master'!B156</f>
        <v>18599534</v>
      </c>
      <c r="C37" s="97">
        <f>+'Therm Sales Master'!C156</f>
        <v>0</v>
      </c>
      <c r="D37" s="97">
        <f>+'Therm Sales Master'!D156</f>
        <v>1226133</v>
      </c>
      <c r="E37" s="98">
        <f>+'Therm Sales Master'!E156</f>
        <v>372501</v>
      </c>
      <c r="F37" s="97">
        <f>+'Therm Sales Master'!F156</f>
        <v>7553</v>
      </c>
      <c r="G37" s="97">
        <f>+'Therm Sales Master'!G156</f>
        <v>12050270</v>
      </c>
      <c r="H37" s="98">
        <f>+'Therm Sales Master'!H156</f>
        <v>1413677</v>
      </c>
      <c r="I37" s="97">
        <f>+'Therm Sales Master'!I156</f>
        <v>0</v>
      </c>
      <c r="J37" s="98">
        <f>+'Therm Sales Master'!J156</f>
        <v>0</v>
      </c>
      <c r="K37" s="96">
        <f>+'Therm Sales Master'!K156</f>
        <v>239855</v>
      </c>
      <c r="L37" s="96">
        <f>+'Therm Sales Master'!L156</f>
        <v>36249518</v>
      </c>
      <c r="M37" s="97">
        <f>+'Therm Sales Master'!M156</f>
        <v>10471909</v>
      </c>
      <c r="N37" s="97">
        <f>+'Therm Sales Master'!N156</f>
        <v>5382227</v>
      </c>
      <c r="O37" s="97">
        <f>+'Therm Sales Master'!O156</f>
        <v>982292</v>
      </c>
      <c r="P37" s="98">
        <f>+'Therm Sales Master'!P156</f>
        <v>0</v>
      </c>
      <c r="R37" s="97">
        <f t="shared" si="5"/>
        <v>86995469</v>
      </c>
    </row>
    <row r="38" spans="1:19" hidden="1" x14ac:dyDescent="0.2">
      <c r="A38" s="95">
        <v>44286</v>
      </c>
      <c r="B38" s="96">
        <f>+'Therm Sales Master'!B157</f>
        <v>19676756</v>
      </c>
      <c r="C38" s="97">
        <f>+'Therm Sales Master'!C157</f>
        <v>0</v>
      </c>
      <c r="D38" s="97">
        <f>+'Therm Sales Master'!D157</f>
        <v>1362750</v>
      </c>
      <c r="E38" s="98">
        <f>+'Therm Sales Master'!E157</f>
        <v>456093</v>
      </c>
      <c r="F38" s="97">
        <f>+'Therm Sales Master'!F157</f>
        <v>3998</v>
      </c>
      <c r="G38" s="97">
        <f>+'Therm Sales Master'!G157</f>
        <v>13158991</v>
      </c>
      <c r="H38" s="98">
        <f>+'Therm Sales Master'!H157</f>
        <v>1484437</v>
      </c>
      <c r="I38" s="97">
        <f>+'Therm Sales Master'!I157</f>
        <v>0</v>
      </c>
      <c r="J38" s="98">
        <f>+'Therm Sales Master'!J157</f>
        <v>0</v>
      </c>
      <c r="K38" s="96">
        <f>+'Therm Sales Master'!K157</f>
        <v>234583</v>
      </c>
      <c r="L38" s="96">
        <f>+'Therm Sales Master'!L157</f>
        <v>38737982</v>
      </c>
      <c r="M38" s="97">
        <f>+'Therm Sales Master'!M157</f>
        <v>15050505</v>
      </c>
      <c r="N38" s="97">
        <f>+'Therm Sales Master'!N157</f>
        <v>10973891</v>
      </c>
      <c r="O38" s="97">
        <f>+'Therm Sales Master'!O157</f>
        <v>2069033</v>
      </c>
      <c r="P38" s="98">
        <f>+'Therm Sales Master'!P157</f>
        <v>0</v>
      </c>
      <c r="R38" s="97">
        <f t="shared" si="5"/>
        <v>103209019</v>
      </c>
    </row>
    <row r="39" spans="1:19" x14ac:dyDescent="0.2">
      <c r="A39" s="95">
        <v>44316</v>
      </c>
      <c r="B39" s="96">
        <f>+'Therm Sales Master'!B158</f>
        <v>13567783</v>
      </c>
      <c r="C39" s="97">
        <f>+'Therm Sales Master'!C158</f>
        <v>0</v>
      </c>
      <c r="D39" s="97">
        <f>+'Therm Sales Master'!D158</f>
        <v>1066951</v>
      </c>
      <c r="E39" s="98">
        <f>+'Therm Sales Master'!E158</f>
        <v>426217</v>
      </c>
      <c r="F39" s="97">
        <f>+'Therm Sales Master'!F158</f>
        <v>2200</v>
      </c>
      <c r="G39" s="97">
        <f>+'Therm Sales Master'!G158</f>
        <v>9154067</v>
      </c>
      <c r="H39" s="98">
        <f>+'Therm Sales Master'!H158</f>
        <v>1134637</v>
      </c>
      <c r="I39" s="97">
        <f>+'Therm Sales Master'!I158</f>
        <v>0</v>
      </c>
      <c r="J39" s="98">
        <f>+'Therm Sales Master'!J158</f>
        <v>0</v>
      </c>
      <c r="K39" s="96">
        <f>+'Therm Sales Master'!K158</f>
        <v>180576</v>
      </c>
      <c r="L39" s="96">
        <f>+'Therm Sales Master'!L158</f>
        <v>36210898</v>
      </c>
      <c r="M39" s="97">
        <f>+'Therm Sales Master'!M158</f>
        <v>6562711</v>
      </c>
      <c r="N39" s="97">
        <f>+'Therm Sales Master'!N158</f>
        <v>12896888</v>
      </c>
      <c r="O39" s="97">
        <f>+'Therm Sales Master'!O158</f>
        <v>8378207</v>
      </c>
      <c r="P39" s="98">
        <f>+'Therm Sales Master'!P158</f>
        <v>0</v>
      </c>
      <c r="R39" s="97">
        <f t="shared" si="5"/>
        <v>89581135</v>
      </c>
    </row>
    <row r="40" spans="1:19" x14ac:dyDescent="0.2">
      <c r="A40" s="95">
        <v>44347</v>
      </c>
      <c r="B40" s="96">
        <f>+'Therm Sales Master'!B159</f>
        <v>6623364</v>
      </c>
      <c r="C40" s="97">
        <f>+'Therm Sales Master'!C159</f>
        <v>0</v>
      </c>
      <c r="D40" s="97">
        <f>+'Therm Sales Master'!D159</f>
        <v>680086</v>
      </c>
      <c r="E40" s="98">
        <f>+'Therm Sales Master'!E159</f>
        <v>286219</v>
      </c>
      <c r="F40" s="97">
        <f>+'Therm Sales Master'!F159</f>
        <v>3602</v>
      </c>
      <c r="G40" s="97">
        <f>+'Therm Sales Master'!G159</f>
        <v>4930955</v>
      </c>
      <c r="H40" s="98">
        <f>+'Therm Sales Master'!H159</f>
        <v>641375</v>
      </c>
      <c r="I40" s="97">
        <f>+'Therm Sales Master'!I159</f>
        <v>0</v>
      </c>
      <c r="J40" s="98">
        <f>+'Therm Sales Master'!J159</f>
        <v>0</v>
      </c>
      <c r="K40" s="96">
        <f>+'Therm Sales Master'!K159</f>
        <v>143789</v>
      </c>
      <c r="L40" s="96">
        <f>+'Therm Sales Master'!L159</f>
        <v>34143279</v>
      </c>
      <c r="M40" s="97">
        <f>+'Therm Sales Master'!M159</f>
        <v>364</v>
      </c>
      <c r="N40" s="97">
        <f>+'Therm Sales Master'!N159</f>
        <v>5871337</v>
      </c>
      <c r="O40" s="97">
        <f>+'Therm Sales Master'!O159</f>
        <v>2903752</v>
      </c>
      <c r="P40" s="98">
        <f>+'Therm Sales Master'!P159</f>
        <v>0</v>
      </c>
      <c r="R40" s="97">
        <f t="shared" si="5"/>
        <v>56228122</v>
      </c>
    </row>
    <row r="41" spans="1:19" x14ac:dyDescent="0.2">
      <c r="A41" s="95">
        <v>44377</v>
      </c>
      <c r="B41" s="96">
        <f>+'Therm Sales Master'!B160</f>
        <v>5165480</v>
      </c>
      <c r="C41" s="97">
        <f>+'Therm Sales Master'!C160</f>
        <v>0</v>
      </c>
      <c r="D41" s="97">
        <f>+'Therm Sales Master'!D160</f>
        <v>585095</v>
      </c>
      <c r="E41" s="98">
        <f>+'Therm Sales Master'!E160</f>
        <v>448138</v>
      </c>
      <c r="F41" s="97">
        <f>+'Therm Sales Master'!F160</f>
        <v>1512</v>
      </c>
      <c r="G41" s="97">
        <f>+'Therm Sales Master'!G160</f>
        <v>4017478</v>
      </c>
      <c r="H41" s="98">
        <f>+'Therm Sales Master'!H160</f>
        <v>510200</v>
      </c>
      <c r="I41" s="97">
        <f>+'Therm Sales Master'!I160</f>
        <v>0</v>
      </c>
      <c r="J41" s="98">
        <f>+'Therm Sales Master'!J160</f>
        <v>0</v>
      </c>
      <c r="K41" s="96">
        <f>+'Therm Sales Master'!K160</f>
        <v>104510</v>
      </c>
      <c r="L41" s="96">
        <f>+'Therm Sales Master'!L160</f>
        <v>32699223</v>
      </c>
      <c r="M41" s="97">
        <f>+'Therm Sales Master'!M160</f>
        <v>10580854</v>
      </c>
      <c r="N41" s="97">
        <f>+'Therm Sales Master'!N160</f>
        <v>9297912</v>
      </c>
      <c r="O41" s="97">
        <f>+'Therm Sales Master'!O160</f>
        <v>5368620</v>
      </c>
      <c r="P41" s="98">
        <f>+'Therm Sales Master'!P160</f>
        <v>0</v>
      </c>
      <c r="R41" s="97">
        <f t="shared" si="5"/>
        <v>68779022</v>
      </c>
    </row>
    <row r="42" spans="1:19" x14ac:dyDescent="0.2">
      <c r="A42" s="95">
        <v>44408</v>
      </c>
      <c r="B42" s="96">
        <f>+'Therm Sales Master'!B161</f>
        <v>3043741</v>
      </c>
      <c r="C42" s="97">
        <f>+'Therm Sales Master'!C161</f>
        <v>0</v>
      </c>
      <c r="D42" s="97">
        <f>+'Therm Sales Master'!D161</f>
        <v>496382</v>
      </c>
      <c r="E42" s="98">
        <f>+'Therm Sales Master'!E161</f>
        <v>260037</v>
      </c>
      <c r="F42" s="97">
        <f>+'Therm Sales Master'!F161</f>
        <v>1203</v>
      </c>
      <c r="G42" s="97">
        <f>+'Therm Sales Master'!G161</f>
        <v>2731524</v>
      </c>
      <c r="H42" s="98">
        <f>+'Therm Sales Master'!H161</f>
        <v>333326</v>
      </c>
      <c r="I42" s="97">
        <f>+'Therm Sales Master'!I161</f>
        <v>0</v>
      </c>
      <c r="J42" s="98">
        <f>+'Therm Sales Master'!J161</f>
        <v>0</v>
      </c>
      <c r="K42" s="96">
        <f>+'Therm Sales Master'!K161</f>
        <v>88811</v>
      </c>
      <c r="L42" s="96">
        <f>+'Therm Sales Master'!L161</f>
        <v>29641199</v>
      </c>
      <c r="M42" s="97">
        <f>+'Therm Sales Master'!M161</f>
        <v>14701743</v>
      </c>
      <c r="N42" s="97">
        <f>+'Therm Sales Master'!N161</f>
        <v>12217042</v>
      </c>
      <c r="O42" s="97">
        <f>+'Therm Sales Master'!O161</f>
        <v>8620267</v>
      </c>
      <c r="P42" s="98">
        <f>+'Therm Sales Master'!P161</f>
        <v>0</v>
      </c>
      <c r="R42" s="97">
        <f t="shared" si="5"/>
        <v>72135275</v>
      </c>
    </row>
    <row r="43" spans="1:19" x14ac:dyDescent="0.2">
      <c r="A43" s="95">
        <v>44439</v>
      </c>
      <c r="B43" s="96">
        <f>+'Therm Sales Master'!B162</f>
        <v>2658664</v>
      </c>
      <c r="C43" s="97">
        <f>+'Therm Sales Master'!C162</f>
        <v>0</v>
      </c>
      <c r="D43" s="97">
        <f>+'Therm Sales Master'!D162</f>
        <v>465585</v>
      </c>
      <c r="E43" s="98">
        <f>+'Therm Sales Master'!E162</f>
        <v>315534</v>
      </c>
      <c r="F43" s="97">
        <f>+'Therm Sales Master'!F162</f>
        <v>1834</v>
      </c>
      <c r="G43" s="97">
        <f>+'Therm Sales Master'!G162</f>
        <v>2572912</v>
      </c>
      <c r="H43" s="98">
        <f>+'Therm Sales Master'!H162</f>
        <v>304207</v>
      </c>
      <c r="I43" s="97">
        <f>+'Therm Sales Master'!I162</f>
        <v>0</v>
      </c>
      <c r="J43" s="98">
        <f>+'Therm Sales Master'!J162</f>
        <v>0</v>
      </c>
      <c r="K43" s="96">
        <f>+'Therm Sales Master'!K162</f>
        <v>103033</v>
      </c>
      <c r="L43" s="96">
        <f>+'Therm Sales Master'!L162</f>
        <v>30352096</v>
      </c>
      <c r="M43" s="97">
        <f>+'Therm Sales Master'!M162</f>
        <v>14849398</v>
      </c>
      <c r="N43" s="97">
        <f>+'Therm Sales Master'!N162</f>
        <v>12371540</v>
      </c>
      <c r="O43" s="97">
        <f>+'Therm Sales Master'!O162</f>
        <v>6769382</v>
      </c>
      <c r="P43" s="98">
        <f>+'Therm Sales Master'!P162</f>
        <v>0</v>
      </c>
      <c r="R43" s="97">
        <f t="shared" si="5"/>
        <v>70764185</v>
      </c>
    </row>
    <row r="44" spans="1:19" x14ac:dyDescent="0.2">
      <c r="A44" s="95">
        <v>44469</v>
      </c>
      <c r="B44" s="96">
        <f>+'Therm Sales Master'!B163</f>
        <v>3024586</v>
      </c>
      <c r="C44" s="97">
        <f>+'Therm Sales Master'!C163</f>
        <v>0</v>
      </c>
      <c r="D44" s="97">
        <f>+'Therm Sales Master'!D163</f>
        <v>585259</v>
      </c>
      <c r="E44" s="98">
        <f>+'Therm Sales Master'!E163</f>
        <v>292711</v>
      </c>
      <c r="F44" s="97">
        <f>+'Therm Sales Master'!F163</f>
        <v>2215</v>
      </c>
      <c r="G44" s="97">
        <f>+'Therm Sales Master'!G163</f>
        <v>2784423</v>
      </c>
      <c r="H44" s="98">
        <f>+'Therm Sales Master'!H163</f>
        <v>323275</v>
      </c>
      <c r="I44" s="97">
        <f>+'Therm Sales Master'!I163</f>
        <v>0</v>
      </c>
      <c r="J44" s="98">
        <f>+'Therm Sales Master'!J163</f>
        <v>0</v>
      </c>
      <c r="K44" s="96">
        <f>+'Therm Sales Master'!K163</f>
        <v>127498</v>
      </c>
      <c r="L44" s="96">
        <f>+'Therm Sales Master'!L163</f>
        <v>32241556</v>
      </c>
      <c r="M44" s="97">
        <f>+'Therm Sales Master'!M163</f>
        <v>13988315</v>
      </c>
      <c r="N44" s="97">
        <f>+'Therm Sales Master'!N163</f>
        <v>13923327</v>
      </c>
      <c r="O44" s="97">
        <f>+'Therm Sales Master'!O163</f>
        <v>4570873</v>
      </c>
      <c r="P44" s="98">
        <f>+'Therm Sales Master'!P163</f>
        <v>0</v>
      </c>
      <c r="R44" s="97">
        <f t="shared" si="5"/>
        <v>71864038</v>
      </c>
    </row>
    <row r="45" spans="1:19" x14ac:dyDescent="0.2">
      <c r="A45" s="95">
        <v>44500</v>
      </c>
      <c r="B45" s="96">
        <f>+'Therm Sales Master'!B164</f>
        <v>5302722</v>
      </c>
      <c r="C45" s="97">
        <f>+'Therm Sales Master'!C164</f>
        <v>0</v>
      </c>
      <c r="D45" s="97">
        <f>+'Therm Sales Master'!D164</f>
        <v>1219426</v>
      </c>
      <c r="E45" s="98">
        <f>+'Therm Sales Master'!E164</f>
        <v>334722</v>
      </c>
      <c r="F45" s="97">
        <f>+'Therm Sales Master'!F164</f>
        <v>3066</v>
      </c>
      <c r="G45" s="97">
        <f>+'Therm Sales Master'!G164</f>
        <v>3968867</v>
      </c>
      <c r="H45" s="98">
        <f>+'Therm Sales Master'!H164</f>
        <v>529394</v>
      </c>
      <c r="I45" s="97">
        <f>+'Therm Sales Master'!I164</f>
        <v>0</v>
      </c>
      <c r="J45" s="98">
        <f>+'Therm Sales Master'!J164</f>
        <v>0</v>
      </c>
      <c r="K45" s="96">
        <f>+'Therm Sales Master'!K164</f>
        <v>188282</v>
      </c>
      <c r="L45" s="96">
        <f>+'Therm Sales Master'!L164</f>
        <v>36147853</v>
      </c>
      <c r="M45" s="97">
        <f>+'Therm Sales Master'!M164</f>
        <v>10167896</v>
      </c>
      <c r="N45" s="97">
        <f>+'Therm Sales Master'!N164</f>
        <v>10295353</v>
      </c>
      <c r="O45" s="97">
        <f>+'Therm Sales Master'!O164</f>
        <v>4181139</v>
      </c>
      <c r="P45" s="98">
        <f>+'Therm Sales Master'!P164</f>
        <v>0</v>
      </c>
      <c r="R45" s="97">
        <f t="shared" si="5"/>
        <v>72338720</v>
      </c>
    </row>
    <row r="46" spans="1:19" x14ac:dyDescent="0.2">
      <c r="A46" s="95">
        <v>44530</v>
      </c>
      <c r="B46" s="96">
        <f>+'Therm Sales Master'!B165</f>
        <v>6875152</v>
      </c>
      <c r="C46" s="97">
        <f>+'Therm Sales Master'!C165</f>
        <v>0</v>
      </c>
      <c r="D46" s="97">
        <f>+'Therm Sales Master'!D165</f>
        <v>687044</v>
      </c>
      <c r="E46" s="98">
        <f>+'Therm Sales Master'!E165</f>
        <v>274192</v>
      </c>
      <c r="F46" s="97">
        <f>+'Therm Sales Master'!F165</f>
        <v>0</v>
      </c>
      <c r="G46" s="97">
        <f>+'Therm Sales Master'!G165</f>
        <v>4648667</v>
      </c>
      <c r="H46" s="98">
        <f>+'Therm Sales Master'!H165</f>
        <v>554223</v>
      </c>
      <c r="I46" s="97">
        <f>+'Therm Sales Master'!I165</f>
        <v>0</v>
      </c>
      <c r="J46" s="98">
        <f>+'Therm Sales Master'!J165</f>
        <v>0</v>
      </c>
      <c r="K46" s="96">
        <f>+'Therm Sales Master'!K165</f>
        <v>0</v>
      </c>
      <c r="L46" s="96">
        <f>+'Therm Sales Master'!L165</f>
        <v>0</v>
      </c>
      <c r="M46" s="97">
        <f>+'Therm Sales Master'!M165</f>
        <v>0</v>
      </c>
      <c r="N46" s="97">
        <f>+'Therm Sales Master'!N165</f>
        <v>0</v>
      </c>
      <c r="O46" s="97">
        <f>+'Therm Sales Master'!O165</f>
        <v>305909</v>
      </c>
      <c r="P46" s="98">
        <f>+'Therm Sales Master'!P165</f>
        <v>0</v>
      </c>
      <c r="R46" s="97">
        <f t="shared" ref="R46" si="6">SUM(B46:Q46)</f>
        <v>13345187</v>
      </c>
      <c r="S46" s="1" t="s">
        <v>56</v>
      </c>
    </row>
    <row r="47" spans="1:19" x14ac:dyDescent="0.2">
      <c r="A47" s="95">
        <v>44530</v>
      </c>
      <c r="B47" s="96">
        <f>+'Therm Sales Master'!B166</f>
        <v>3055417</v>
      </c>
      <c r="C47" s="97">
        <f>+'Therm Sales Master'!C166</f>
        <v>0</v>
      </c>
      <c r="D47" s="97">
        <f>+'Therm Sales Master'!D166</f>
        <v>241794</v>
      </c>
      <c r="E47" s="98">
        <f>+'Therm Sales Master'!E166</f>
        <v>98046</v>
      </c>
      <c r="F47" s="97">
        <f>+'Therm Sales Master'!F166</f>
        <v>5052</v>
      </c>
      <c r="G47" s="97">
        <f>+'Therm Sales Master'!G166</f>
        <v>1834948</v>
      </c>
      <c r="H47" s="98">
        <f>+'Therm Sales Master'!H166</f>
        <v>314142</v>
      </c>
      <c r="I47" s="97">
        <f>+'Therm Sales Master'!I166</f>
        <v>0</v>
      </c>
      <c r="J47" s="98">
        <f>+'Therm Sales Master'!J166</f>
        <v>0</v>
      </c>
      <c r="K47" s="96">
        <f>+'Therm Sales Master'!K166</f>
        <v>215369</v>
      </c>
      <c r="L47" s="96">
        <f>+'Therm Sales Master'!L166</f>
        <v>34679208</v>
      </c>
      <c r="M47" s="97">
        <f>+'Therm Sales Master'!M166</f>
        <v>13522374</v>
      </c>
      <c r="N47" s="97">
        <f>+'Therm Sales Master'!N166</f>
        <v>7960245</v>
      </c>
      <c r="O47" s="97">
        <f>+'Therm Sales Master'!O166</f>
        <v>449463</v>
      </c>
      <c r="P47" s="98">
        <f>+'Therm Sales Master'!P166</f>
        <v>0</v>
      </c>
      <c r="R47" s="97">
        <f t="shared" ref="R47" si="7">SUM(B47:Q47)</f>
        <v>62376058</v>
      </c>
      <c r="S47" s="1" t="s">
        <v>57</v>
      </c>
    </row>
    <row r="48" spans="1:19" x14ac:dyDescent="0.2">
      <c r="A48" s="95">
        <v>44561</v>
      </c>
      <c r="B48" s="96">
        <f>+'Therm Sales Master'!B167</f>
        <v>16399782</v>
      </c>
      <c r="C48" s="97">
        <f>+'Therm Sales Master'!C167</f>
        <v>0</v>
      </c>
      <c r="D48" s="97">
        <f>+'Therm Sales Master'!D167</f>
        <v>1371971</v>
      </c>
      <c r="E48" s="98">
        <f>+'Therm Sales Master'!E167</f>
        <v>456838</v>
      </c>
      <c r="F48" s="97">
        <f>+'Therm Sales Master'!F167</f>
        <v>14032</v>
      </c>
      <c r="G48" s="97">
        <f>+'Therm Sales Master'!G167</f>
        <v>10769619</v>
      </c>
      <c r="H48" s="98">
        <f>+'Therm Sales Master'!H167</f>
        <v>1248673</v>
      </c>
      <c r="I48" s="97">
        <f>+'Therm Sales Master'!I167</f>
        <v>0</v>
      </c>
      <c r="J48" s="98">
        <f>+'Therm Sales Master'!J167</f>
        <v>0</v>
      </c>
      <c r="K48" s="96">
        <f>+'Therm Sales Master'!K167</f>
        <v>271190</v>
      </c>
      <c r="L48" s="96">
        <f>+'Therm Sales Master'!L167</f>
        <v>33971503</v>
      </c>
      <c r="M48" s="97">
        <f>+'Therm Sales Master'!M167</f>
        <v>10372937</v>
      </c>
      <c r="N48" s="97">
        <f>+'Therm Sales Master'!N167</f>
        <v>8559438</v>
      </c>
      <c r="O48" s="97">
        <f>+'Therm Sales Master'!O167</f>
        <v>490739</v>
      </c>
      <c r="P48" s="98">
        <f>+'Therm Sales Master'!P167</f>
        <v>0</v>
      </c>
      <c r="R48" s="97">
        <f t="shared" ref="R48:R58" si="8">SUM(B48:Q48)</f>
        <v>83926722</v>
      </c>
    </row>
    <row r="49" spans="1:18" x14ac:dyDescent="0.2">
      <c r="A49" s="95">
        <v>44592</v>
      </c>
      <c r="B49" s="96">
        <f>+'Therm Sales Master'!B168</f>
        <v>0</v>
      </c>
      <c r="C49" s="97">
        <f>+'Therm Sales Master'!C168</f>
        <v>0</v>
      </c>
      <c r="D49" s="97">
        <f>+'Therm Sales Master'!D168</f>
        <v>0</v>
      </c>
      <c r="E49" s="98">
        <f>+'Therm Sales Master'!E168</f>
        <v>0</v>
      </c>
      <c r="F49" s="97">
        <f>+'Therm Sales Master'!F168</f>
        <v>-14032</v>
      </c>
      <c r="G49" s="97">
        <f>+'Therm Sales Master'!G168</f>
        <v>0</v>
      </c>
      <c r="H49" s="98">
        <f>+'Therm Sales Master'!H168</f>
        <v>-101592</v>
      </c>
      <c r="I49" s="97">
        <f>+'Therm Sales Master'!I168</f>
        <v>0</v>
      </c>
      <c r="J49" s="98">
        <f>+'Therm Sales Master'!J168</f>
        <v>0</v>
      </c>
      <c r="K49" s="96">
        <f>+'Therm Sales Master'!K168</f>
        <v>-271190</v>
      </c>
      <c r="L49" s="96">
        <f>+'Therm Sales Master'!L168</f>
        <v>-33971503</v>
      </c>
      <c r="M49" s="97">
        <f>+'Therm Sales Master'!M168</f>
        <v>-10372937</v>
      </c>
      <c r="N49" s="97">
        <f>+'Therm Sales Master'!N168</f>
        <v>-8559438</v>
      </c>
      <c r="O49" s="97">
        <f>+'Therm Sales Master'!O168</f>
        <v>-490739</v>
      </c>
      <c r="P49" s="98">
        <f>+'Therm Sales Master'!P168</f>
        <v>0</v>
      </c>
      <c r="R49" s="97">
        <f t="shared" si="8"/>
        <v>-53781431</v>
      </c>
    </row>
    <row r="50" spans="1:18" x14ac:dyDescent="0.2">
      <c r="A50" s="95">
        <v>44620</v>
      </c>
      <c r="B50" s="96">
        <f>+'Therm Sales Master'!B169</f>
        <v>0</v>
      </c>
      <c r="C50" s="97">
        <f>+'Therm Sales Master'!C169</f>
        <v>0</v>
      </c>
      <c r="D50" s="97">
        <f>+'Therm Sales Master'!D169</f>
        <v>0</v>
      </c>
      <c r="E50" s="98">
        <f>+'Therm Sales Master'!E169</f>
        <v>0</v>
      </c>
      <c r="F50" s="97">
        <f>+'Therm Sales Master'!F169</f>
        <v>0</v>
      </c>
      <c r="G50" s="97">
        <f>+'Therm Sales Master'!G169</f>
        <v>0</v>
      </c>
      <c r="H50" s="98">
        <f>+'Therm Sales Master'!H169</f>
        <v>0</v>
      </c>
      <c r="I50" s="97">
        <f>+'Therm Sales Master'!I169</f>
        <v>0</v>
      </c>
      <c r="J50" s="98">
        <f>+'Therm Sales Master'!J169</f>
        <v>0</v>
      </c>
      <c r="K50" s="96">
        <f>+'Therm Sales Master'!K169</f>
        <v>0</v>
      </c>
      <c r="L50" s="96">
        <f>+'Therm Sales Master'!L169</f>
        <v>0</v>
      </c>
      <c r="M50" s="97">
        <f>+'Therm Sales Master'!M169</f>
        <v>0</v>
      </c>
      <c r="N50" s="97">
        <f>+'Therm Sales Master'!N169</f>
        <v>0</v>
      </c>
      <c r="O50" s="97">
        <f>+'Therm Sales Master'!O169</f>
        <v>0</v>
      </c>
      <c r="P50" s="98">
        <f>+'Therm Sales Master'!P169</f>
        <v>0</v>
      </c>
      <c r="R50" s="97">
        <f t="shared" si="8"/>
        <v>0</v>
      </c>
    </row>
    <row r="51" spans="1:18" x14ac:dyDescent="0.2">
      <c r="A51" s="95">
        <v>44651</v>
      </c>
      <c r="B51" s="96">
        <f>+'Therm Sales Master'!B170</f>
        <v>0</v>
      </c>
      <c r="C51" s="97">
        <f>+'Therm Sales Master'!C170</f>
        <v>0</v>
      </c>
      <c r="D51" s="97">
        <f>+'Therm Sales Master'!D170</f>
        <v>0</v>
      </c>
      <c r="E51" s="98">
        <f>+'Therm Sales Master'!E170</f>
        <v>0</v>
      </c>
      <c r="F51" s="97">
        <f>+'Therm Sales Master'!F170</f>
        <v>0</v>
      </c>
      <c r="G51" s="97">
        <f>+'Therm Sales Master'!G170</f>
        <v>0</v>
      </c>
      <c r="H51" s="98">
        <f>+'Therm Sales Master'!H170</f>
        <v>0</v>
      </c>
      <c r="I51" s="97">
        <f>+'Therm Sales Master'!I170</f>
        <v>0</v>
      </c>
      <c r="J51" s="98">
        <f>+'Therm Sales Master'!J170</f>
        <v>0</v>
      </c>
      <c r="K51" s="96">
        <f>+'Therm Sales Master'!K170</f>
        <v>0</v>
      </c>
      <c r="L51" s="96">
        <f>+'Therm Sales Master'!L170</f>
        <v>0</v>
      </c>
      <c r="M51" s="97">
        <f>+'Therm Sales Master'!M170</f>
        <v>0</v>
      </c>
      <c r="N51" s="97">
        <f>+'Therm Sales Master'!N170</f>
        <v>0</v>
      </c>
      <c r="O51" s="97">
        <f>+'Therm Sales Master'!O170</f>
        <v>0</v>
      </c>
      <c r="P51" s="98">
        <f>+'Therm Sales Master'!P170</f>
        <v>0</v>
      </c>
      <c r="R51" s="97">
        <f t="shared" si="8"/>
        <v>0</v>
      </c>
    </row>
    <row r="52" spans="1:18" x14ac:dyDescent="0.2">
      <c r="A52" s="95">
        <v>44681</v>
      </c>
      <c r="B52" s="96">
        <f>+'Therm Sales Master'!B171</f>
        <v>0</v>
      </c>
      <c r="C52" s="97">
        <f>+'Therm Sales Master'!C171</f>
        <v>0</v>
      </c>
      <c r="D52" s="97">
        <f>+'Therm Sales Master'!D171</f>
        <v>0</v>
      </c>
      <c r="E52" s="98">
        <f>+'Therm Sales Master'!E171</f>
        <v>0</v>
      </c>
      <c r="F52" s="97">
        <f>+'Therm Sales Master'!F171</f>
        <v>0</v>
      </c>
      <c r="G52" s="97">
        <f>+'Therm Sales Master'!G171</f>
        <v>0</v>
      </c>
      <c r="H52" s="98">
        <f>+'Therm Sales Master'!H171</f>
        <v>0</v>
      </c>
      <c r="I52" s="97">
        <f>+'Therm Sales Master'!I171</f>
        <v>0</v>
      </c>
      <c r="J52" s="98">
        <f>+'Therm Sales Master'!J171</f>
        <v>0</v>
      </c>
      <c r="K52" s="96">
        <f>+'Therm Sales Master'!K171</f>
        <v>0</v>
      </c>
      <c r="L52" s="96">
        <f>+'Therm Sales Master'!L171</f>
        <v>0</v>
      </c>
      <c r="M52" s="97">
        <f>+'Therm Sales Master'!M171</f>
        <v>0</v>
      </c>
      <c r="N52" s="97">
        <f>+'Therm Sales Master'!N171</f>
        <v>0</v>
      </c>
      <c r="O52" s="97">
        <f>+'Therm Sales Master'!O171</f>
        <v>0</v>
      </c>
      <c r="P52" s="98">
        <f>+'Therm Sales Master'!P171</f>
        <v>0</v>
      </c>
      <c r="R52" s="97">
        <f t="shared" si="8"/>
        <v>0</v>
      </c>
    </row>
    <row r="53" spans="1:18" hidden="1" x14ac:dyDescent="0.2">
      <c r="A53" s="95">
        <v>44712</v>
      </c>
      <c r="B53" s="96">
        <f>+'Therm Sales Master'!B172</f>
        <v>0</v>
      </c>
      <c r="C53" s="97">
        <f>+'Therm Sales Master'!C172</f>
        <v>0</v>
      </c>
      <c r="D53" s="97">
        <f>+'Therm Sales Master'!D172</f>
        <v>0</v>
      </c>
      <c r="E53" s="98">
        <f>+'Therm Sales Master'!E172</f>
        <v>0</v>
      </c>
      <c r="F53" s="97">
        <f>+'Therm Sales Master'!F172</f>
        <v>0</v>
      </c>
      <c r="G53" s="97">
        <f>+'Therm Sales Master'!G172</f>
        <v>0</v>
      </c>
      <c r="H53" s="98">
        <f>+'Therm Sales Master'!H172</f>
        <v>0</v>
      </c>
      <c r="I53" s="97">
        <f>+'Therm Sales Master'!I172</f>
        <v>0</v>
      </c>
      <c r="J53" s="98">
        <f>+'Therm Sales Master'!J172</f>
        <v>0</v>
      </c>
      <c r="K53" s="96">
        <f>+'Therm Sales Master'!K172</f>
        <v>0</v>
      </c>
      <c r="L53" s="96">
        <f>+'Therm Sales Master'!L172</f>
        <v>0</v>
      </c>
      <c r="M53" s="97">
        <f>+'Therm Sales Master'!M172</f>
        <v>0</v>
      </c>
      <c r="N53" s="97">
        <f>+'Therm Sales Master'!N172</f>
        <v>0</v>
      </c>
      <c r="O53" s="97">
        <f>+'Therm Sales Master'!O172</f>
        <v>0</v>
      </c>
      <c r="P53" s="98">
        <f>+'Therm Sales Master'!P172</f>
        <v>0</v>
      </c>
      <c r="R53" s="97">
        <f t="shared" si="8"/>
        <v>0</v>
      </c>
    </row>
    <row r="54" spans="1:18" hidden="1" x14ac:dyDescent="0.2">
      <c r="A54" s="95">
        <v>44742</v>
      </c>
      <c r="B54" s="96">
        <f>+'Therm Sales Master'!B173</f>
        <v>0</v>
      </c>
      <c r="C54" s="97">
        <f>+'Therm Sales Master'!C173</f>
        <v>0</v>
      </c>
      <c r="D54" s="97">
        <f>+'Therm Sales Master'!D173</f>
        <v>0</v>
      </c>
      <c r="E54" s="98">
        <f>+'Therm Sales Master'!E173</f>
        <v>0</v>
      </c>
      <c r="F54" s="97">
        <f>+'Therm Sales Master'!F173</f>
        <v>0</v>
      </c>
      <c r="G54" s="97">
        <f>+'Therm Sales Master'!G173</f>
        <v>0</v>
      </c>
      <c r="H54" s="98">
        <f>+'Therm Sales Master'!H173</f>
        <v>0</v>
      </c>
      <c r="I54" s="97">
        <f>+'Therm Sales Master'!I173</f>
        <v>0</v>
      </c>
      <c r="J54" s="98">
        <f>+'Therm Sales Master'!J173</f>
        <v>0</v>
      </c>
      <c r="K54" s="96">
        <f>+'Therm Sales Master'!K173</f>
        <v>0</v>
      </c>
      <c r="L54" s="96">
        <f>+'Therm Sales Master'!L173</f>
        <v>0</v>
      </c>
      <c r="M54" s="97">
        <f>+'Therm Sales Master'!M173</f>
        <v>0</v>
      </c>
      <c r="N54" s="97">
        <f>+'Therm Sales Master'!N173</f>
        <v>0</v>
      </c>
      <c r="O54" s="97">
        <f>+'Therm Sales Master'!O173</f>
        <v>0</v>
      </c>
      <c r="P54" s="98">
        <f>+'Therm Sales Master'!P173</f>
        <v>0</v>
      </c>
      <c r="R54" s="97">
        <f t="shared" si="8"/>
        <v>0</v>
      </c>
    </row>
    <row r="55" spans="1:18" hidden="1" x14ac:dyDescent="0.2">
      <c r="A55" s="95">
        <v>44773</v>
      </c>
      <c r="B55" s="96">
        <f>+'Therm Sales Master'!B174</f>
        <v>0</v>
      </c>
      <c r="C55" s="97">
        <f>+'Therm Sales Master'!C174</f>
        <v>0</v>
      </c>
      <c r="D55" s="97">
        <f>+'Therm Sales Master'!D174</f>
        <v>0</v>
      </c>
      <c r="E55" s="98">
        <f>+'Therm Sales Master'!E174</f>
        <v>0</v>
      </c>
      <c r="F55" s="97">
        <f>+'Therm Sales Master'!F174</f>
        <v>0</v>
      </c>
      <c r="G55" s="97">
        <f>+'Therm Sales Master'!G174</f>
        <v>0</v>
      </c>
      <c r="H55" s="98">
        <f>+'Therm Sales Master'!H174</f>
        <v>0</v>
      </c>
      <c r="I55" s="97">
        <f>+'Therm Sales Master'!I174</f>
        <v>0</v>
      </c>
      <c r="J55" s="98">
        <f>+'Therm Sales Master'!J174</f>
        <v>0</v>
      </c>
      <c r="K55" s="96">
        <f>+'Therm Sales Master'!K174</f>
        <v>0</v>
      </c>
      <c r="L55" s="96">
        <f>+'Therm Sales Master'!L174</f>
        <v>0</v>
      </c>
      <c r="M55" s="97">
        <f>+'Therm Sales Master'!M174</f>
        <v>0</v>
      </c>
      <c r="N55" s="97">
        <f>+'Therm Sales Master'!N174</f>
        <v>0</v>
      </c>
      <c r="O55" s="97">
        <f>+'Therm Sales Master'!O174</f>
        <v>0</v>
      </c>
      <c r="P55" s="98">
        <f>+'Therm Sales Master'!P174</f>
        <v>0</v>
      </c>
      <c r="R55" s="97">
        <f t="shared" si="8"/>
        <v>0</v>
      </c>
    </row>
    <row r="56" spans="1:18" hidden="1" x14ac:dyDescent="0.2">
      <c r="A56" s="95">
        <v>44804</v>
      </c>
      <c r="B56" s="96">
        <f>+'Therm Sales Master'!B175</f>
        <v>0</v>
      </c>
      <c r="C56" s="97">
        <f>+'Therm Sales Master'!C175</f>
        <v>0</v>
      </c>
      <c r="D56" s="97">
        <f>+'Therm Sales Master'!D175</f>
        <v>0</v>
      </c>
      <c r="E56" s="98">
        <f>+'Therm Sales Master'!E175</f>
        <v>0</v>
      </c>
      <c r="F56" s="97">
        <f>+'Therm Sales Master'!F175</f>
        <v>0</v>
      </c>
      <c r="G56" s="97">
        <f>+'Therm Sales Master'!G175</f>
        <v>0</v>
      </c>
      <c r="H56" s="98">
        <f>+'Therm Sales Master'!H175</f>
        <v>0</v>
      </c>
      <c r="I56" s="97">
        <f>+'Therm Sales Master'!I175</f>
        <v>0</v>
      </c>
      <c r="J56" s="98">
        <f>+'Therm Sales Master'!J175</f>
        <v>0</v>
      </c>
      <c r="K56" s="96">
        <f>+'Therm Sales Master'!K175</f>
        <v>0</v>
      </c>
      <c r="L56" s="96">
        <f>+'Therm Sales Master'!L175</f>
        <v>0</v>
      </c>
      <c r="M56" s="97">
        <f>+'Therm Sales Master'!M175</f>
        <v>0</v>
      </c>
      <c r="N56" s="97">
        <f>+'Therm Sales Master'!N175</f>
        <v>0</v>
      </c>
      <c r="O56" s="97">
        <f>+'Therm Sales Master'!O175</f>
        <v>0</v>
      </c>
      <c r="P56" s="98">
        <f>+'Therm Sales Master'!P175</f>
        <v>0</v>
      </c>
      <c r="R56" s="97">
        <f t="shared" si="8"/>
        <v>0</v>
      </c>
    </row>
    <row r="57" spans="1:18" hidden="1" x14ac:dyDescent="0.2">
      <c r="A57" s="95">
        <v>44834</v>
      </c>
      <c r="B57" s="96">
        <f>+'Therm Sales Master'!B176</f>
        <v>0</v>
      </c>
      <c r="C57" s="97">
        <f>+'Therm Sales Master'!C176</f>
        <v>0</v>
      </c>
      <c r="D57" s="97">
        <f>+'Therm Sales Master'!D176</f>
        <v>0</v>
      </c>
      <c r="E57" s="98">
        <f>+'Therm Sales Master'!E176</f>
        <v>0</v>
      </c>
      <c r="F57" s="97">
        <f>+'Therm Sales Master'!F176</f>
        <v>0</v>
      </c>
      <c r="G57" s="97">
        <f>+'Therm Sales Master'!G176</f>
        <v>0</v>
      </c>
      <c r="H57" s="98">
        <f>+'Therm Sales Master'!H176</f>
        <v>0</v>
      </c>
      <c r="I57" s="97">
        <f>+'Therm Sales Master'!I176</f>
        <v>0</v>
      </c>
      <c r="J57" s="98">
        <f>+'Therm Sales Master'!J176</f>
        <v>0</v>
      </c>
      <c r="K57" s="96">
        <f>+'Therm Sales Master'!K176</f>
        <v>0</v>
      </c>
      <c r="L57" s="96">
        <f>+'Therm Sales Master'!L176</f>
        <v>0</v>
      </c>
      <c r="M57" s="97">
        <f>+'Therm Sales Master'!M176</f>
        <v>0</v>
      </c>
      <c r="N57" s="97">
        <f>+'Therm Sales Master'!N176</f>
        <v>0</v>
      </c>
      <c r="O57" s="97">
        <f>+'Therm Sales Master'!O176</f>
        <v>0</v>
      </c>
      <c r="P57" s="98">
        <f>+'Therm Sales Master'!P176</f>
        <v>0</v>
      </c>
      <c r="R57" s="97">
        <f t="shared" si="8"/>
        <v>0</v>
      </c>
    </row>
    <row r="58" spans="1:18" hidden="1" x14ac:dyDescent="0.2">
      <c r="A58" s="95">
        <v>44865</v>
      </c>
      <c r="B58" s="96">
        <f>+'Therm Sales Master'!B177</f>
        <v>0</v>
      </c>
      <c r="C58" s="97">
        <f>+'Therm Sales Master'!C177</f>
        <v>0</v>
      </c>
      <c r="D58" s="97">
        <f>+'Therm Sales Master'!D177</f>
        <v>0</v>
      </c>
      <c r="E58" s="98">
        <f>+'Therm Sales Master'!E177</f>
        <v>0</v>
      </c>
      <c r="F58" s="97">
        <f>+'Therm Sales Master'!F177</f>
        <v>0</v>
      </c>
      <c r="G58" s="97">
        <f>+'Therm Sales Master'!G177</f>
        <v>0</v>
      </c>
      <c r="H58" s="98">
        <f>+'Therm Sales Master'!H177</f>
        <v>0</v>
      </c>
      <c r="I58" s="97">
        <f>+'Therm Sales Master'!I177</f>
        <v>0</v>
      </c>
      <c r="J58" s="98">
        <f>+'Therm Sales Master'!J177</f>
        <v>0</v>
      </c>
      <c r="K58" s="96">
        <f>+'Therm Sales Master'!K177</f>
        <v>0</v>
      </c>
      <c r="L58" s="96">
        <f>+'Therm Sales Master'!L177</f>
        <v>0</v>
      </c>
      <c r="M58" s="97">
        <f>+'Therm Sales Master'!M177</f>
        <v>0</v>
      </c>
      <c r="N58" s="97">
        <f>+'Therm Sales Master'!N177</f>
        <v>0</v>
      </c>
      <c r="O58" s="97">
        <f>+'Therm Sales Master'!O177</f>
        <v>0</v>
      </c>
      <c r="P58" s="98">
        <f>+'Therm Sales Master'!P177</f>
        <v>0</v>
      </c>
      <c r="R58" s="97">
        <f t="shared" si="8"/>
        <v>0</v>
      </c>
    </row>
    <row r="59" spans="1:18" x14ac:dyDescent="0.2">
      <c r="A59" s="95"/>
      <c r="B59" s="106"/>
      <c r="C59" s="97"/>
      <c r="D59" s="97"/>
      <c r="E59" s="106"/>
      <c r="F59" s="97"/>
      <c r="G59" s="97"/>
      <c r="H59" s="106"/>
      <c r="I59" s="97"/>
      <c r="J59" s="106"/>
      <c r="K59" s="106"/>
      <c r="L59" s="106"/>
      <c r="M59" s="97"/>
      <c r="N59" s="97"/>
      <c r="O59" s="97"/>
      <c r="P59" s="106"/>
      <c r="R59" s="97"/>
    </row>
    <row r="60" spans="1:18" x14ac:dyDescent="0.2">
      <c r="B60" s="100"/>
      <c r="C60" s="100"/>
      <c r="D60" s="100"/>
      <c r="E60" s="100"/>
      <c r="F60" s="100"/>
      <c r="G60" s="100"/>
      <c r="H60" s="100"/>
      <c r="I60" s="100"/>
      <c r="J60" s="100"/>
      <c r="K60" s="15"/>
      <c r="L60" s="15"/>
      <c r="M60" s="15"/>
      <c r="N60" s="15"/>
      <c r="O60" s="15"/>
      <c r="P60" s="15"/>
    </row>
    <row r="61" spans="1:18" x14ac:dyDescent="0.2">
      <c r="B61" s="89">
        <v>503</v>
      </c>
      <c r="C61" s="89" t="s">
        <v>31</v>
      </c>
      <c r="D61" s="89">
        <v>505</v>
      </c>
      <c r="E61" s="89">
        <v>511</v>
      </c>
      <c r="F61" s="89" t="s">
        <v>30</v>
      </c>
      <c r="G61" s="89">
        <v>504</v>
      </c>
      <c r="H61" s="89" t="s">
        <v>64</v>
      </c>
      <c r="I61" s="89" t="s">
        <v>31</v>
      </c>
      <c r="J61" s="89">
        <v>570</v>
      </c>
      <c r="K61" s="89">
        <v>570</v>
      </c>
      <c r="L61" s="92" t="s">
        <v>70</v>
      </c>
      <c r="M61" s="92">
        <v>6631</v>
      </c>
      <c r="N61" s="92">
        <v>6633</v>
      </c>
      <c r="O61" s="92">
        <v>6635</v>
      </c>
      <c r="P61" s="92">
        <v>916</v>
      </c>
    </row>
    <row r="62" spans="1:18" hidden="1" x14ac:dyDescent="0.2">
      <c r="A62" s="95">
        <v>43343</v>
      </c>
      <c r="B62" s="101">
        <v>-1.5900000000000001E-3</v>
      </c>
      <c r="C62" s="101">
        <v>-7.6999999999999996E-4</v>
      </c>
      <c r="D62" s="101">
        <v>-7.6999999999999996E-4</v>
      </c>
      <c r="E62" s="101">
        <v>-6.3000000000000003E-4</v>
      </c>
      <c r="F62" s="101">
        <v>-1.2199999999999999E-3</v>
      </c>
      <c r="G62" s="101">
        <v>-1.2199999999999999E-3</v>
      </c>
      <c r="H62" s="101">
        <v>-6.3000000000000003E-4</v>
      </c>
      <c r="I62" s="101">
        <v>-7.6999999999999996E-4</v>
      </c>
      <c r="J62" s="101">
        <v>-2.4000000000000001E-4</v>
      </c>
      <c r="K62" s="101">
        <v>-2.4000000000000001E-4</v>
      </c>
      <c r="L62" s="102">
        <v>-1.3999999999999999E-4</v>
      </c>
      <c r="M62" s="102">
        <v>-1.3999999999999999E-4</v>
      </c>
      <c r="N62" s="102">
        <v>-1.3999999999999999E-4</v>
      </c>
      <c r="O62" s="102">
        <v>-1.3999999999999999E-4</v>
      </c>
      <c r="P62" s="102">
        <v>-1.3999999999999999E-4</v>
      </c>
    </row>
    <row r="63" spans="1:18" hidden="1" x14ac:dyDescent="0.2">
      <c r="A63" s="95">
        <v>43373</v>
      </c>
      <c r="B63" s="101">
        <v>-1.5900000000000001E-3</v>
      </c>
      <c r="C63" s="101">
        <v>-7.6999999999999996E-4</v>
      </c>
      <c r="D63" s="101">
        <v>-7.6999999999999996E-4</v>
      </c>
      <c r="E63" s="101">
        <v>-6.3000000000000003E-4</v>
      </c>
      <c r="F63" s="101">
        <v>-1.2199999999999999E-3</v>
      </c>
      <c r="G63" s="101">
        <v>-1.2199999999999999E-3</v>
      </c>
      <c r="H63" s="101">
        <v>-6.3000000000000003E-4</v>
      </c>
      <c r="I63" s="101">
        <v>-7.6999999999999996E-4</v>
      </c>
      <c r="J63" s="101">
        <v>-2.4000000000000001E-4</v>
      </c>
      <c r="K63" s="101">
        <v>-2.4000000000000001E-4</v>
      </c>
      <c r="L63" s="102">
        <v>-1.3999999999999999E-4</v>
      </c>
      <c r="M63" s="102">
        <v>-1.3999999999999999E-4</v>
      </c>
      <c r="N63" s="102">
        <v>-1.3999999999999999E-4</v>
      </c>
      <c r="O63" s="102">
        <v>-1.3999999999999999E-4</v>
      </c>
      <c r="P63" s="102">
        <v>-1.3999999999999999E-4</v>
      </c>
    </row>
    <row r="64" spans="1:18" hidden="1" x14ac:dyDescent="0.2">
      <c r="A64" s="95">
        <v>43404</v>
      </c>
      <c r="B64" s="101">
        <v>-1.5900000000000001E-3</v>
      </c>
      <c r="C64" s="101">
        <v>-7.6999999999999996E-4</v>
      </c>
      <c r="D64" s="101">
        <v>-7.6999999999999996E-4</v>
      </c>
      <c r="E64" s="101">
        <v>-6.3000000000000003E-4</v>
      </c>
      <c r="F64" s="101">
        <v>-1.2199999999999999E-3</v>
      </c>
      <c r="G64" s="101">
        <v>-1.2199999999999999E-3</v>
      </c>
      <c r="H64" s="101">
        <v>-6.3000000000000003E-4</v>
      </c>
      <c r="I64" s="101">
        <v>-7.6999999999999996E-4</v>
      </c>
      <c r="J64" s="101">
        <v>-2.4000000000000001E-4</v>
      </c>
      <c r="K64" s="101">
        <v>-2.4000000000000001E-4</v>
      </c>
      <c r="L64" s="102">
        <v>-1.3999999999999999E-4</v>
      </c>
      <c r="M64" s="102">
        <v>-1.3999999999999999E-4</v>
      </c>
      <c r="N64" s="102">
        <v>-1.3999999999999999E-4</v>
      </c>
      <c r="O64" s="102">
        <v>-1.3999999999999999E-4</v>
      </c>
      <c r="P64" s="102">
        <v>-1.3999999999999999E-4</v>
      </c>
    </row>
    <row r="65" spans="1:19" hidden="1" x14ac:dyDescent="0.2">
      <c r="A65" s="95">
        <v>43434</v>
      </c>
      <c r="B65" s="101">
        <v>-1.7600000000000001E-3</v>
      </c>
      <c r="C65" s="101">
        <v>-8.5999999999999998E-4</v>
      </c>
      <c r="D65" s="101">
        <v>-8.5999999999999998E-4</v>
      </c>
      <c r="E65" s="101">
        <v>-6.9999999999999999E-4</v>
      </c>
      <c r="F65" s="101">
        <v>-1.3500000000000001E-3</v>
      </c>
      <c r="G65" s="101">
        <v>-1.3500000000000001E-3</v>
      </c>
      <c r="H65" s="101">
        <v>-6.9999999999999999E-4</v>
      </c>
      <c r="I65" s="101">
        <v>-8.5999999999999998E-4</v>
      </c>
      <c r="J65" s="101">
        <v>-2.5999999999999998E-4</v>
      </c>
      <c r="K65" s="101">
        <v>-2.5999999999999998E-4</v>
      </c>
      <c r="L65" s="102">
        <v>-1.4999999999999999E-4</v>
      </c>
      <c r="M65" s="102">
        <v>-1.4999999999999999E-4</v>
      </c>
      <c r="N65" s="102">
        <v>-1.4999999999999999E-4</v>
      </c>
      <c r="O65" s="102">
        <v>-1.4999999999999999E-4</v>
      </c>
      <c r="P65" s="102">
        <v>-1.4999999999999999E-4</v>
      </c>
      <c r="S65" s="1" t="s">
        <v>59</v>
      </c>
    </row>
    <row r="66" spans="1:19" hidden="1" x14ac:dyDescent="0.2">
      <c r="A66" s="95">
        <v>43465</v>
      </c>
      <c r="B66" s="101">
        <v>-1.7600000000000001E-3</v>
      </c>
      <c r="C66" s="101">
        <v>-8.5999999999999998E-4</v>
      </c>
      <c r="D66" s="101">
        <v>-8.5999999999999998E-4</v>
      </c>
      <c r="E66" s="101">
        <v>-6.9999999999999999E-4</v>
      </c>
      <c r="F66" s="101">
        <v>-1.3500000000000001E-3</v>
      </c>
      <c r="G66" s="101">
        <v>-1.3500000000000001E-3</v>
      </c>
      <c r="H66" s="101">
        <v>-6.9999999999999999E-4</v>
      </c>
      <c r="I66" s="101">
        <v>-8.5999999999999998E-4</v>
      </c>
      <c r="J66" s="101">
        <v>-2.5999999999999998E-4</v>
      </c>
      <c r="K66" s="101">
        <v>-2.5999999999999998E-4</v>
      </c>
      <c r="L66" s="102">
        <v>-1.4999999999999999E-4</v>
      </c>
      <c r="M66" s="102">
        <v>-1.4999999999999999E-4</v>
      </c>
      <c r="N66" s="102">
        <v>-1.4999999999999999E-4</v>
      </c>
      <c r="O66" s="102">
        <v>-1.4999999999999999E-4</v>
      </c>
      <c r="P66" s="102">
        <v>-1.4999999999999999E-4</v>
      </c>
    </row>
    <row r="67" spans="1:19" hidden="1" x14ac:dyDescent="0.2">
      <c r="A67" s="95">
        <v>43496</v>
      </c>
      <c r="B67" s="101">
        <v>-1.7600000000000001E-3</v>
      </c>
      <c r="C67" s="101">
        <v>-8.5999999999999998E-4</v>
      </c>
      <c r="D67" s="101">
        <v>-8.5999999999999998E-4</v>
      </c>
      <c r="E67" s="101">
        <v>-6.9999999999999999E-4</v>
      </c>
      <c r="F67" s="101">
        <v>-1.3500000000000001E-3</v>
      </c>
      <c r="G67" s="101">
        <v>-1.3500000000000001E-3</v>
      </c>
      <c r="H67" s="101">
        <v>-6.9999999999999999E-4</v>
      </c>
      <c r="I67" s="101">
        <v>-8.5999999999999998E-4</v>
      </c>
      <c r="J67" s="101">
        <v>-2.5999999999999998E-4</v>
      </c>
      <c r="K67" s="101">
        <v>-2.5999999999999998E-4</v>
      </c>
      <c r="L67" s="102">
        <v>-1.4999999999999999E-4</v>
      </c>
      <c r="M67" s="102">
        <v>-1.4999999999999999E-4</v>
      </c>
      <c r="N67" s="102">
        <v>-1.4999999999999999E-4</v>
      </c>
      <c r="O67" s="102">
        <v>-1.4999999999999999E-4</v>
      </c>
      <c r="P67" s="102">
        <v>-1.4999999999999999E-4</v>
      </c>
    </row>
    <row r="68" spans="1:19" hidden="1" x14ac:dyDescent="0.2">
      <c r="A68" s="95">
        <v>43524</v>
      </c>
      <c r="B68" s="101">
        <v>-1.7600000000000001E-3</v>
      </c>
      <c r="C68" s="101">
        <v>-8.5999999999999998E-4</v>
      </c>
      <c r="D68" s="101">
        <v>-8.5999999999999998E-4</v>
      </c>
      <c r="E68" s="101">
        <v>-6.9999999999999999E-4</v>
      </c>
      <c r="F68" s="101">
        <v>-1.3500000000000001E-3</v>
      </c>
      <c r="G68" s="101">
        <v>-1.3500000000000001E-3</v>
      </c>
      <c r="H68" s="101">
        <v>-6.9999999999999999E-4</v>
      </c>
      <c r="I68" s="101">
        <v>-8.5999999999999998E-4</v>
      </c>
      <c r="J68" s="101">
        <v>-2.5999999999999998E-4</v>
      </c>
      <c r="K68" s="101">
        <v>-2.5999999999999998E-4</v>
      </c>
      <c r="L68" s="102">
        <v>-1.4999999999999999E-4</v>
      </c>
      <c r="M68" s="102">
        <v>-1.4999999999999999E-4</v>
      </c>
      <c r="N68" s="102">
        <v>-1.4999999999999999E-4</v>
      </c>
      <c r="O68" s="102">
        <v>-1.4999999999999999E-4</v>
      </c>
      <c r="P68" s="102">
        <v>-1.4999999999999999E-4</v>
      </c>
    </row>
    <row r="69" spans="1:19" hidden="1" x14ac:dyDescent="0.2">
      <c r="A69" s="95">
        <v>43555</v>
      </c>
      <c r="B69" s="101">
        <v>-1.7600000000000001E-3</v>
      </c>
      <c r="C69" s="101">
        <v>-8.5999999999999998E-4</v>
      </c>
      <c r="D69" s="101">
        <v>-8.5999999999999998E-4</v>
      </c>
      <c r="E69" s="101">
        <v>-6.9999999999999999E-4</v>
      </c>
      <c r="F69" s="101">
        <v>-1.3500000000000001E-3</v>
      </c>
      <c r="G69" s="101">
        <v>-1.3500000000000001E-3</v>
      </c>
      <c r="H69" s="101">
        <v>-6.9999999999999999E-4</v>
      </c>
      <c r="I69" s="101">
        <v>-8.5999999999999998E-4</v>
      </c>
      <c r="J69" s="101">
        <v>-2.5999999999999998E-4</v>
      </c>
      <c r="K69" s="101">
        <v>-2.5999999999999998E-4</v>
      </c>
      <c r="L69" s="102">
        <v>-1.4999999999999999E-4</v>
      </c>
      <c r="M69" s="102">
        <v>-1.4999999999999999E-4</v>
      </c>
      <c r="N69" s="102">
        <v>-1.4999999999999999E-4</v>
      </c>
      <c r="O69" s="102">
        <v>-1.4999999999999999E-4</v>
      </c>
      <c r="P69" s="102">
        <v>-1.4999999999999999E-4</v>
      </c>
    </row>
    <row r="70" spans="1:19" hidden="1" x14ac:dyDescent="0.2">
      <c r="A70" s="95">
        <v>43585</v>
      </c>
      <c r="B70" s="101">
        <v>-1.7600000000000001E-3</v>
      </c>
      <c r="C70" s="101">
        <v>-8.5999999999999998E-4</v>
      </c>
      <c r="D70" s="101">
        <v>-8.5999999999999998E-4</v>
      </c>
      <c r="E70" s="101">
        <v>-6.9999999999999999E-4</v>
      </c>
      <c r="F70" s="101">
        <v>-1.3500000000000001E-3</v>
      </c>
      <c r="G70" s="101">
        <v>-1.3500000000000001E-3</v>
      </c>
      <c r="H70" s="101">
        <v>-6.9999999999999999E-4</v>
      </c>
      <c r="I70" s="101">
        <v>-8.5999999999999998E-4</v>
      </c>
      <c r="J70" s="101">
        <v>-2.5999999999999998E-4</v>
      </c>
      <c r="K70" s="101">
        <v>-2.5999999999999998E-4</v>
      </c>
      <c r="L70" s="102">
        <v>-1.4999999999999999E-4</v>
      </c>
      <c r="M70" s="102">
        <v>-1.4999999999999999E-4</v>
      </c>
      <c r="N70" s="102">
        <v>-1.4999999999999999E-4</v>
      </c>
      <c r="O70" s="102">
        <v>-1.4999999999999999E-4</v>
      </c>
      <c r="P70" s="102">
        <v>-1.4999999999999999E-4</v>
      </c>
    </row>
    <row r="71" spans="1:19" hidden="1" x14ac:dyDescent="0.2">
      <c r="A71" s="95">
        <v>43616</v>
      </c>
      <c r="B71" s="101">
        <v>-1.7600000000000001E-3</v>
      </c>
      <c r="C71" s="101">
        <v>-8.5999999999999998E-4</v>
      </c>
      <c r="D71" s="101">
        <v>-8.5999999999999998E-4</v>
      </c>
      <c r="E71" s="101">
        <v>-6.9999999999999999E-4</v>
      </c>
      <c r="F71" s="101">
        <v>-1.3500000000000001E-3</v>
      </c>
      <c r="G71" s="101">
        <v>-1.3500000000000001E-3</v>
      </c>
      <c r="H71" s="101">
        <v>-6.9999999999999999E-4</v>
      </c>
      <c r="I71" s="101">
        <v>-8.5999999999999998E-4</v>
      </c>
      <c r="J71" s="101">
        <v>-2.5999999999999998E-4</v>
      </c>
      <c r="K71" s="101">
        <v>-2.5999999999999998E-4</v>
      </c>
      <c r="L71" s="102">
        <v>-1.4999999999999999E-4</v>
      </c>
      <c r="M71" s="102">
        <v>-1.4999999999999999E-4</v>
      </c>
      <c r="N71" s="102">
        <v>-1.4999999999999999E-4</v>
      </c>
      <c r="O71" s="102">
        <v>-1.4999999999999999E-4</v>
      </c>
      <c r="P71" s="102">
        <v>-1.4999999999999999E-4</v>
      </c>
    </row>
    <row r="72" spans="1:19" hidden="1" x14ac:dyDescent="0.2">
      <c r="A72" s="95">
        <v>43646</v>
      </c>
      <c r="B72" s="101">
        <v>-1.7600000000000001E-3</v>
      </c>
      <c r="C72" s="101">
        <v>-8.5999999999999998E-4</v>
      </c>
      <c r="D72" s="101">
        <v>-8.5999999999999998E-4</v>
      </c>
      <c r="E72" s="101">
        <v>-6.9999999999999999E-4</v>
      </c>
      <c r="F72" s="101">
        <v>-1.3500000000000001E-3</v>
      </c>
      <c r="G72" s="101">
        <v>-1.3500000000000001E-3</v>
      </c>
      <c r="H72" s="101">
        <v>-6.9999999999999999E-4</v>
      </c>
      <c r="I72" s="101">
        <v>-8.5999999999999998E-4</v>
      </c>
      <c r="J72" s="101">
        <v>-2.5999999999999998E-4</v>
      </c>
      <c r="K72" s="101">
        <v>-2.5999999999999998E-4</v>
      </c>
      <c r="L72" s="102">
        <v>-1.4999999999999999E-4</v>
      </c>
      <c r="M72" s="102">
        <v>-1.4999999999999999E-4</v>
      </c>
      <c r="N72" s="102">
        <v>-1.4999999999999999E-4</v>
      </c>
      <c r="O72" s="102">
        <v>-1.4999999999999999E-4</v>
      </c>
      <c r="P72" s="102">
        <v>-1.4999999999999999E-4</v>
      </c>
    </row>
    <row r="73" spans="1:19" hidden="1" x14ac:dyDescent="0.2">
      <c r="A73" s="95">
        <v>43677</v>
      </c>
      <c r="B73" s="101">
        <v>-1.7600000000000001E-3</v>
      </c>
      <c r="C73" s="101">
        <v>-8.5999999999999998E-4</v>
      </c>
      <c r="D73" s="101">
        <v>-8.5999999999999998E-4</v>
      </c>
      <c r="E73" s="101">
        <v>-6.9999999999999999E-4</v>
      </c>
      <c r="F73" s="101">
        <v>-1.3500000000000001E-3</v>
      </c>
      <c r="G73" s="101">
        <v>-1.3500000000000001E-3</v>
      </c>
      <c r="H73" s="101">
        <v>-6.9999999999999999E-4</v>
      </c>
      <c r="I73" s="101">
        <v>-8.5999999999999998E-4</v>
      </c>
      <c r="J73" s="101">
        <v>-2.5999999999999998E-4</v>
      </c>
      <c r="K73" s="101">
        <v>-2.5999999999999998E-4</v>
      </c>
      <c r="L73" s="101">
        <v>-1.4999999999999999E-4</v>
      </c>
      <c r="M73" s="101">
        <v>-1.4999999999999999E-4</v>
      </c>
      <c r="N73" s="101">
        <v>-1.4999999999999999E-4</v>
      </c>
      <c r="O73" s="101">
        <v>-1.4999999999999999E-4</v>
      </c>
      <c r="P73" s="101">
        <v>-1.4999999999999999E-4</v>
      </c>
    </row>
    <row r="74" spans="1:19" hidden="1" x14ac:dyDescent="0.2">
      <c r="A74" s="95">
        <v>43708</v>
      </c>
      <c r="B74" s="101">
        <v>-1.7600000000000001E-3</v>
      </c>
      <c r="C74" s="101">
        <v>-8.5999999999999998E-4</v>
      </c>
      <c r="D74" s="101">
        <v>-8.5999999999999998E-4</v>
      </c>
      <c r="E74" s="101">
        <v>-6.9999999999999999E-4</v>
      </c>
      <c r="F74" s="101">
        <v>-1.3500000000000001E-3</v>
      </c>
      <c r="G74" s="101">
        <v>-1.3500000000000001E-3</v>
      </c>
      <c r="H74" s="101">
        <v>-6.9999999999999999E-4</v>
      </c>
      <c r="I74" s="101">
        <v>-8.5999999999999998E-4</v>
      </c>
      <c r="J74" s="101">
        <v>-2.5999999999999998E-4</v>
      </c>
      <c r="K74" s="101">
        <v>-2.5999999999999998E-4</v>
      </c>
      <c r="L74" s="101">
        <v>-1.4999999999999999E-4</v>
      </c>
      <c r="M74" s="101">
        <v>-1.4999999999999999E-4</v>
      </c>
      <c r="N74" s="101">
        <v>-1.4999999999999999E-4</v>
      </c>
      <c r="O74" s="101">
        <v>-1.4999999999999999E-4</v>
      </c>
      <c r="P74" s="101">
        <v>-1.4999999999999999E-4</v>
      </c>
    </row>
    <row r="75" spans="1:19" hidden="1" x14ac:dyDescent="0.2">
      <c r="A75" s="95">
        <v>43738</v>
      </c>
      <c r="B75" s="101">
        <v>-1.7600000000000001E-3</v>
      </c>
      <c r="C75" s="101">
        <v>-8.5999999999999998E-4</v>
      </c>
      <c r="D75" s="101">
        <v>-8.5999999999999998E-4</v>
      </c>
      <c r="E75" s="101">
        <v>-6.9999999999999999E-4</v>
      </c>
      <c r="F75" s="101">
        <v>-1.3500000000000001E-3</v>
      </c>
      <c r="G75" s="101">
        <v>-1.3500000000000001E-3</v>
      </c>
      <c r="H75" s="101">
        <v>-6.9999999999999999E-4</v>
      </c>
      <c r="I75" s="101">
        <v>-8.5999999999999998E-4</v>
      </c>
      <c r="J75" s="101">
        <v>-2.5999999999999998E-4</v>
      </c>
      <c r="K75" s="101">
        <v>-2.5999999999999998E-4</v>
      </c>
      <c r="L75" s="101">
        <v>-1.4999999999999999E-4</v>
      </c>
      <c r="M75" s="101">
        <v>-1.4999999999999999E-4</v>
      </c>
      <c r="N75" s="101">
        <v>-1.4999999999999999E-4</v>
      </c>
      <c r="O75" s="101">
        <v>-1.4999999999999999E-4</v>
      </c>
      <c r="P75" s="101">
        <v>-1.4999999999999999E-4</v>
      </c>
    </row>
    <row r="76" spans="1:19" hidden="1" x14ac:dyDescent="0.2">
      <c r="A76" s="95">
        <v>43769</v>
      </c>
      <c r="B76" s="101">
        <v>-1.7600000000000001E-3</v>
      </c>
      <c r="C76" s="101">
        <v>-8.5999999999999998E-4</v>
      </c>
      <c r="D76" s="101">
        <v>-8.5999999999999998E-4</v>
      </c>
      <c r="E76" s="101">
        <v>-6.9999999999999999E-4</v>
      </c>
      <c r="F76" s="101">
        <v>-1.3500000000000001E-3</v>
      </c>
      <c r="G76" s="101">
        <v>-1.3500000000000001E-3</v>
      </c>
      <c r="H76" s="101">
        <v>-6.9999999999999999E-4</v>
      </c>
      <c r="I76" s="101">
        <v>-8.5999999999999998E-4</v>
      </c>
      <c r="J76" s="101">
        <v>-2.5999999999999998E-4</v>
      </c>
      <c r="K76" s="101">
        <v>-2.5999999999999998E-4</v>
      </c>
      <c r="L76" s="101">
        <v>-1.4999999999999999E-4</v>
      </c>
      <c r="M76" s="101">
        <v>-1.4999999999999999E-4</v>
      </c>
      <c r="N76" s="101">
        <v>-1.4999999999999999E-4</v>
      </c>
      <c r="O76" s="101">
        <v>-1.4999999999999999E-4</v>
      </c>
      <c r="P76" s="101">
        <v>-1.4999999999999999E-4</v>
      </c>
      <c r="R76" s="1" t="s">
        <v>56</v>
      </c>
    </row>
    <row r="77" spans="1:19" hidden="1" x14ac:dyDescent="0.2">
      <c r="A77" s="95">
        <v>43799</v>
      </c>
      <c r="B77" s="101">
        <v>-1.97E-3</v>
      </c>
      <c r="C77" s="101">
        <v>-9.6000000000000002E-4</v>
      </c>
      <c r="D77" s="101">
        <v>-9.6000000000000002E-4</v>
      </c>
      <c r="E77" s="101">
        <v>-7.9000000000000001E-4</v>
      </c>
      <c r="F77" s="101">
        <v>-1.5200000000000001E-3</v>
      </c>
      <c r="G77" s="101">
        <v>-1.5200000000000001E-3</v>
      </c>
      <c r="H77" s="101">
        <v>-7.9000000000000001E-4</v>
      </c>
      <c r="I77" s="101">
        <v>-9.6000000000000002E-4</v>
      </c>
      <c r="J77" s="101">
        <v>-2.9E-4</v>
      </c>
      <c r="K77" s="101">
        <v>-2.9E-4</v>
      </c>
      <c r="L77" s="101">
        <v>-1.7000000000000001E-4</v>
      </c>
      <c r="M77" s="101">
        <v>-1.7000000000000001E-4</v>
      </c>
      <c r="N77" s="101">
        <v>-1.7000000000000001E-4</v>
      </c>
      <c r="O77" s="101">
        <v>-1.7000000000000001E-4</v>
      </c>
      <c r="P77" s="101">
        <v>-1.7000000000000001E-4</v>
      </c>
      <c r="R77" s="1" t="s">
        <v>57</v>
      </c>
      <c r="S77" s="1" t="s">
        <v>59</v>
      </c>
    </row>
    <row r="78" spans="1:19" hidden="1" x14ac:dyDescent="0.2">
      <c r="A78" s="95">
        <v>43830</v>
      </c>
      <c r="B78" s="101">
        <v>-1.97E-3</v>
      </c>
      <c r="C78" s="101">
        <v>-9.6000000000000002E-4</v>
      </c>
      <c r="D78" s="101">
        <v>-9.6000000000000002E-4</v>
      </c>
      <c r="E78" s="101">
        <v>-7.9000000000000001E-4</v>
      </c>
      <c r="F78" s="101">
        <v>-1.5200000000000001E-3</v>
      </c>
      <c r="G78" s="101">
        <v>-1.5200000000000001E-3</v>
      </c>
      <c r="H78" s="101">
        <v>-7.9000000000000001E-4</v>
      </c>
      <c r="I78" s="101">
        <v>-9.6000000000000002E-4</v>
      </c>
      <c r="J78" s="101">
        <v>-2.9E-4</v>
      </c>
      <c r="K78" s="101">
        <v>-2.9E-4</v>
      </c>
      <c r="L78" s="101">
        <v>-1.7000000000000001E-4</v>
      </c>
      <c r="M78" s="101">
        <v>-1.7000000000000001E-4</v>
      </c>
      <c r="N78" s="101">
        <v>-1.7000000000000001E-4</v>
      </c>
      <c r="O78" s="101">
        <v>-1.7000000000000001E-4</v>
      </c>
      <c r="P78" s="101">
        <v>-1.7000000000000001E-4</v>
      </c>
    </row>
    <row r="79" spans="1:19" hidden="1" x14ac:dyDescent="0.2">
      <c r="A79" s="95">
        <v>43861</v>
      </c>
      <c r="B79" s="101">
        <v>-1.97E-3</v>
      </c>
      <c r="C79" s="101">
        <v>-9.6000000000000002E-4</v>
      </c>
      <c r="D79" s="101">
        <v>-9.6000000000000002E-4</v>
      </c>
      <c r="E79" s="101">
        <v>-7.9000000000000001E-4</v>
      </c>
      <c r="F79" s="101">
        <v>-1.5200000000000001E-3</v>
      </c>
      <c r="G79" s="101">
        <v>-1.5200000000000001E-3</v>
      </c>
      <c r="H79" s="101">
        <v>-7.9000000000000001E-4</v>
      </c>
      <c r="I79" s="101">
        <v>-9.6000000000000002E-4</v>
      </c>
      <c r="J79" s="101">
        <v>-2.9E-4</v>
      </c>
      <c r="K79" s="101">
        <v>-2.9E-4</v>
      </c>
      <c r="L79" s="101">
        <v>-1.7000000000000001E-4</v>
      </c>
      <c r="M79" s="101">
        <v>-1.7000000000000001E-4</v>
      </c>
      <c r="N79" s="101">
        <v>-1.7000000000000001E-4</v>
      </c>
      <c r="O79" s="101">
        <v>-1.7000000000000001E-4</v>
      </c>
      <c r="P79" s="101">
        <v>-1.7000000000000001E-4</v>
      </c>
    </row>
    <row r="80" spans="1:19" hidden="1" x14ac:dyDescent="0.2">
      <c r="A80" s="95">
        <v>43890</v>
      </c>
      <c r="B80" s="101">
        <v>-1.97E-3</v>
      </c>
      <c r="C80" s="101">
        <v>-9.6000000000000002E-4</v>
      </c>
      <c r="D80" s="101">
        <v>-9.6000000000000002E-4</v>
      </c>
      <c r="E80" s="101">
        <v>-7.9000000000000001E-4</v>
      </c>
      <c r="F80" s="101">
        <v>-1.5200000000000001E-3</v>
      </c>
      <c r="G80" s="101">
        <v>-1.5200000000000001E-3</v>
      </c>
      <c r="H80" s="101">
        <v>-7.9000000000000001E-4</v>
      </c>
      <c r="I80" s="101">
        <v>-9.6000000000000002E-4</v>
      </c>
      <c r="J80" s="101">
        <v>-2.9E-4</v>
      </c>
      <c r="K80" s="101">
        <v>-2.9E-4</v>
      </c>
      <c r="L80" s="101">
        <v>-1.7000000000000001E-4</v>
      </c>
      <c r="M80" s="101">
        <v>-1.7000000000000001E-4</v>
      </c>
      <c r="N80" s="101">
        <v>-1.7000000000000001E-4</v>
      </c>
      <c r="O80" s="101">
        <v>-1.7000000000000001E-4</v>
      </c>
      <c r="P80" s="101">
        <v>-1.7000000000000001E-4</v>
      </c>
    </row>
    <row r="81" spans="1:19" hidden="1" x14ac:dyDescent="0.2">
      <c r="A81" s="95">
        <v>43921</v>
      </c>
      <c r="B81" s="101">
        <v>-1.97E-3</v>
      </c>
      <c r="C81" s="101">
        <v>-9.6000000000000002E-4</v>
      </c>
      <c r="D81" s="101">
        <v>-9.6000000000000002E-4</v>
      </c>
      <c r="E81" s="101">
        <v>-7.9000000000000001E-4</v>
      </c>
      <c r="F81" s="101">
        <v>-1.5200000000000001E-3</v>
      </c>
      <c r="G81" s="101">
        <v>-1.5200000000000001E-3</v>
      </c>
      <c r="H81" s="101">
        <v>-7.9000000000000001E-4</v>
      </c>
      <c r="I81" s="101">
        <v>-9.6000000000000002E-4</v>
      </c>
      <c r="J81" s="101">
        <v>-2.9E-4</v>
      </c>
      <c r="K81" s="101">
        <v>-2.9E-4</v>
      </c>
      <c r="L81" s="101">
        <v>-1.7000000000000001E-4</v>
      </c>
      <c r="M81" s="101">
        <v>-1.7000000000000001E-4</v>
      </c>
      <c r="N81" s="101">
        <v>-1.7000000000000001E-4</v>
      </c>
      <c r="O81" s="101">
        <v>-1.7000000000000001E-4</v>
      </c>
      <c r="P81" s="101">
        <v>-1.7000000000000001E-4</v>
      </c>
    </row>
    <row r="82" spans="1:19" hidden="1" x14ac:dyDescent="0.2">
      <c r="A82" s="95">
        <v>43951</v>
      </c>
      <c r="B82" s="101">
        <v>-1.97E-3</v>
      </c>
      <c r="C82" s="101">
        <v>-9.6000000000000002E-4</v>
      </c>
      <c r="D82" s="101">
        <v>-9.6000000000000002E-4</v>
      </c>
      <c r="E82" s="101">
        <v>-7.9000000000000001E-4</v>
      </c>
      <c r="F82" s="101">
        <v>-1.5200000000000001E-3</v>
      </c>
      <c r="G82" s="101">
        <v>-1.5200000000000001E-3</v>
      </c>
      <c r="H82" s="101">
        <v>-7.9000000000000001E-4</v>
      </c>
      <c r="I82" s="101">
        <v>-9.6000000000000002E-4</v>
      </c>
      <c r="J82" s="101">
        <v>-2.9E-4</v>
      </c>
      <c r="K82" s="101">
        <v>-2.9E-4</v>
      </c>
      <c r="L82" s="101">
        <v>-1.7000000000000001E-4</v>
      </c>
      <c r="M82" s="101">
        <v>-1.7000000000000001E-4</v>
      </c>
      <c r="N82" s="101">
        <v>-1.7000000000000001E-4</v>
      </c>
      <c r="O82" s="101">
        <v>-1.7000000000000001E-4</v>
      </c>
      <c r="P82" s="101">
        <v>-1.7000000000000001E-4</v>
      </c>
    </row>
    <row r="83" spans="1:19" hidden="1" x14ac:dyDescent="0.2">
      <c r="A83" s="95">
        <v>43982</v>
      </c>
      <c r="B83" s="101">
        <v>-1.97E-3</v>
      </c>
      <c r="C83" s="101">
        <v>-9.6000000000000002E-4</v>
      </c>
      <c r="D83" s="101">
        <v>-9.6000000000000002E-4</v>
      </c>
      <c r="E83" s="101">
        <v>-7.9000000000000001E-4</v>
      </c>
      <c r="F83" s="101">
        <v>-1.5200000000000001E-3</v>
      </c>
      <c r="G83" s="101">
        <v>-1.5200000000000001E-3</v>
      </c>
      <c r="H83" s="101">
        <v>-7.9000000000000001E-4</v>
      </c>
      <c r="I83" s="101">
        <v>-9.6000000000000002E-4</v>
      </c>
      <c r="J83" s="101">
        <v>-2.9E-4</v>
      </c>
      <c r="K83" s="101">
        <v>-2.9E-4</v>
      </c>
      <c r="L83" s="101">
        <v>-1.7000000000000001E-4</v>
      </c>
      <c r="M83" s="101">
        <v>-1.7000000000000001E-4</v>
      </c>
      <c r="N83" s="101">
        <v>-1.7000000000000001E-4</v>
      </c>
      <c r="O83" s="101">
        <v>-1.7000000000000001E-4</v>
      </c>
      <c r="P83" s="101">
        <v>-1.7000000000000001E-4</v>
      </c>
    </row>
    <row r="84" spans="1:19" hidden="1" x14ac:dyDescent="0.2">
      <c r="A84" s="95">
        <v>44012</v>
      </c>
      <c r="B84" s="101">
        <v>-1.97E-3</v>
      </c>
      <c r="C84" s="101">
        <v>-9.6000000000000002E-4</v>
      </c>
      <c r="D84" s="101">
        <v>-9.6000000000000002E-4</v>
      </c>
      <c r="E84" s="101">
        <v>-7.9000000000000001E-4</v>
      </c>
      <c r="F84" s="101">
        <v>-1.5200000000000001E-3</v>
      </c>
      <c r="G84" s="101">
        <v>-1.5200000000000001E-3</v>
      </c>
      <c r="H84" s="101">
        <v>-7.9000000000000001E-4</v>
      </c>
      <c r="I84" s="101">
        <v>-9.6000000000000002E-4</v>
      </c>
      <c r="J84" s="101">
        <v>-2.9E-4</v>
      </c>
      <c r="K84" s="101">
        <v>-2.9E-4</v>
      </c>
      <c r="L84" s="101">
        <v>-1.7000000000000001E-4</v>
      </c>
      <c r="M84" s="101">
        <v>-1.7000000000000001E-4</v>
      </c>
      <c r="N84" s="101">
        <v>-1.7000000000000001E-4</v>
      </c>
      <c r="O84" s="101">
        <v>-1.7000000000000001E-4</v>
      </c>
      <c r="P84" s="101">
        <v>-1.7000000000000001E-4</v>
      </c>
    </row>
    <row r="85" spans="1:19" hidden="1" x14ac:dyDescent="0.2">
      <c r="A85" s="95">
        <v>44043</v>
      </c>
      <c r="B85" s="101">
        <v>-1.97E-3</v>
      </c>
      <c r="C85" s="101">
        <v>-9.6000000000000002E-4</v>
      </c>
      <c r="D85" s="101">
        <v>-9.6000000000000002E-4</v>
      </c>
      <c r="E85" s="101">
        <v>-7.9000000000000001E-4</v>
      </c>
      <c r="F85" s="101">
        <v>-1.5200000000000001E-3</v>
      </c>
      <c r="G85" s="101">
        <v>-1.5200000000000001E-3</v>
      </c>
      <c r="H85" s="101">
        <v>-7.9000000000000001E-4</v>
      </c>
      <c r="I85" s="101">
        <v>-9.6000000000000002E-4</v>
      </c>
      <c r="J85" s="101">
        <v>-2.9E-4</v>
      </c>
      <c r="K85" s="101">
        <v>-2.9E-4</v>
      </c>
      <c r="L85" s="101">
        <v>-1.7000000000000001E-4</v>
      </c>
      <c r="M85" s="101">
        <v>-1.7000000000000001E-4</v>
      </c>
      <c r="N85" s="101">
        <v>-1.7000000000000001E-4</v>
      </c>
      <c r="O85" s="101">
        <v>-1.7000000000000001E-4</v>
      </c>
      <c r="P85" s="101">
        <v>-1.7000000000000001E-4</v>
      </c>
    </row>
    <row r="86" spans="1:19" hidden="1" x14ac:dyDescent="0.2">
      <c r="A86" s="95">
        <v>44074</v>
      </c>
      <c r="B86" s="101">
        <v>-1.97E-3</v>
      </c>
      <c r="C86" s="101">
        <v>-9.6000000000000002E-4</v>
      </c>
      <c r="D86" s="101">
        <v>-9.6000000000000002E-4</v>
      </c>
      <c r="E86" s="101">
        <v>-7.9000000000000001E-4</v>
      </c>
      <c r="F86" s="101">
        <v>-1.5200000000000001E-3</v>
      </c>
      <c r="G86" s="101">
        <v>-1.5200000000000001E-3</v>
      </c>
      <c r="H86" s="101">
        <v>-7.9000000000000001E-4</v>
      </c>
      <c r="I86" s="101">
        <v>-9.6000000000000002E-4</v>
      </c>
      <c r="J86" s="101">
        <v>-2.9E-4</v>
      </c>
      <c r="K86" s="101">
        <v>-2.9E-4</v>
      </c>
      <c r="L86" s="101">
        <v>-1.7000000000000001E-4</v>
      </c>
      <c r="M86" s="101">
        <v>-1.7000000000000001E-4</v>
      </c>
      <c r="N86" s="101">
        <v>-1.7000000000000001E-4</v>
      </c>
      <c r="O86" s="101">
        <v>-1.7000000000000001E-4</v>
      </c>
      <c r="P86" s="101">
        <v>-1.7000000000000001E-4</v>
      </c>
    </row>
    <row r="87" spans="1:19" hidden="1" x14ac:dyDescent="0.2">
      <c r="A87" s="95">
        <v>44104</v>
      </c>
      <c r="B87" s="101">
        <v>-1.97E-3</v>
      </c>
      <c r="C87" s="101">
        <v>-9.6000000000000002E-4</v>
      </c>
      <c r="D87" s="101">
        <v>-9.6000000000000002E-4</v>
      </c>
      <c r="E87" s="101">
        <v>-7.9000000000000001E-4</v>
      </c>
      <c r="F87" s="101">
        <v>-1.5200000000000001E-3</v>
      </c>
      <c r="G87" s="101">
        <v>-1.5200000000000001E-3</v>
      </c>
      <c r="H87" s="101">
        <v>-7.9000000000000001E-4</v>
      </c>
      <c r="I87" s="101">
        <v>-9.6000000000000002E-4</v>
      </c>
      <c r="J87" s="101">
        <v>-2.9E-4</v>
      </c>
      <c r="K87" s="101">
        <v>-2.9E-4</v>
      </c>
      <c r="L87" s="101">
        <v>-1.7000000000000001E-4</v>
      </c>
      <c r="M87" s="101">
        <v>-1.7000000000000001E-4</v>
      </c>
      <c r="N87" s="101">
        <v>-1.7000000000000001E-4</v>
      </c>
      <c r="O87" s="101">
        <v>-1.7000000000000001E-4</v>
      </c>
      <c r="P87" s="101">
        <v>-1.7000000000000001E-4</v>
      </c>
    </row>
    <row r="88" spans="1:19" hidden="1" x14ac:dyDescent="0.2">
      <c r="A88" s="95">
        <v>44135</v>
      </c>
      <c r="B88" s="101">
        <v>-1.97E-3</v>
      </c>
      <c r="C88" s="101">
        <v>-9.6000000000000002E-4</v>
      </c>
      <c r="D88" s="101">
        <v>-9.6000000000000002E-4</v>
      </c>
      <c r="E88" s="101">
        <v>-7.9000000000000001E-4</v>
      </c>
      <c r="F88" s="101">
        <v>-1.5200000000000001E-3</v>
      </c>
      <c r="G88" s="101">
        <v>-1.5200000000000001E-3</v>
      </c>
      <c r="H88" s="101">
        <v>-7.9000000000000001E-4</v>
      </c>
      <c r="I88" s="101">
        <v>-9.6000000000000002E-4</v>
      </c>
      <c r="J88" s="101">
        <v>-2.9E-4</v>
      </c>
      <c r="K88" s="101">
        <v>-2.9E-4</v>
      </c>
      <c r="L88" s="101">
        <v>-1.7000000000000001E-4</v>
      </c>
      <c r="M88" s="101">
        <v>-1.7000000000000001E-4</v>
      </c>
      <c r="N88" s="101">
        <v>-1.7000000000000001E-4</v>
      </c>
      <c r="O88" s="101">
        <v>-1.7000000000000001E-4</v>
      </c>
      <c r="P88" s="101">
        <v>-1.7000000000000001E-4</v>
      </c>
      <c r="R88" s="1" t="s">
        <v>56</v>
      </c>
    </row>
    <row r="89" spans="1:19" hidden="1" x14ac:dyDescent="0.2">
      <c r="A89" s="95">
        <v>44165</v>
      </c>
      <c r="B89" s="103">
        <v>-1.7600000000000001E-3</v>
      </c>
      <c r="C89" s="103">
        <v>-8.5999999999999998E-4</v>
      </c>
      <c r="D89" s="103">
        <v>-8.5999999999999998E-4</v>
      </c>
      <c r="E89" s="103">
        <v>-6.9999999999999999E-4</v>
      </c>
      <c r="F89" s="103">
        <v>-1.3500000000000001E-3</v>
      </c>
      <c r="G89" s="103">
        <v>-1.3500000000000001E-3</v>
      </c>
      <c r="H89" s="103">
        <v>-6.9999999999999999E-4</v>
      </c>
      <c r="I89" s="103">
        <v>-8.5999999999999998E-4</v>
      </c>
      <c r="J89" s="103">
        <v>-2.5999999999999998E-4</v>
      </c>
      <c r="K89" s="103">
        <v>-2.5999999999999998E-4</v>
      </c>
      <c r="L89" s="103">
        <v>-1.4999999999999999E-4</v>
      </c>
      <c r="M89" s="103">
        <v>-1.4999999999999999E-4</v>
      </c>
      <c r="N89" s="103">
        <v>-1.4999999999999999E-4</v>
      </c>
      <c r="O89" s="103">
        <v>-1.4999999999999999E-4</v>
      </c>
      <c r="P89" s="103"/>
      <c r="R89" s="1" t="s">
        <v>57</v>
      </c>
      <c r="S89" s="1" t="s">
        <v>59</v>
      </c>
    </row>
    <row r="90" spans="1:19" hidden="1" x14ac:dyDescent="0.2">
      <c r="A90" s="95">
        <v>44196</v>
      </c>
      <c r="B90" s="103">
        <v>-1.7600000000000001E-3</v>
      </c>
      <c r="C90" s="103">
        <v>-8.5999999999999998E-4</v>
      </c>
      <c r="D90" s="103">
        <v>-8.5999999999999998E-4</v>
      </c>
      <c r="E90" s="103">
        <v>-6.9999999999999999E-4</v>
      </c>
      <c r="F90" s="103">
        <v>-1.3500000000000001E-3</v>
      </c>
      <c r="G90" s="103">
        <v>-1.3500000000000001E-3</v>
      </c>
      <c r="H90" s="103">
        <v>-6.9999999999999999E-4</v>
      </c>
      <c r="I90" s="103">
        <v>-8.5999999999999998E-4</v>
      </c>
      <c r="J90" s="103">
        <v>-2.5999999999999998E-4</v>
      </c>
      <c r="K90" s="103">
        <v>-2.5999999999999998E-4</v>
      </c>
      <c r="L90" s="103">
        <v>-1.4999999999999999E-4</v>
      </c>
      <c r="M90" s="103">
        <v>-1.4999999999999999E-4</v>
      </c>
      <c r="N90" s="103">
        <v>-1.4999999999999999E-4</v>
      </c>
      <c r="O90" s="103">
        <v>-1.4999999999999999E-4</v>
      </c>
      <c r="P90" s="103"/>
    </row>
    <row r="91" spans="1:19" hidden="1" x14ac:dyDescent="0.2">
      <c r="A91" s="95">
        <v>44227</v>
      </c>
      <c r="B91" s="103">
        <v>-1.7600000000000001E-3</v>
      </c>
      <c r="C91" s="103">
        <v>-8.5999999999999998E-4</v>
      </c>
      <c r="D91" s="103">
        <v>-8.5999999999999998E-4</v>
      </c>
      <c r="E91" s="103">
        <v>-6.9999999999999999E-4</v>
      </c>
      <c r="F91" s="103">
        <v>-1.3500000000000001E-3</v>
      </c>
      <c r="G91" s="103">
        <v>-1.3500000000000001E-3</v>
      </c>
      <c r="H91" s="103">
        <v>-6.9999999999999999E-4</v>
      </c>
      <c r="I91" s="103">
        <v>-8.5999999999999998E-4</v>
      </c>
      <c r="J91" s="103">
        <v>-2.5999999999999998E-4</v>
      </c>
      <c r="K91" s="103">
        <v>-2.5999999999999998E-4</v>
      </c>
      <c r="L91" s="103">
        <v>-1.4999999999999999E-4</v>
      </c>
      <c r="M91" s="103">
        <v>-1.4999999999999999E-4</v>
      </c>
      <c r="N91" s="103">
        <v>-1.4999999999999999E-4</v>
      </c>
      <c r="O91" s="103">
        <v>-1.4999999999999999E-4</v>
      </c>
      <c r="P91" s="103"/>
    </row>
    <row r="92" spans="1:19" hidden="1" x14ac:dyDescent="0.2">
      <c r="A92" s="95">
        <v>44255</v>
      </c>
      <c r="B92" s="103">
        <v>-1.7600000000000001E-3</v>
      </c>
      <c r="C92" s="103">
        <v>-8.5999999999999998E-4</v>
      </c>
      <c r="D92" s="103">
        <v>-8.5999999999999998E-4</v>
      </c>
      <c r="E92" s="103">
        <v>-6.9999999999999999E-4</v>
      </c>
      <c r="F92" s="103">
        <v>-1.3500000000000001E-3</v>
      </c>
      <c r="G92" s="103">
        <v>-1.3500000000000001E-3</v>
      </c>
      <c r="H92" s="103">
        <v>-6.9999999999999999E-4</v>
      </c>
      <c r="I92" s="103">
        <v>-8.5999999999999998E-4</v>
      </c>
      <c r="J92" s="103">
        <v>-2.5999999999999998E-4</v>
      </c>
      <c r="K92" s="103">
        <v>-2.5999999999999998E-4</v>
      </c>
      <c r="L92" s="103">
        <v>-1.4999999999999999E-4</v>
      </c>
      <c r="M92" s="103">
        <v>-1.4999999999999999E-4</v>
      </c>
      <c r="N92" s="103">
        <v>-1.4999999999999999E-4</v>
      </c>
      <c r="O92" s="103">
        <v>-1.4999999999999999E-4</v>
      </c>
      <c r="P92" s="103"/>
    </row>
    <row r="93" spans="1:19" hidden="1" x14ac:dyDescent="0.2">
      <c r="A93" s="95">
        <v>44286</v>
      </c>
      <c r="B93" s="103">
        <v>-1.7600000000000001E-3</v>
      </c>
      <c r="C93" s="103">
        <v>-8.5999999999999998E-4</v>
      </c>
      <c r="D93" s="103">
        <v>-8.5999999999999998E-4</v>
      </c>
      <c r="E93" s="103">
        <v>-6.9999999999999999E-4</v>
      </c>
      <c r="F93" s="103">
        <v>-1.3500000000000001E-3</v>
      </c>
      <c r="G93" s="103">
        <v>-1.3500000000000001E-3</v>
      </c>
      <c r="H93" s="103">
        <v>-6.9999999999999999E-4</v>
      </c>
      <c r="I93" s="103">
        <v>-8.5999999999999998E-4</v>
      </c>
      <c r="J93" s="103">
        <v>-2.5999999999999998E-4</v>
      </c>
      <c r="K93" s="103">
        <v>-2.5999999999999998E-4</v>
      </c>
      <c r="L93" s="103">
        <v>-1.4999999999999999E-4</v>
      </c>
      <c r="M93" s="103">
        <v>-1.4999999999999999E-4</v>
      </c>
      <c r="N93" s="103">
        <v>-1.4999999999999999E-4</v>
      </c>
      <c r="O93" s="103">
        <v>-1.4999999999999999E-4</v>
      </c>
      <c r="P93" s="103"/>
    </row>
    <row r="94" spans="1:19" hidden="1" x14ac:dyDescent="0.2">
      <c r="A94" s="95">
        <v>44316</v>
      </c>
      <c r="B94" s="103">
        <v>-1.7600000000000001E-3</v>
      </c>
      <c r="C94" s="103">
        <v>-8.5999999999999998E-4</v>
      </c>
      <c r="D94" s="103">
        <v>-8.5999999999999998E-4</v>
      </c>
      <c r="E94" s="103">
        <v>-6.9999999999999999E-4</v>
      </c>
      <c r="F94" s="103">
        <v>-1.3500000000000001E-3</v>
      </c>
      <c r="G94" s="103">
        <v>-1.3500000000000001E-3</v>
      </c>
      <c r="H94" s="103">
        <v>-6.9999999999999999E-4</v>
      </c>
      <c r="I94" s="103">
        <v>-8.5999999999999998E-4</v>
      </c>
      <c r="J94" s="103">
        <v>-2.5999999999999998E-4</v>
      </c>
      <c r="K94" s="103">
        <v>-2.5999999999999998E-4</v>
      </c>
      <c r="L94" s="103">
        <v>-1.4999999999999999E-4</v>
      </c>
      <c r="M94" s="103">
        <v>-1.4999999999999999E-4</v>
      </c>
      <c r="N94" s="103">
        <v>-1.4999999999999999E-4</v>
      </c>
      <c r="O94" s="103">
        <v>-1.4999999999999999E-4</v>
      </c>
      <c r="P94" s="103"/>
    </row>
    <row r="95" spans="1:19" hidden="1" x14ac:dyDescent="0.2">
      <c r="A95" s="95">
        <v>44347</v>
      </c>
      <c r="B95" s="103">
        <v>-1.7600000000000001E-3</v>
      </c>
      <c r="C95" s="103">
        <v>-8.5999999999999998E-4</v>
      </c>
      <c r="D95" s="103">
        <v>-8.5999999999999998E-4</v>
      </c>
      <c r="E95" s="103">
        <v>-6.9999999999999999E-4</v>
      </c>
      <c r="F95" s="103">
        <v>-1.3500000000000001E-3</v>
      </c>
      <c r="G95" s="103">
        <v>-1.3500000000000001E-3</v>
      </c>
      <c r="H95" s="103">
        <v>-6.9999999999999999E-4</v>
      </c>
      <c r="I95" s="103">
        <v>-8.5999999999999998E-4</v>
      </c>
      <c r="J95" s="103">
        <v>-2.5999999999999998E-4</v>
      </c>
      <c r="K95" s="103">
        <v>-2.5999999999999998E-4</v>
      </c>
      <c r="L95" s="103">
        <v>-1.4999999999999999E-4</v>
      </c>
      <c r="M95" s="103">
        <v>-1.4999999999999999E-4</v>
      </c>
      <c r="N95" s="103">
        <v>-1.4999999999999999E-4</v>
      </c>
      <c r="O95" s="103">
        <v>-1.4999999999999999E-4</v>
      </c>
      <c r="P95" s="103"/>
    </row>
    <row r="96" spans="1:19" hidden="1" x14ac:dyDescent="0.2">
      <c r="A96" s="95">
        <v>44377</v>
      </c>
      <c r="B96" s="103">
        <v>-1.7600000000000001E-3</v>
      </c>
      <c r="C96" s="103">
        <v>-8.5999999999999998E-4</v>
      </c>
      <c r="D96" s="103">
        <v>-8.5999999999999998E-4</v>
      </c>
      <c r="E96" s="103">
        <v>-6.9999999999999999E-4</v>
      </c>
      <c r="F96" s="103">
        <v>-1.3500000000000001E-3</v>
      </c>
      <c r="G96" s="103">
        <v>-1.3500000000000001E-3</v>
      </c>
      <c r="H96" s="103">
        <v>-6.9999999999999999E-4</v>
      </c>
      <c r="I96" s="103">
        <v>-8.5999999999999998E-4</v>
      </c>
      <c r="J96" s="103">
        <v>-2.5999999999999998E-4</v>
      </c>
      <c r="K96" s="103">
        <v>-2.5999999999999998E-4</v>
      </c>
      <c r="L96" s="103">
        <v>-1.4999999999999999E-4</v>
      </c>
      <c r="M96" s="103">
        <v>-1.4999999999999999E-4</v>
      </c>
      <c r="N96" s="103">
        <v>-1.4999999999999999E-4</v>
      </c>
      <c r="O96" s="103">
        <v>-1.4999999999999999E-4</v>
      </c>
      <c r="P96" s="103"/>
    </row>
    <row r="97" spans="1:19" hidden="1" x14ac:dyDescent="0.2">
      <c r="A97" s="95">
        <v>44408</v>
      </c>
      <c r="B97" s="103">
        <v>-1.7600000000000001E-3</v>
      </c>
      <c r="C97" s="103">
        <v>-8.5999999999999998E-4</v>
      </c>
      <c r="D97" s="103">
        <v>-8.5999999999999998E-4</v>
      </c>
      <c r="E97" s="103">
        <v>-6.9999999999999999E-4</v>
      </c>
      <c r="F97" s="103">
        <v>-1.3500000000000001E-3</v>
      </c>
      <c r="G97" s="103">
        <v>-1.3500000000000001E-3</v>
      </c>
      <c r="H97" s="103">
        <v>-6.9999999999999999E-4</v>
      </c>
      <c r="I97" s="103">
        <v>-8.5999999999999998E-4</v>
      </c>
      <c r="J97" s="103">
        <v>-2.5999999999999998E-4</v>
      </c>
      <c r="K97" s="103">
        <v>-2.5999999999999998E-4</v>
      </c>
      <c r="L97" s="103">
        <v>-1.4999999999999999E-4</v>
      </c>
      <c r="M97" s="103">
        <v>-1.4999999999999999E-4</v>
      </c>
      <c r="N97" s="103">
        <v>-1.4999999999999999E-4</v>
      </c>
      <c r="O97" s="103">
        <v>-1.4999999999999999E-4</v>
      </c>
      <c r="P97" s="103"/>
    </row>
    <row r="98" spans="1:19" hidden="1" x14ac:dyDescent="0.2">
      <c r="A98" s="95">
        <v>44439</v>
      </c>
      <c r="B98" s="103">
        <v>-1.7600000000000001E-3</v>
      </c>
      <c r="C98" s="103">
        <v>-8.5999999999999998E-4</v>
      </c>
      <c r="D98" s="103">
        <v>-8.5999999999999998E-4</v>
      </c>
      <c r="E98" s="103">
        <v>-6.9999999999999999E-4</v>
      </c>
      <c r="F98" s="103">
        <v>-1.3500000000000001E-3</v>
      </c>
      <c r="G98" s="103">
        <v>-1.3500000000000001E-3</v>
      </c>
      <c r="H98" s="103">
        <v>-6.9999999999999999E-4</v>
      </c>
      <c r="I98" s="103">
        <v>-8.5999999999999998E-4</v>
      </c>
      <c r="J98" s="103">
        <v>-2.5999999999999998E-4</v>
      </c>
      <c r="K98" s="103">
        <v>-2.5999999999999998E-4</v>
      </c>
      <c r="L98" s="103">
        <v>-1.4999999999999999E-4</v>
      </c>
      <c r="M98" s="103">
        <v>-1.4999999999999999E-4</v>
      </c>
      <c r="N98" s="103">
        <v>-1.4999999999999999E-4</v>
      </c>
      <c r="O98" s="103">
        <v>-1.4999999999999999E-4</v>
      </c>
      <c r="P98" s="103"/>
    </row>
    <row r="99" spans="1:19" hidden="1" x14ac:dyDescent="0.2">
      <c r="A99" s="95">
        <v>44469</v>
      </c>
      <c r="B99" s="103">
        <v>-1.7600000000000001E-3</v>
      </c>
      <c r="C99" s="103">
        <v>-8.5999999999999998E-4</v>
      </c>
      <c r="D99" s="103">
        <v>-8.5999999999999998E-4</v>
      </c>
      <c r="E99" s="103">
        <v>-6.9999999999999999E-4</v>
      </c>
      <c r="F99" s="103">
        <v>-1.3500000000000001E-3</v>
      </c>
      <c r="G99" s="103">
        <v>-1.3500000000000001E-3</v>
      </c>
      <c r="H99" s="103">
        <v>-6.9999999999999999E-4</v>
      </c>
      <c r="I99" s="103">
        <v>-8.5999999999999998E-4</v>
      </c>
      <c r="J99" s="103">
        <v>-2.5999999999999998E-4</v>
      </c>
      <c r="K99" s="103">
        <v>-2.5999999999999998E-4</v>
      </c>
      <c r="L99" s="103">
        <v>-1.4999999999999999E-4</v>
      </c>
      <c r="M99" s="103">
        <v>-1.4999999999999999E-4</v>
      </c>
      <c r="N99" s="103">
        <v>-1.4999999999999999E-4</v>
      </c>
      <c r="O99" s="103">
        <v>-1.4999999999999999E-4</v>
      </c>
      <c r="P99" s="103"/>
    </row>
    <row r="100" spans="1:19" x14ac:dyDescent="0.2">
      <c r="A100" s="95">
        <v>44500</v>
      </c>
      <c r="B100" s="103">
        <v>-1.7600000000000001E-3</v>
      </c>
      <c r="C100" s="103">
        <v>-8.5999999999999998E-4</v>
      </c>
      <c r="D100" s="103">
        <v>-8.5999999999999998E-4</v>
      </c>
      <c r="E100" s="103">
        <v>-6.9999999999999999E-4</v>
      </c>
      <c r="F100" s="103">
        <v>-1.3500000000000001E-3</v>
      </c>
      <c r="G100" s="103">
        <v>-1.3500000000000001E-3</v>
      </c>
      <c r="H100" s="103">
        <v>-6.9999999999999999E-4</v>
      </c>
      <c r="I100" s="103">
        <v>-8.5999999999999998E-4</v>
      </c>
      <c r="J100" s="103">
        <v>-2.5999999999999998E-4</v>
      </c>
      <c r="K100" s="103">
        <v>-2.5999999999999998E-4</v>
      </c>
      <c r="L100" s="103">
        <v>-1.4999999999999999E-4</v>
      </c>
      <c r="M100" s="103">
        <v>-1.4999999999999999E-4</v>
      </c>
      <c r="N100" s="103">
        <v>-1.4999999999999999E-4</v>
      </c>
      <c r="O100" s="103">
        <v>-1.4999999999999999E-4</v>
      </c>
      <c r="P100" s="103"/>
    </row>
    <row r="101" spans="1:19" x14ac:dyDescent="0.2">
      <c r="A101" s="95">
        <v>44530</v>
      </c>
      <c r="B101" s="103">
        <v>-1.8E-3</v>
      </c>
      <c r="C101" s="103">
        <v>-8.7000000000000001E-4</v>
      </c>
      <c r="D101" s="103">
        <v>-8.7000000000000001E-4</v>
      </c>
      <c r="E101" s="103">
        <v>-7.2000000000000005E-4</v>
      </c>
      <c r="F101" s="103">
        <v>-1.3799999999999999E-3</v>
      </c>
      <c r="G101" s="103">
        <v>-1.3799999999999999E-3</v>
      </c>
      <c r="H101" s="103">
        <v>-7.2000000000000005E-4</v>
      </c>
      <c r="I101" s="103">
        <v>-8.7000000000000001E-4</v>
      </c>
      <c r="J101" s="103">
        <v>-2.5999999999999998E-4</v>
      </c>
      <c r="K101" s="103">
        <v>-2.5999999999999998E-4</v>
      </c>
      <c r="L101" s="103">
        <v>-1.6000000000000001E-4</v>
      </c>
      <c r="M101" s="103">
        <v>-1.6000000000000001E-4</v>
      </c>
      <c r="N101" s="103">
        <v>-1.6000000000000001E-4</v>
      </c>
      <c r="O101" s="103">
        <v>-1.6000000000000001E-4</v>
      </c>
      <c r="P101" s="103"/>
      <c r="R101" s="1" t="s">
        <v>57</v>
      </c>
      <c r="S101" s="1" t="s">
        <v>59</v>
      </c>
    </row>
    <row r="102" spans="1:19" x14ac:dyDescent="0.2">
      <c r="A102" s="95">
        <v>44561</v>
      </c>
      <c r="B102" s="103">
        <v>-1.8E-3</v>
      </c>
      <c r="C102" s="103">
        <v>-8.7000000000000001E-4</v>
      </c>
      <c r="D102" s="103">
        <v>-8.7000000000000001E-4</v>
      </c>
      <c r="E102" s="103">
        <v>-7.2000000000000005E-4</v>
      </c>
      <c r="F102" s="103">
        <v>-1.3799999999999999E-3</v>
      </c>
      <c r="G102" s="103">
        <v>-1.3799999999999999E-3</v>
      </c>
      <c r="H102" s="103">
        <v>-7.2000000000000005E-4</v>
      </c>
      <c r="I102" s="103">
        <v>-8.7000000000000001E-4</v>
      </c>
      <c r="J102" s="103">
        <v>-2.5999999999999998E-4</v>
      </c>
      <c r="K102" s="103">
        <v>-2.5999999999999998E-4</v>
      </c>
      <c r="L102" s="103">
        <v>-1.6000000000000001E-4</v>
      </c>
      <c r="M102" s="103">
        <v>-1.6000000000000001E-4</v>
      </c>
      <c r="N102" s="103">
        <v>-1.6000000000000001E-4</v>
      </c>
      <c r="O102" s="103">
        <v>-1.6000000000000001E-4</v>
      </c>
      <c r="P102" s="103"/>
    </row>
    <row r="103" spans="1:19" x14ac:dyDescent="0.2">
      <c r="A103" s="95">
        <v>44592</v>
      </c>
      <c r="B103" s="103">
        <v>-1.8E-3</v>
      </c>
      <c r="C103" s="103">
        <v>-8.7000000000000001E-4</v>
      </c>
      <c r="D103" s="103">
        <v>-8.7000000000000001E-4</v>
      </c>
      <c r="E103" s="103">
        <v>-7.2000000000000005E-4</v>
      </c>
      <c r="F103" s="103">
        <v>-1.3799999999999999E-3</v>
      </c>
      <c r="G103" s="103">
        <v>-1.3799999999999999E-3</v>
      </c>
      <c r="H103" s="103">
        <v>-7.2000000000000005E-4</v>
      </c>
      <c r="I103" s="103">
        <v>-8.7000000000000001E-4</v>
      </c>
      <c r="J103" s="103">
        <v>-2.5999999999999998E-4</v>
      </c>
      <c r="K103" s="103">
        <v>-2.5999999999999998E-4</v>
      </c>
      <c r="L103" s="103">
        <v>-1.6000000000000001E-4</v>
      </c>
      <c r="M103" s="103">
        <v>-1.6000000000000001E-4</v>
      </c>
      <c r="N103" s="103">
        <v>-1.6000000000000001E-4</v>
      </c>
      <c r="O103" s="103">
        <v>-1.6000000000000001E-4</v>
      </c>
      <c r="P103" s="103"/>
    </row>
    <row r="104" spans="1:19" x14ac:dyDescent="0.2">
      <c r="A104" s="95">
        <v>44620</v>
      </c>
      <c r="B104" s="103">
        <v>-1.8E-3</v>
      </c>
      <c r="C104" s="103">
        <v>-8.7000000000000001E-4</v>
      </c>
      <c r="D104" s="103">
        <v>-8.7000000000000001E-4</v>
      </c>
      <c r="E104" s="103">
        <v>-7.2000000000000005E-4</v>
      </c>
      <c r="F104" s="103">
        <v>-1.3799999999999999E-3</v>
      </c>
      <c r="G104" s="103">
        <v>-1.3799999999999999E-3</v>
      </c>
      <c r="H104" s="103">
        <v>-7.2000000000000005E-4</v>
      </c>
      <c r="I104" s="103">
        <v>-8.7000000000000001E-4</v>
      </c>
      <c r="J104" s="103">
        <v>-2.5999999999999998E-4</v>
      </c>
      <c r="K104" s="103">
        <v>-2.5999999999999998E-4</v>
      </c>
      <c r="L104" s="103">
        <v>-1.6000000000000001E-4</v>
      </c>
      <c r="M104" s="103">
        <v>-1.6000000000000001E-4</v>
      </c>
      <c r="N104" s="103">
        <v>-1.6000000000000001E-4</v>
      </c>
      <c r="O104" s="103">
        <v>-1.6000000000000001E-4</v>
      </c>
      <c r="P104" s="103"/>
    </row>
    <row r="105" spans="1:19" x14ac:dyDescent="0.2">
      <c r="A105" s="95">
        <v>44651</v>
      </c>
      <c r="B105" s="103">
        <v>-1.8E-3</v>
      </c>
      <c r="C105" s="103">
        <v>-8.7000000000000001E-4</v>
      </c>
      <c r="D105" s="103">
        <v>-8.7000000000000001E-4</v>
      </c>
      <c r="E105" s="103">
        <v>-7.2000000000000005E-4</v>
      </c>
      <c r="F105" s="103">
        <v>-1.3799999999999999E-3</v>
      </c>
      <c r="G105" s="103">
        <v>-1.3799999999999999E-3</v>
      </c>
      <c r="H105" s="103">
        <v>-7.2000000000000005E-4</v>
      </c>
      <c r="I105" s="103">
        <v>-8.7000000000000001E-4</v>
      </c>
      <c r="J105" s="103">
        <v>-2.5999999999999998E-4</v>
      </c>
      <c r="K105" s="103">
        <v>-2.5999999999999998E-4</v>
      </c>
      <c r="L105" s="103">
        <v>-1.6000000000000001E-4</v>
      </c>
      <c r="M105" s="103">
        <v>-1.6000000000000001E-4</v>
      </c>
      <c r="N105" s="103">
        <v>-1.6000000000000001E-4</v>
      </c>
      <c r="O105" s="103">
        <v>-1.6000000000000001E-4</v>
      </c>
      <c r="P105" s="103"/>
    </row>
    <row r="106" spans="1:19" x14ac:dyDescent="0.2">
      <c r="A106" s="95">
        <v>44681</v>
      </c>
      <c r="B106" s="103">
        <v>-1.8E-3</v>
      </c>
      <c r="C106" s="103">
        <v>-8.7000000000000001E-4</v>
      </c>
      <c r="D106" s="103">
        <v>-8.7000000000000001E-4</v>
      </c>
      <c r="E106" s="103">
        <v>-7.2000000000000005E-4</v>
      </c>
      <c r="F106" s="103">
        <v>-1.3799999999999999E-3</v>
      </c>
      <c r="G106" s="103">
        <v>-1.3799999999999999E-3</v>
      </c>
      <c r="H106" s="103">
        <v>-7.2000000000000005E-4</v>
      </c>
      <c r="I106" s="103">
        <v>-8.7000000000000001E-4</v>
      </c>
      <c r="J106" s="103">
        <v>-2.5999999999999998E-4</v>
      </c>
      <c r="K106" s="103">
        <v>-2.5999999999999998E-4</v>
      </c>
      <c r="L106" s="103">
        <v>-1.6000000000000001E-4</v>
      </c>
      <c r="M106" s="103">
        <v>-1.6000000000000001E-4</v>
      </c>
      <c r="N106" s="103">
        <v>-1.6000000000000001E-4</v>
      </c>
      <c r="O106" s="103">
        <v>-1.6000000000000001E-4</v>
      </c>
      <c r="P106" s="103"/>
    </row>
    <row r="107" spans="1:19" x14ac:dyDescent="0.2">
      <c r="A107" s="95">
        <v>44712</v>
      </c>
      <c r="B107" s="103">
        <v>-1.8E-3</v>
      </c>
      <c r="C107" s="103">
        <v>-8.7000000000000001E-4</v>
      </c>
      <c r="D107" s="103">
        <v>-8.7000000000000001E-4</v>
      </c>
      <c r="E107" s="103">
        <v>-7.2000000000000005E-4</v>
      </c>
      <c r="F107" s="103">
        <v>-1.3799999999999999E-3</v>
      </c>
      <c r="G107" s="103">
        <v>-1.3799999999999999E-3</v>
      </c>
      <c r="H107" s="103">
        <v>-7.2000000000000005E-4</v>
      </c>
      <c r="I107" s="103">
        <v>-8.7000000000000001E-4</v>
      </c>
      <c r="J107" s="103">
        <v>-2.5999999999999998E-4</v>
      </c>
      <c r="K107" s="103">
        <v>-2.5999999999999998E-4</v>
      </c>
      <c r="L107" s="103">
        <v>-1.6000000000000001E-4</v>
      </c>
      <c r="M107" s="103">
        <v>-1.6000000000000001E-4</v>
      </c>
      <c r="N107" s="103">
        <v>-1.6000000000000001E-4</v>
      </c>
      <c r="O107" s="103">
        <v>-1.6000000000000001E-4</v>
      </c>
      <c r="P107" s="103"/>
    </row>
    <row r="108" spans="1:19" x14ac:dyDescent="0.2">
      <c r="A108" s="95">
        <v>44742</v>
      </c>
      <c r="B108" s="103">
        <v>-1.8E-3</v>
      </c>
      <c r="C108" s="103">
        <v>-8.7000000000000001E-4</v>
      </c>
      <c r="D108" s="103">
        <v>-8.7000000000000001E-4</v>
      </c>
      <c r="E108" s="103">
        <v>-7.2000000000000005E-4</v>
      </c>
      <c r="F108" s="103">
        <v>-1.3799999999999999E-3</v>
      </c>
      <c r="G108" s="103">
        <v>-1.3799999999999999E-3</v>
      </c>
      <c r="H108" s="103">
        <v>-7.2000000000000005E-4</v>
      </c>
      <c r="I108" s="103">
        <v>-8.7000000000000001E-4</v>
      </c>
      <c r="J108" s="103">
        <v>-2.5999999999999998E-4</v>
      </c>
      <c r="K108" s="103">
        <v>-2.5999999999999998E-4</v>
      </c>
      <c r="L108" s="103">
        <v>-1.6000000000000001E-4</v>
      </c>
      <c r="M108" s="103">
        <v>-1.6000000000000001E-4</v>
      </c>
      <c r="N108" s="103">
        <v>-1.6000000000000001E-4</v>
      </c>
      <c r="O108" s="103">
        <v>-1.6000000000000001E-4</v>
      </c>
      <c r="P108" s="103"/>
    </row>
    <row r="109" spans="1:19" x14ac:dyDescent="0.2">
      <c r="A109" s="95">
        <v>44773</v>
      </c>
      <c r="B109" s="103">
        <v>-1.8E-3</v>
      </c>
      <c r="C109" s="103">
        <v>-8.7000000000000001E-4</v>
      </c>
      <c r="D109" s="103">
        <v>-8.7000000000000001E-4</v>
      </c>
      <c r="E109" s="103">
        <v>-7.2000000000000005E-4</v>
      </c>
      <c r="F109" s="103">
        <v>-1.3799999999999999E-3</v>
      </c>
      <c r="G109" s="103">
        <v>-1.3799999999999999E-3</v>
      </c>
      <c r="H109" s="103">
        <v>-7.2000000000000005E-4</v>
      </c>
      <c r="I109" s="103">
        <v>-8.7000000000000001E-4</v>
      </c>
      <c r="J109" s="103">
        <v>-2.5999999999999998E-4</v>
      </c>
      <c r="K109" s="103">
        <v>-2.5999999999999998E-4</v>
      </c>
      <c r="L109" s="103">
        <v>-1.6000000000000001E-4</v>
      </c>
      <c r="M109" s="103">
        <v>-1.6000000000000001E-4</v>
      </c>
      <c r="N109" s="103">
        <v>-1.6000000000000001E-4</v>
      </c>
      <c r="O109" s="103">
        <v>-1.6000000000000001E-4</v>
      </c>
      <c r="P109" s="103"/>
    </row>
    <row r="110" spans="1:19" x14ac:dyDescent="0.2">
      <c r="A110" s="95">
        <v>44804</v>
      </c>
      <c r="B110" s="103">
        <v>-1.8E-3</v>
      </c>
      <c r="C110" s="103">
        <v>-8.7000000000000001E-4</v>
      </c>
      <c r="D110" s="103">
        <v>-8.7000000000000001E-4</v>
      </c>
      <c r="E110" s="103">
        <v>-7.2000000000000005E-4</v>
      </c>
      <c r="F110" s="103">
        <v>-1.3799999999999999E-3</v>
      </c>
      <c r="G110" s="103">
        <v>-1.3799999999999999E-3</v>
      </c>
      <c r="H110" s="103">
        <v>-7.2000000000000005E-4</v>
      </c>
      <c r="I110" s="103">
        <v>-8.7000000000000001E-4</v>
      </c>
      <c r="J110" s="103">
        <v>-2.5999999999999998E-4</v>
      </c>
      <c r="K110" s="103">
        <v>-2.5999999999999998E-4</v>
      </c>
      <c r="L110" s="103">
        <v>-1.6000000000000001E-4</v>
      </c>
      <c r="M110" s="103">
        <v>-1.6000000000000001E-4</v>
      </c>
      <c r="N110" s="103">
        <v>-1.6000000000000001E-4</v>
      </c>
      <c r="O110" s="103">
        <v>-1.6000000000000001E-4</v>
      </c>
      <c r="P110" s="103"/>
    </row>
    <row r="111" spans="1:19" x14ac:dyDescent="0.2">
      <c r="A111" s="95">
        <v>44834</v>
      </c>
      <c r="B111" s="103">
        <v>-1.8E-3</v>
      </c>
      <c r="C111" s="103">
        <v>-8.7000000000000001E-4</v>
      </c>
      <c r="D111" s="103">
        <v>-8.7000000000000001E-4</v>
      </c>
      <c r="E111" s="103">
        <v>-7.2000000000000005E-4</v>
      </c>
      <c r="F111" s="103">
        <v>-1.3799999999999999E-3</v>
      </c>
      <c r="G111" s="103">
        <v>-1.3799999999999999E-3</v>
      </c>
      <c r="H111" s="103">
        <v>-7.2000000000000005E-4</v>
      </c>
      <c r="I111" s="103">
        <v>-8.7000000000000001E-4</v>
      </c>
      <c r="J111" s="103">
        <v>-2.5999999999999998E-4</v>
      </c>
      <c r="K111" s="103">
        <v>-2.5999999999999998E-4</v>
      </c>
      <c r="L111" s="103">
        <v>-1.6000000000000001E-4</v>
      </c>
      <c r="M111" s="103">
        <v>-1.6000000000000001E-4</v>
      </c>
      <c r="N111" s="103">
        <v>-1.6000000000000001E-4</v>
      </c>
      <c r="O111" s="103">
        <v>-1.6000000000000001E-4</v>
      </c>
      <c r="P111" s="103"/>
    </row>
    <row r="112" spans="1:19" x14ac:dyDescent="0.2">
      <c r="A112" s="95">
        <v>44865</v>
      </c>
      <c r="B112" s="103">
        <v>-1.8E-3</v>
      </c>
      <c r="C112" s="103">
        <v>-8.7000000000000001E-4</v>
      </c>
      <c r="D112" s="103">
        <v>-8.7000000000000001E-4</v>
      </c>
      <c r="E112" s="103">
        <v>-7.2000000000000005E-4</v>
      </c>
      <c r="F112" s="103">
        <v>-1.3799999999999999E-3</v>
      </c>
      <c r="G112" s="103">
        <v>-1.3799999999999999E-3</v>
      </c>
      <c r="H112" s="103">
        <v>-7.2000000000000005E-4</v>
      </c>
      <c r="I112" s="103">
        <v>-8.7000000000000001E-4</v>
      </c>
      <c r="J112" s="103">
        <v>-2.5999999999999998E-4</v>
      </c>
      <c r="K112" s="103">
        <v>-2.5999999999999998E-4</v>
      </c>
      <c r="L112" s="103">
        <v>-1.6000000000000001E-4</v>
      </c>
      <c r="M112" s="103">
        <v>-1.6000000000000001E-4</v>
      </c>
      <c r="N112" s="103">
        <v>-1.6000000000000001E-4</v>
      </c>
      <c r="O112" s="103">
        <v>-1.6000000000000001E-4</v>
      </c>
      <c r="P112" s="103"/>
    </row>
    <row r="114" spans="1:30" x14ac:dyDescent="0.2">
      <c r="B114" s="100"/>
      <c r="C114" s="100"/>
      <c r="D114" s="100"/>
      <c r="E114" s="100"/>
      <c r="F114" s="100"/>
      <c r="G114" s="100"/>
      <c r="H114" s="100"/>
      <c r="I114" s="100"/>
      <c r="J114" s="100"/>
      <c r="K114" s="15"/>
      <c r="L114" s="15"/>
      <c r="M114" s="15"/>
      <c r="N114" s="15"/>
      <c r="O114" s="15"/>
      <c r="P114" s="15"/>
    </row>
    <row r="115" spans="1:30" x14ac:dyDescent="0.2">
      <c r="B115" s="89">
        <v>503</v>
      </c>
      <c r="C115" s="89" t="s">
        <v>31</v>
      </c>
      <c r="D115" s="89">
        <v>505</v>
      </c>
      <c r="E115" s="89">
        <v>511</v>
      </c>
      <c r="F115" s="89" t="s">
        <v>30</v>
      </c>
      <c r="G115" s="89">
        <v>504</v>
      </c>
      <c r="H115" s="89" t="s">
        <v>64</v>
      </c>
      <c r="I115" s="89" t="s">
        <v>31</v>
      </c>
      <c r="J115" s="89">
        <v>570</v>
      </c>
      <c r="K115" s="89">
        <v>570</v>
      </c>
      <c r="L115" s="92" t="s">
        <v>70</v>
      </c>
      <c r="M115" s="92">
        <v>6631</v>
      </c>
      <c r="N115" s="92">
        <v>6633</v>
      </c>
      <c r="O115" s="92">
        <v>6635</v>
      </c>
      <c r="P115" s="92">
        <v>916</v>
      </c>
      <c r="R115" s="94" t="s">
        <v>3</v>
      </c>
      <c r="T115" s="92">
        <v>4800</v>
      </c>
      <c r="U115" s="92">
        <v>4809</v>
      </c>
      <c r="V115" s="92">
        <v>4810</v>
      </c>
      <c r="W115" s="92">
        <v>4811</v>
      </c>
      <c r="X115" s="92">
        <v>4813</v>
      </c>
      <c r="Y115" s="92" t="s">
        <v>46</v>
      </c>
      <c r="Z115" s="92">
        <v>4861</v>
      </c>
      <c r="AA115" s="92">
        <v>4863</v>
      </c>
      <c r="AB115" s="92" t="s">
        <v>47</v>
      </c>
      <c r="AC115" s="94" t="s">
        <v>3</v>
      </c>
    </row>
    <row r="116" spans="1:30" hidden="1" x14ac:dyDescent="0.2">
      <c r="A116" s="95">
        <f>'TAX Interest Rates'!A17</f>
        <v>43343</v>
      </c>
      <c r="B116" s="104">
        <f t="shared" ref="B116:P116" si="9">ROUND(-B4*B62,2)</f>
        <v>1585.06</v>
      </c>
      <c r="C116" s="104">
        <f t="shared" si="9"/>
        <v>0</v>
      </c>
      <c r="D116" s="104">
        <f t="shared" si="9"/>
        <v>123.25</v>
      </c>
      <c r="E116" s="104">
        <f t="shared" si="9"/>
        <v>55.75</v>
      </c>
      <c r="F116" s="104">
        <f t="shared" si="9"/>
        <v>0.19</v>
      </c>
      <c r="G116" s="104">
        <f t="shared" si="9"/>
        <v>1202.96</v>
      </c>
      <c r="H116" s="104">
        <f t="shared" si="9"/>
        <v>86.51</v>
      </c>
      <c r="I116" s="104">
        <f t="shared" si="9"/>
        <v>0.28000000000000003</v>
      </c>
      <c r="J116" s="104">
        <f t="shared" si="9"/>
        <v>0</v>
      </c>
      <c r="K116" s="104">
        <f t="shared" si="9"/>
        <v>22.41</v>
      </c>
      <c r="L116" s="104">
        <f t="shared" si="9"/>
        <v>3769.5</v>
      </c>
      <c r="M116" s="104">
        <f t="shared" si="9"/>
        <v>0</v>
      </c>
      <c r="N116" s="104">
        <f t="shared" si="9"/>
        <v>1786.76</v>
      </c>
      <c r="O116" s="104">
        <f t="shared" si="9"/>
        <v>741.09</v>
      </c>
      <c r="P116" s="104">
        <f t="shared" si="9"/>
        <v>2015.01</v>
      </c>
      <c r="R116" s="1">
        <f t="shared" ref="R116:R127" si="10">SUM(B116:Q116)</f>
        <v>11388.77</v>
      </c>
      <c r="T116" s="1">
        <f>+B116</f>
        <v>1585.06</v>
      </c>
      <c r="U116" s="1">
        <f>+C116+D116+E116</f>
        <v>179</v>
      </c>
      <c r="V116" s="1">
        <f>+F116+G116+H116</f>
        <v>1289.6600000000001</v>
      </c>
      <c r="W116" s="1">
        <f>+I116+J116</f>
        <v>0.28000000000000003</v>
      </c>
      <c r="X116" s="1">
        <f>+K116</f>
        <v>22.41</v>
      </c>
      <c r="Y116" s="1">
        <f>SUM(T116:X116)</f>
        <v>3076.4100000000003</v>
      </c>
      <c r="Z116" s="1">
        <f>+L116</f>
        <v>3769.5</v>
      </c>
      <c r="AA116" s="1">
        <f>+M116+N116+O116+P116</f>
        <v>4542.8599999999997</v>
      </c>
      <c r="AB116" s="1">
        <f>SUM(Z116:AA116)</f>
        <v>8312.36</v>
      </c>
      <c r="AC116" s="1">
        <f>+Y116+AB116</f>
        <v>11388.77</v>
      </c>
      <c r="AD116" s="1">
        <f>+R116-Y116-AB116</f>
        <v>0</v>
      </c>
    </row>
    <row r="117" spans="1:30" hidden="1" x14ac:dyDescent="0.2">
      <c r="A117" s="95">
        <f>'TAX Interest Rates'!A18</f>
        <v>43373</v>
      </c>
      <c r="B117" s="104">
        <f t="shared" ref="B117:P117" si="11">ROUND(-B5*B63,2)</f>
        <v>4466.6099999999997</v>
      </c>
      <c r="C117" s="104">
        <f t="shared" si="11"/>
        <v>-0.28000000000000003</v>
      </c>
      <c r="D117" s="104">
        <f t="shared" si="11"/>
        <v>498.97</v>
      </c>
      <c r="E117" s="104">
        <f t="shared" si="11"/>
        <v>151.84</v>
      </c>
      <c r="F117" s="104">
        <f t="shared" si="11"/>
        <v>0.61</v>
      </c>
      <c r="G117" s="104">
        <f t="shared" si="11"/>
        <v>3396.7</v>
      </c>
      <c r="H117" s="104">
        <f t="shared" si="11"/>
        <v>242.05</v>
      </c>
      <c r="I117" s="104">
        <f t="shared" si="11"/>
        <v>0.42</v>
      </c>
      <c r="J117" s="104">
        <f t="shared" si="11"/>
        <v>0</v>
      </c>
      <c r="K117" s="104">
        <f t="shared" si="11"/>
        <v>28.47</v>
      </c>
      <c r="L117" s="104">
        <f t="shared" si="11"/>
        <v>4264.5600000000004</v>
      </c>
      <c r="M117" s="104">
        <f t="shared" si="11"/>
        <v>2143.81</v>
      </c>
      <c r="N117" s="104">
        <f t="shared" si="11"/>
        <v>2013.34</v>
      </c>
      <c r="O117" s="104">
        <f t="shared" si="11"/>
        <v>291.33</v>
      </c>
      <c r="P117" s="104">
        <f t="shared" si="11"/>
        <v>0</v>
      </c>
      <c r="R117" s="1">
        <f t="shared" si="10"/>
        <v>17498.43</v>
      </c>
      <c r="T117" s="1">
        <f t="shared" ref="T117:T127" si="12">+B117</f>
        <v>4466.6099999999997</v>
      </c>
      <c r="U117" s="1">
        <f t="shared" ref="U117:U127" si="13">+C117+D117+E117</f>
        <v>650.53000000000009</v>
      </c>
      <c r="V117" s="1">
        <f t="shared" ref="V117:V127" si="14">+F117+G117+H117</f>
        <v>3639.36</v>
      </c>
      <c r="W117" s="1">
        <f t="shared" ref="W117:W127" si="15">+I117+J117</f>
        <v>0.42</v>
      </c>
      <c r="X117" s="1">
        <f t="shared" ref="X117:X127" si="16">+K117</f>
        <v>28.47</v>
      </c>
      <c r="Y117" s="1">
        <f t="shared" ref="Y117:Y127" si="17">SUM(T117:X117)</f>
        <v>8785.39</v>
      </c>
      <c r="Z117" s="1">
        <f t="shared" ref="Z117:Z127" si="18">+L117</f>
        <v>4264.5600000000004</v>
      </c>
      <c r="AA117" s="1">
        <f t="shared" ref="AA117:AA127" si="19">+M117+N117+O117+P117</f>
        <v>4448.4799999999996</v>
      </c>
      <c r="AB117" s="1">
        <f t="shared" ref="AB117:AB127" si="20">SUM(Z117:AA117)</f>
        <v>8713.0400000000009</v>
      </c>
      <c r="AC117" s="1">
        <f t="shared" ref="AC117:AC127" si="21">+Y117+AB117</f>
        <v>17498.43</v>
      </c>
      <c r="AD117" s="1">
        <f t="shared" ref="AD117:AD127" si="22">+R117-Y117-AB117</f>
        <v>0</v>
      </c>
    </row>
    <row r="118" spans="1:30" hidden="1" x14ac:dyDescent="0.2">
      <c r="A118" s="95">
        <f>'TAX Interest Rates'!A19</f>
        <v>43404</v>
      </c>
      <c r="B118" s="104">
        <f t="shared" ref="B118:P118" si="23">ROUND(-B6*B64,2)</f>
        <v>8438.31</v>
      </c>
      <c r="C118" s="104">
        <f t="shared" si="23"/>
        <v>0</v>
      </c>
      <c r="D118" s="104">
        <f t="shared" si="23"/>
        <v>794.32</v>
      </c>
      <c r="E118" s="104">
        <f t="shared" si="23"/>
        <v>281.69</v>
      </c>
      <c r="F118" s="104">
        <f t="shared" si="23"/>
        <v>2.54</v>
      </c>
      <c r="G118" s="104">
        <f t="shared" si="23"/>
        <v>5196.91</v>
      </c>
      <c r="H118" s="104">
        <f t="shared" si="23"/>
        <v>425.02</v>
      </c>
      <c r="I118" s="104">
        <f t="shared" si="23"/>
        <v>0.02</v>
      </c>
      <c r="J118" s="104">
        <f t="shared" si="23"/>
        <v>0</v>
      </c>
      <c r="K118" s="104">
        <f t="shared" si="23"/>
        <v>47.46</v>
      </c>
      <c r="L118" s="104">
        <f t="shared" si="23"/>
        <v>4542.8</v>
      </c>
      <c r="M118" s="104">
        <f t="shared" si="23"/>
        <v>1080</v>
      </c>
      <c r="N118" s="104">
        <f t="shared" si="23"/>
        <v>564.77</v>
      </c>
      <c r="O118" s="104">
        <f t="shared" si="23"/>
        <v>280.22000000000003</v>
      </c>
      <c r="P118" s="104">
        <f t="shared" si="23"/>
        <v>0</v>
      </c>
      <c r="R118" s="1">
        <f t="shared" si="10"/>
        <v>21654.06</v>
      </c>
      <c r="T118" s="1">
        <f t="shared" si="12"/>
        <v>8438.31</v>
      </c>
      <c r="U118" s="1">
        <f t="shared" si="13"/>
        <v>1076.01</v>
      </c>
      <c r="V118" s="1">
        <f t="shared" si="14"/>
        <v>5624.4699999999993</v>
      </c>
      <c r="W118" s="1">
        <f t="shared" si="15"/>
        <v>0.02</v>
      </c>
      <c r="X118" s="1">
        <f t="shared" si="16"/>
        <v>47.46</v>
      </c>
      <c r="Y118" s="1">
        <f t="shared" si="17"/>
        <v>15186.269999999999</v>
      </c>
      <c r="Z118" s="1">
        <f t="shared" si="18"/>
        <v>4542.8</v>
      </c>
      <c r="AA118" s="1">
        <f t="shared" si="19"/>
        <v>1924.99</v>
      </c>
      <c r="AB118" s="1">
        <f t="shared" si="20"/>
        <v>6467.79</v>
      </c>
      <c r="AC118" s="1">
        <f t="shared" si="21"/>
        <v>21654.059999999998</v>
      </c>
      <c r="AD118" s="1">
        <f t="shared" si="22"/>
        <v>0</v>
      </c>
    </row>
    <row r="119" spans="1:30" hidden="1" x14ac:dyDescent="0.2">
      <c r="A119" s="95">
        <f>'TAX Interest Rates'!A20</f>
        <v>43434</v>
      </c>
      <c r="B119" s="104">
        <f t="shared" ref="B119:P119" si="24">ROUND(-B7*B64,2)</f>
        <v>9106.7099999999991</v>
      </c>
      <c r="C119" s="104">
        <f t="shared" si="24"/>
        <v>0</v>
      </c>
      <c r="D119" s="104">
        <f t="shared" si="24"/>
        <v>532.28</v>
      </c>
      <c r="E119" s="104">
        <f t="shared" si="24"/>
        <v>67.7</v>
      </c>
      <c r="F119" s="104">
        <f t="shared" si="24"/>
        <v>0</v>
      </c>
      <c r="G119" s="104">
        <f t="shared" si="24"/>
        <v>4918.25</v>
      </c>
      <c r="H119" s="104">
        <f t="shared" si="24"/>
        <v>289.69</v>
      </c>
      <c r="I119" s="104">
        <f t="shared" si="24"/>
        <v>0</v>
      </c>
      <c r="J119" s="104">
        <f t="shared" si="24"/>
        <v>0</v>
      </c>
      <c r="K119" s="104">
        <f t="shared" si="24"/>
        <v>0</v>
      </c>
      <c r="L119" s="104">
        <f t="shared" si="24"/>
        <v>0</v>
      </c>
      <c r="M119" s="104">
        <f t="shared" si="24"/>
        <v>0</v>
      </c>
      <c r="N119" s="104">
        <f t="shared" si="24"/>
        <v>0</v>
      </c>
      <c r="O119" s="104">
        <f t="shared" si="24"/>
        <v>0</v>
      </c>
      <c r="P119" s="104">
        <f t="shared" si="24"/>
        <v>0</v>
      </c>
      <c r="R119" s="1">
        <f t="shared" ref="R119" si="25">SUM(B119:Q119)</f>
        <v>14914.630000000001</v>
      </c>
      <c r="S119" s="1" t="s">
        <v>56</v>
      </c>
      <c r="T119" s="1">
        <f t="shared" ref="T119" si="26">+B119</f>
        <v>9106.7099999999991</v>
      </c>
      <c r="U119" s="1">
        <f t="shared" ref="U119" si="27">+C119+D119+E119</f>
        <v>599.98</v>
      </c>
      <c r="V119" s="1">
        <f t="shared" ref="V119" si="28">+F119+G119+H119</f>
        <v>5207.9399999999996</v>
      </c>
      <c r="W119" s="1">
        <f t="shared" ref="W119" si="29">+I119+J119</f>
        <v>0</v>
      </c>
      <c r="X119" s="1">
        <f t="shared" ref="X119" si="30">+K119</f>
        <v>0</v>
      </c>
      <c r="Y119" s="1">
        <f t="shared" si="17"/>
        <v>14914.629999999997</v>
      </c>
      <c r="Z119" s="1">
        <f t="shared" si="18"/>
        <v>0</v>
      </c>
      <c r="AA119" s="1">
        <f t="shared" si="19"/>
        <v>0</v>
      </c>
      <c r="AB119" s="1">
        <f t="shared" si="20"/>
        <v>0</v>
      </c>
      <c r="AC119" s="1">
        <f t="shared" si="21"/>
        <v>14914.629999999997</v>
      </c>
      <c r="AD119" s="1">
        <f t="shared" si="22"/>
        <v>3.637978807091713E-12</v>
      </c>
    </row>
    <row r="120" spans="1:30" hidden="1" x14ac:dyDescent="0.2">
      <c r="A120" s="95">
        <f>'TAX Interest Rates'!A20</f>
        <v>43434</v>
      </c>
      <c r="B120" s="104">
        <f t="shared" ref="B120:P120" si="31">ROUND(-B8*B65,2)</f>
        <v>5690.85</v>
      </c>
      <c r="C120" s="104">
        <f t="shared" si="31"/>
        <v>0.05</v>
      </c>
      <c r="D120" s="104">
        <f t="shared" si="31"/>
        <v>256.35000000000002</v>
      </c>
      <c r="E120" s="104">
        <f t="shared" si="31"/>
        <v>54.3</v>
      </c>
      <c r="F120" s="104">
        <f t="shared" si="31"/>
        <v>4.68</v>
      </c>
      <c r="G120" s="104">
        <f t="shared" si="31"/>
        <v>2865.42</v>
      </c>
      <c r="H120" s="104">
        <f t="shared" si="31"/>
        <v>232.35</v>
      </c>
      <c r="I120" s="104">
        <f t="shared" si="31"/>
        <v>0</v>
      </c>
      <c r="J120" s="104">
        <f t="shared" si="31"/>
        <v>0</v>
      </c>
      <c r="K120" s="104">
        <f t="shared" si="31"/>
        <v>56.6</v>
      </c>
      <c r="L120" s="104">
        <f t="shared" si="31"/>
        <v>3892.31</v>
      </c>
      <c r="M120" s="104">
        <f t="shared" si="31"/>
        <v>11.51</v>
      </c>
      <c r="N120" s="104">
        <f t="shared" si="31"/>
        <v>4.2300000000000004</v>
      </c>
      <c r="O120" s="104">
        <f t="shared" si="31"/>
        <v>5.08</v>
      </c>
      <c r="P120" s="104">
        <f t="shared" si="31"/>
        <v>0</v>
      </c>
      <c r="R120" s="1">
        <f t="shared" si="10"/>
        <v>13073.730000000001</v>
      </c>
      <c r="S120" s="1" t="s">
        <v>57</v>
      </c>
      <c r="T120" s="1">
        <f t="shared" si="12"/>
        <v>5690.85</v>
      </c>
      <c r="U120" s="1">
        <f t="shared" si="13"/>
        <v>310.70000000000005</v>
      </c>
      <c r="V120" s="1">
        <f t="shared" si="14"/>
        <v>3102.45</v>
      </c>
      <c r="W120" s="1">
        <f t="shared" si="15"/>
        <v>0</v>
      </c>
      <c r="X120" s="1">
        <f t="shared" si="16"/>
        <v>56.6</v>
      </c>
      <c r="Y120" s="1">
        <f t="shared" si="17"/>
        <v>9160.6</v>
      </c>
      <c r="Z120" s="1">
        <f t="shared" si="18"/>
        <v>3892.31</v>
      </c>
      <c r="AA120" s="1">
        <f t="shared" si="19"/>
        <v>20.82</v>
      </c>
      <c r="AB120" s="1">
        <f t="shared" si="20"/>
        <v>3913.13</v>
      </c>
      <c r="AC120" s="1">
        <f t="shared" si="21"/>
        <v>13073.73</v>
      </c>
      <c r="AD120" s="1">
        <f t="shared" si="22"/>
        <v>0</v>
      </c>
    </row>
    <row r="121" spans="1:30" hidden="1" x14ac:dyDescent="0.2">
      <c r="A121" s="95">
        <f>'TAX Interest Rates'!A21</f>
        <v>43465</v>
      </c>
      <c r="B121" s="104">
        <f t="shared" ref="B121:P121" si="32">ROUND(-B9*B66,2)</f>
        <v>29974.92</v>
      </c>
      <c r="C121" s="104">
        <f t="shared" si="32"/>
        <v>-0.05</v>
      </c>
      <c r="D121" s="104">
        <f t="shared" si="32"/>
        <v>1268.75</v>
      </c>
      <c r="E121" s="104">
        <f t="shared" si="32"/>
        <v>213.7</v>
      </c>
      <c r="F121" s="104">
        <f t="shared" si="32"/>
        <v>6.64</v>
      </c>
      <c r="G121" s="104">
        <f t="shared" si="32"/>
        <v>15471.26</v>
      </c>
      <c r="H121" s="104">
        <f t="shared" si="32"/>
        <v>968.55</v>
      </c>
      <c r="I121" s="104">
        <f t="shared" si="32"/>
        <v>0.12</v>
      </c>
      <c r="J121" s="104">
        <f t="shared" si="32"/>
        <v>0</v>
      </c>
      <c r="K121" s="104">
        <f t="shared" si="32"/>
        <v>67.73</v>
      </c>
      <c r="L121" s="104">
        <f t="shared" si="32"/>
        <v>4402.03</v>
      </c>
      <c r="M121" s="104">
        <f t="shared" si="32"/>
        <v>2157.39</v>
      </c>
      <c r="N121" s="104">
        <f t="shared" si="32"/>
        <v>667.59</v>
      </c>
      <c r="O121" s="104">
        <f t="shared" si="32"/>
        <v>8.6199999999999992</v>
      </c>
      <c r="P121" s="104">
        <f t="shared" si="32"/>
        <v>0</v>
      </c>
      <c r="R121" s="1">
        <f t="shared" si="10"/>
        <v>55207.250000000007</v>
      </c>
      <c r="T121" s="1">
        <f t="shared" si="12"/>
        <v>29974.92</v>
      </c>
      <c r="U121" s="1">
        <f t="shared" si="13"/>
        <v>1482.4</v>
      </c>
      <c r="V121" s="1">
        <f t="shared" si="14"/>
        <v>16446.45</v>
      </c>
      <c r="W121" s="1">
        <f t="shared" si="15"/>
        <v>0.12</v>
      </c>
      <c r="X121" s="1">
        <f t="shared" si="16"/>
        <v>67.73</v>
      </c>
      <c r="Y121" s="1">
        <f t="shared" si="17"/>
        <v>47971.62000000001</v>
      </c>
      <c r="Z121" s="1">
        <f t="shared" si="18"/>
        <v>4402.03</v>
      </c>
      <c r="AA121" s="1">
        <f t="shared" si="19"/>
        <v>2833.6</v>
      </c>
      <c r="AB121" s="1">
        <f t="shared" si="20"/>
        <v>7235.6299999999992</v>
      </c>
      <c r="AC121" s="1">
        <f t="shared" si="21"/>
        <v>55207.250000000007</v>
      </c>
      <c r="AD121" s="1">
        <f t="shared" si="22"/>
        <v>0</v>
      </c>
    </row>
    <row r="122" spans="1:30" hidden="1" x14ac:dyDescent="0.2">
      <c r="A122" s="95">
        <f>'TAX Interest Rates'!A22</f>
        <v>43496</v>
      </c>
      <c r="B122" s="104">
        <f t="shared" ref="B122:P122" si="33">ROUND(-B10*B67,2)</f>
        <v>34189.019999999997</v>
      </c>
      <c r="C122" s="104">
        <f t="shared" si="33"/>
        <v>0</v>
      </c>
      <c r="D122" s="104">
        <f t="shared" si="33"/>
        <v>1232.99</v>
      </c>
      <c r="E122" s="104">
        <f t="shared" si="33"/>
        <v>231.67</v>
      </c>
      <c r="F122" s="104">
        <f t="shared" si="33"/>
        <v>6.25</v>
      </c>
      <c r="G122" s="104">
        <f t="shared" si="33"/>
        <v>17709.259999999998</v>
      </c>
      <c r="H122" s="104">
        <f t="shared" si="33"/>
        <v>1034.3499999999999</v>
      </c>
      <c r="I122" s="104">
        <f t="shared" si="33"/>
        <v>0.01</v>
      </c>
      <c r="J122" s="104">
        <f t="shared" si="33"/>
        <v>0</v>
      </c>
      <c r="K122" s="104">
        <f t="shared" si="33"/>
        <v>67.290000000000006</v>
      </c>
      <c r="L122" s="104">
        <f t="shared" si="33"/>
        <v>4661.54</v>
      </c>
      <c r="M122" s="104">
        <f t="shared" si="33"/>
        <v>2241.67</v>
      </c>
      <c r="N122" s="104">
        <f t="shared" si="33"/>
        <v>613.21</v>
      </c>
      <c r="O122" s="104">
        <f t="shared" si="33"/>
        <v>15.91</v>
      </c>
      <c r="P122" s="104">
        <f t="shared" si="33"/>
        <v>0</v>
      </c>
      <c r="R122" s="1">
        <f t="shared" si="10"/>
        <v>62003.169999999991</v>
      </c>
      <c r="T122" s="1">
        <f t="shared" si="12"/>
        <v>34189.019999999997</v>
      </c>
      <c r="U122" s="1">
        <f t="shared" si="13"/>
        <v>1464.66</v>
      </c>
      <c r="V122" s="1">
        <f t="shared" si="14"/>
        <v>18749.859999999997</v>
      </c>
      <c r="W122" s="1">
        <f t="shared" si="15"/>
        <v>0.01</v>
      </c>
      <c r="X122" s="1">
        <f t="shared" si="16"/>
        <v>67.290000000000006</v>
      </c>
      <c r="Y122" s="1">
        <f t="shared" si="17"/>
        <v>54470.84</v>
      </c>
      <c r="Z122" s="1">
        <f t="shared" si="18"/>
        <v>4661.54</v>
      </c>
      <c r="AA122" s="1">
        <f t="shared" si="19"/>
        <v>2870.79</v>
      </c>
      <c r="AB122" s="1">
        <f t="shared" si="20"/>
        <v>7532.33</v>
      </c>
      <c r="AC122" s="1">
        <f t="shared" si="21"/>
        <v>62003.17</v>
      </c>
      <c r="AD122" s="1">
        <f t="shared" si="22"/>
        <v>0</v>
      </c>
    </row>
    <row r="123" spans="1:30" hidden="1" x14ac:dyDescent="0.2">
      <c r="A123" s="95">
        <f>'TAX Interest Rates'!A23</f>
        <v>43524</v>
      </c>
      <c r="B123" s="104">
        <f t="shared" ref="B123:P123" si="34">ROUND(-B11*B68,2)</f>
        <v>36654.629999999997</v>
      </c>
      <c r="C123" s="104">
        <f t="shared" si="34"/>
        <v>0</v>
      </c>
      <c r="D123" s="104">
        <f t="shared" si="34"/>
        <v>1389.89</v>
      </c>
      <c r="E123" s="104">
        <f t="shared" si="34"/>
        <v>228.18</v>
      </c>
      <c r="F123" s="104">
        <f t="shared" si="34"/>
        <v>7.41</v>
      </c>
      <c r="G123" s="104">
        <f t="shared" si="34"/>
        <v>18884.11</v>
      </c>
      <c r="H123" s="104">
        <f t="shared" si="34"/>
        <v>1069.25</v>
      </c>
      <c r="I123" s="104">
        <f t="shared" si="34"/>
        <v>0</v>
      </c>
      <c r="J123" s="104">
        <f t="shared" si="34"/>
        <v>0</v>
      </c>
      <c r="K123" s="104">
        <f t="shared" si="34"/>
        <v>70.25</v>
      </c>
      <c r="L123" s="104">
        <f t="shared" si="34"/>
        <v>4533.78</v>
      </c>
      <c r="M123" s="104">
        <f t="shared" si="34"/>
        <v>1111.33</v>
      </c>
      <c r="N123" s="104">
        <f t="shared" si="34"/>
        <v>877.01</v>
      </c>
      <c r="O123" s="104">
        <f t="shared" si="34"/>
        <v>34.299999999999997</v>
      </c>
      <c r="P123" s="104">
        <f t="shared" si="34"/>
        <v>0</v>
      </c>
      <c r="R123" s="1">
        <f t="shared" si="10"/>
        <v>64860.140000000007</v>
      </c>
      <c r="T123" s="1">
        <f t="shared" si="12"/>
        <v>36654.629999999997</v>
      </c>
      <c r="U123" s="1">
        <f t="shared" si="13"/>
        <v>1618.0700000000002</v>
      </c>
      <c r="V123" s="1">
        <f t="shared" si="14"/>
        <v>19960.77</v>
      </c>
      <c r="W123" s="1">
        <f t="shared" si="15"/>
        <v>0</v>
      </c>
      <c r="X123" s="1">
        <f t="shared" si="16"/>
        <v>70.25</v>
      </c>
      <c r="Y123" s="1">
        <f t="shared" si="17"/>
        <v>58303.72</v>
      </c>
      <c r="Z123" s="1">
        <f t="shared" si="18"/>
        <v>4533.78</v>
      </c>
      <c r="AA123" s="1">
        <f t="shared" si="19"/>
        <v>2022.6399999999999</v>
      </c>
      <c r="AB123" s="1">
        <f t="shared" si="20"/>
        <v>6556.42</v>
      </c>
      <c r="AC123" s="1">
        <f t="shared" si="21"/>
        <v>64860.14</v>
      </c>
      <c r="AD123" s="1">
        <f t="shared" si="22"/>
        <v>0</v>
      </c>
    </row>
    <row r="124" spans="1:30" hidden="1" x14ac:dyDescent="0.2">
      <c r="A124" s="95">
        <f>'TAX Interest Rates'!A24</f>
        <v>43555</v>
      </c>
      <c r="B124" s="104">
        <f t="shared" ref="B124:P124" si="35">ROUND(-B12*B69,2)</f>
        <v>39435.75</v>
      </c>
      <c r="C124" s="104">
        <f t="shared" si="35"/>
        <v>0</v>
      </c>
      <c r="D124" s="104">
        <f t="shared" si="35"/>
        <v>1543.47</v>
      </c>
      <c r="E124" s="104">
        <f t="shared" si="35"/>
        <v>241.11</v>
      </c>
      <c r="F124" s="104">
        <f t="shared" si="35"/>
        <v>4.76</v>
      </c>
      <c r="G124" s="104">
        <f t="shared" si="35"/>
        <v>21521.46</v>
      </c>
      <c r="H124" s="104">
        <f t="shared" si="35"/>
        <v>1155.07</v>
      </c>
      <c r="I124" s="104">
        <f t="shared" si="35"/>
        <v>0</v>
      </c>
      <c r="J124" s="104">
        <f t="shared" si="35"/>
        <v>0</v>
      </c>
      <c r="K124" s="104">
        <f t="shared" si="35"/>
        <v>64.52</v>
      </c>
      <c r="L124" s="104">
        <f t="shared" si="35"/>
        <v>4416.18</v>
      </c>
      <c r="M124" s="104">
        <f t="shared" si="35"/>
        <v>1472.65</v>
      </c>
      <c r="N124" s="104">
        <f t="shared" si="35"/>
        <v>463.22</v>
      </c>
      <c r="O124" s="104">
        <f t="shared" si="35"/>
        <v>0</v>
      </c>
      <c r="P124" s="104">
        <f t="shared" si="35"/>
        <v>0</v>
      </c>
      <c r="R124" s="1">
        <f t="shared" si="10"/>
        <v>70318.19</v>
      </c>
      <c r="T124" s="1">
        <f t="shared" si="12"/>
        <v>39435.75</v>
      </c>
      <c r="U124" s="1">
        <f t="shared" si="13"/>
        <v>1784.58</v>
      </c>
      <c r="V124" s="1">
        <f t="shared" si="14"/>
        <v>22681.289999999997</v>
      </c>
      <c r="W124" s="1">
        <f t="shared" si="15"/>
        <v>0</v>
      </c>
      <c r="X124" s="1">
        <f t="shared" si="16"/>
        <v>64.52</v>
      </c>
      <c r="Y124" s="1">
        <f t="shared" si="17"/>
        <v>63966.139999999992</v>
      </c>
      <c r="Z124" s="1">
        <f t="shared" si="18"/>
        <v>4416.18</v>
      </c>
      <c r="AA124" s="1">
        <f t="shared" si="19"/>
        <v>1935.8700000000001</v>
      </c>
      <c r="AB124" s="1">
        <f t="shared" si="20"/>
        <v>6352.05</v>
      </c>
      <c r="AC124" s="1">
        <f t="shared" si="21"/>
        <v>70318.189999999988</v>
      </c>
      <c r="AD124" s="1">
        <f t="shared" si="22"/>
        <v>1.0004441719502211E-11</v>
      </c>
    </row>
    <row r="125" spans="1:30" hidden="1" x14ac:dyDescent="0.2">
      <c r="A125" s="95">
        <f>'TAX Interest Rates'!A25</f>
        <v>43585</v>
      </c>
      <c r="B125" s="104">
        <f t="shared" ref="B125:P125" si="36">ROUND(-B13*B70,2)</f>
        <v>21581.75</v>
      </c>
      <c r="C125" s="104">
        <f t="shared" si="36"/>
        <v>0</v>
      </c>
      <c r="D125" s="104">
        <f t="shared" si="36"/>
        <v>1144.93</v>
      </c>
      <c r="E125" s="104">
        <f t="shared" si="36"/>
        <v>237.33</v>
      </c>
      <c r="F125" s="104">
        <f t="shared" si="36"/>
        <v>3.05</v>
      </c>
      <c r="G125" s="104">
        <f t="shared" si="36"/>
        <v>12280.34</v>
      </c>
      <c r="H125" s="104">
        <f t="shared" si="36"/>
        <v>720.19</v>
      </c>
      <c r="I125" s="104">
        <f t="shared" si="36"/>
        <v>0.11</v>
      </c>
      <c r="J125" s="104">
        <f t="shared" si="36"/>
        <v>0</v>
      </c>
      <c r="K125" s="104">
        <f t="shared" si="36"/>
        <v>49.78</v>
      </c>
      <c r="L125" s="104">
        <f t="shared" si="36"/>
        <v>4171.34</v>
      </c>
      <c r="M125" s="104">
        <f t="shared" si="36"/>
        <v>1139.1300000000001</v>
      </c>
      <c r="N125" s="104">
        <f t="shared" si="36"/>
        <v>382.66</v>
      </c>
      <c r="O125" s="104">
        <f t="shared" si="36"/>
        <v>3.64</v>
      </c>
      <c r="P125" s="104">
        <f t="shared" si="36"/>
        <v>0</v>
      </c>
      <c r="R125" s="1">
        <f t="shared" si="10"/>
        <v>41714.250000000007</v>
      </c>
      <c r="T125" s="1">
        <f t="shared" si="12"/>
        <v>21581.75</v>
      </c>
      <c r="U125" s="1">
        <f t="shared" si="13"/>
        <v>1382.26</v>
      </c>
      <c r="V125" s="1">
        <f t="shared" si="14"/>
        <v>13003.58</v>
      </c>
      <c r="W125" s="1">
        <f t="shared" si="15"/>
        <v>0.11</v>
      </c>
      <c r="X125" s="1">
        <f t="shared" si="16"/>
        <v>49.78</v>
      </c>
      <c r="Y125" s="1">
        <f t="shared" si="17"/>
        <v>36017.479999999996</v>
      </c>
      <c r="Z125" s="1">
        <f t="shared" si="18"/>
        <v>4171.34</v>
      </c>
      <c r="AA125" s="1">
        <f t="shared" si="19"/>
        <v>1525.4300000000003</v>
      </c>
      <c r="AB125" s="1">
        <f t="shared" si="20"/>
        <v>5696.77</v>
      </c>
      <c r="AC125" s="1">
        <f t="shared" si="21"/>
        <v>41714.25</v>
      </c>
      <c r="AD125" s="1">
        <f t="shared" si="22"/>
        <v>1.0913936421275139E-11</v>
      </c>
    </row>
    <row r="126" spans="1:30" hidden="1" x14ac:dyDescent="0.2">
      <c r="A126" s="95">
        <f>'TAX Interest Rates'!A26</f>
        <v>43616</v>
      </c>
      <c r="B126" s="104">
        <f t="shared" ref="B126:P126" si="37">ROUND(-B14*B71,2)</f>
        <v>13040.84</v>
      </c>
      <c r="C126" s="104">
        <f t="shared" si="37"/>
        <v>0</v>
      </c>
      <c r="D126" s="104">
        <f t="shared" si="37"/>
        <v>679.3</v>
      </c>
      <c r="E126" s="104">
        <f t="shared" si="37"/>
        <v>187.36</v>
      </c>
      <c r="F126" s="104">
        <f t="shared" si="37"/>
        <v>0.87</v>
      </c>
      <c r="G126" s="104">
        <f t="shared" si="37"/>
        <v>7250.22</v>
      </c>
      <c r="H126" s="104">
        <f t="shared" si="37"/>
        <v>484.54</v>
      </c>
      <c r="I126" s="104">
        <f t="shared" si="37"/>
        <v>0.13</v>
      </c>
      <c r="J126" s="104">
        <f t="shared" si="37"/>
        <v>0</v>
      </c>
      <c r="K126" s="104">
        <f t="shared" si="37"/>
        <v>36.99</v>
      </c>
      <c r="L126" s="104">
        <f t="shared" si="37"/>
        <v>4477.1899999999996</v>
      </c>
      <c r="M126" s="104">
        <f t="shared" si="37"/>
        <v>801.1</v>
      </c>
      <c r="N126" s="104">
        <f t="shared" si="37"/>
        <v>57.3</v>
      </c>
      <c r="O126" s="104">
        <f t="shared" si="37"/>
        <v>35.11</v>
      </c>
      <c r="P126" s="104">
        <f t="shared" si="37"/>
        <v>0</v>
      </c>
      <c r="R126" s="1">
        <f t="shared" si="10"/>
        <v>27050.95</v>
      </c>
      <c r="T126" s="1">
        <f t="shared" si="12"/>
        <v>13040.84</v>
      </c>
      <c r="U126" s="1">
        <f t="shared" si="13"/>
        <v>866.66</v>
      </c>
      <c r="V126" s="1">
        <f t="shared" si="14"/>
        <v>7735.63</v>
      </c>
      <c r="W126" s="1">
        <f t="shared" si="15"/>
        <v>0.13</v>
      </c>
      <c r="X126" s="1">
        <f t="shared" si="16"/>
        <v>36.99</v>
      </c>
      <c r="Y126" s="1">
        <f t="shared" si="17"/>
        <v>21680.250000000004</v>
      </c>
      <c r="Z126" s="1">
        <f t="shared" si="18"/>
        <v>4477.1899999999996</v>
      </c>
      <c r="AA126" s="1">
        <f t="shared" si="19"/>
        <v>893.51</v>
      </c>
      <c r="AB126" s="1">
        <f t="shared" si="20"/>
        <v>5370.7</v>
      </c>
      <c r="AC126" s="1">
        <f t="shared" si="21"/>
        <v>27050.950000000004</v>
      </c>
      <c r="AD126" s="1">
        <f t="shared" si="22"/>
        <v>0</v>
      </c>
    </row>
    <row r="127" spans="1:30" hidden="1" x14ac:dyDescent="0.2">
      <c r="A127" s="95">
        <f>'TAX Interest Rates'!A27</f>
        <v>43646</v>
      </c>
      <c r="B127" s="104">
        <f t="shared" ref="B127:P127" si="38">ROUND(-B15*B72,2)</f>
        <v>7122.2</v>
      </c>
      <c r="C127" s="104">
        <f t="shared" si="38"/>
        <v>0</v>
      </c>
      <c r="D127" s="104">
        <f t="shared" si="38"/>
        <v>497.97</v>
      </c>
      <c r="E127" s="104">
        <f t="shared" si="38"/>
        <v>192.53</v>
      </c>
      <c r="F127" s="104">
        <f t="shared" si="38"/>
        <v>0.5</v>
      </c>
      <c r="G127" s="104">
        <f t="shared" si="38"/>
        <v>4678.3999999999996</v>
      </c>
      <c r="H127" s="104">
        <f t="shared" si="38"/>
        <v>335.96</v>
      </c>
      <c r="I127" s="104">
        <f t="shared" si="38"/>
        <v>0</v>
      </c>
      <c r="J127" s="104">
        <f t="shared" si="38"/>
        <v>0</v>
      </c>
      <c r="K127" s="104">
        <f t="shared" si="38"/>
        <v>28.86</v>
      </c>
      <c r="L127" s="104">
        <f t="shared" si="38"/>
        <v>4059.03</v>
      </c>
      <c r="M127" s="104">
        <f t="shared" si="38"/>
        <v>1173.68</v>
      </c>
      <c r="N127" s="104">
        <f t="shared" si="38"/>
        <v>1016.52</v>
      </c>
      <c r="O127" s="104">
        <f t="shared" si="38"/>
        <v>166.93</v>
      </c>
      <c r="P127" s="104">
        <f t="shared" si="38"/>
        <v>0</v>
      </c>
      <c r="R127" s="1">
        <f t="shared" si="10"/>
        <v>19272.579999999998</v>
      </c>
      <c r="T127" s="1">
        <f t="shared" si="12"/>
        <v>7122.2</v>
      </c>
      <c r="U127" s="1">
        <f t="shared" si="13"/>
        <v>690.5</v>
      </c>
      <c r="V127" s="1">
        <f t="shared" si="14"/>
        <v>5014.8599999999997</v>
      </c>
      <c r="W127" s="1">
        <f t="shared" si="15"/>
        <v>0</v>
      </c>
      <c r="X127" s="1">
        <f t="shared" si="16"/>
        <v>28.86</v>
      </c>
      <c r="Y127" s="1">
        <f t="shared" si="17"/>
        <v>12856.42</v>
      </c>
      <c r="Z127" s="1">
        <f t="shared" si="18"/>
        <v>4059.03</v>
      </c>
      <c r="AA127" s="1">
        <f t="shared" si="19"/>
        <v>2357.1299999999997</v>
      </c>
      <c r="AB127" s="1">
        <f t="shared" si="20"/>
        <v>6416.16</v>
      </c>
      <c r="AC127" s="1">
        <f t="shared" si="21"/>
        <v>19272.580000000002</v>
      </c>
      <c r="AD127" s="1">
        <f t="shared" si="22"/>
        <v>0</v>
      </c>
    </row>
    <row r="128" spans="1:30" hidden="1" x14ac:dyDescent="0.2">
      <c r="A128" s="95">
        <f>'TAX Interest Rates'!A28</f>
        <v>43677</v>
      </c>
      <c r="B128" s="104">
        <f t="shared" ref="B128:P128" si="39">ROUND(-B16*B73,2)</f>
        <v>5662.85</v>
      </c>
      <c r="C128" s="104">
        <f t="shared" si="39"/>
        <v>0</v>
      </c>
      <c r="D128" s="104">
        <f t="shared" si="39"/>
        <v>461.96</v>
      </c>
      <c r="E128" s="104">
        <f t="shared" si="39"/>
        <v>220.64</v>
      </c>
      <c r="F128" s="104">
        <f t="shared" si="39"/>
        <v>0.21</v>
      </c>
      <c r="G128" s="104">
        <f t="shared" si="39"/>
        <v>4123.6099999999997</v>
      </c>
      <c r="H128" s="104">
        <f t="shared" si="39"/>
        <v>284.27</v>
      </c>
      <c r="I128" s="104">
        <f t="shared" si="39"/>
        <v>0.14000000000000001</v>
      </c>
      <c r="J128" s="104">
        <f t="shared" si="39"/>
        <v>0</v>
      </c>
      <c r="K128" s="104">
        <f t="shared" si="39"/>
        <v>31.21</v>
      </c>
      <c r="L128" s="104">
        <f t="shared" si="39"/>
        <v>3911.3</v>
      </c>
      <c r="M128" s="104">
        <f t="shared" si="39"/>
        <v>2175.1799999999998</v>
      </c>
      <c r="N128" s="104">
        <f t="shared" si="39"/>
        <v>2118.4299999999998</v>
      </c>
      <c r="O128" s="104">
        <f t="shared" si="39"/>
        <v>757.58</v>
      </c>
      <c r="P128" s="104">
        <f t="shared" si="39"/>
        <v>0</v>
      </c>
      <c r="R128" s="1">
        <f t="shared" ref="R128:R134" si="40">SUM(B128:Q128)</f>
        <v>19747.38</v>
      </c>
      <c r="T128" s="1">
        <f t="shared" ref="T128:T134" si="41">+B128</f>
        <v>5662.85</v>
      </c>
      <c r="U128" s="1">
        <f t="shared" ref="U128:U134" si="42">+C128+D128+E128</f>
        <v>682.59999999999991</v>
      </c>
      <c r="V128" s="1">
        <f t="shared" ref="V128:V134" si="43">+F128+G128+H128</f>
        <v>4408.09</v>
      </c>
      <c r="W128" s="1">
        <f t="shared" ref="W128:W134" si="44">+I128+J128</f>
        <v>0.14000000000000001</v>
      </c>
      <c r="X128" s="1">
        <f t="shared" ref="X128:X134" si="45">+K128</f>
        <v>31.21</v>
      </c>
      <c r="Y128" s="1">
        <f t="shared" ref="Y128:Y134" si="46">SUM(T128:X128)</f>
        <v>10784.89</v>
      </c>
      <c r="Z128" s="1">
        <f t="shared" ref="Z128:Z134" si="47">+L128</f>
        <v>3911.3</v>
      </c>
      <c r="AA128" s="1">
        <f t="shared" ref="AA128:AA134" si="48">+M128+N128+O128+P128</f>
        <v>5051.1899999999996</v>
      </c>
      <c r="AB128" s="1">
        <f t="shared" ref="AB128:AB134" si="49">SUM(Z128:AA128)</f>
        <v>8962.49</v>
      </c>
      <c r="AC128" s="1">
        <f t="shared" ref="AC128:AC134" si="50">+Y128+AB128</f>
        <v>19747.379999999997</v>
      </c>
      <c r="AD128" s="1">
        <f t="shared" ref="AD128:AD134" si="51">+R128-Y128-AB128</f>
        <v>0</v>
      </c>
    </row>
    <row r="129" spans="1:30" hidden="1" x14ac:dyDescent="0.2">
      <c r="A129" s="95">
        <f>'TAX Interest Rates'!A29</f>
        <v>43708</v>
      </c>
      <c r="B129" s="104">
        <f t="shared" ref="B129:P129" si="52">ROUND(-B17*B74,2)</f>
        <v>4884.17</v>
      </c>
      <c r="C129" s="104">
        <f t="shared" si="52"/>
        <v>0</v>
      </c>
      <c r="D129" s="104">
        <f t="shared" si="52"/>
        <v>485.39</v>
      </c>
      <c r="E129" s="104">
        <f t="shared" si="52"/>
        <v>245.57</v>
      </c>
      <c r="F129" s="104">
        <f t="shared" si="52"/>
        <v>0.19</v>
      </c>
      <c r="G129" s="104">
        <f t="shared" si="52"/>
        <v>3768.89</v>
      </c>
      <c r="H129" s="104">
        <f t="shared" si="52"/>
        <v>280.64999999999998</v>
      </c>
      <c r="I129" s="104">
        <f t="shared" si="52"/>
        <v>0</v>
      </c>
      <c r="J129" s="104">
        <f t="shared" si="52"/>
        <v>0</v>
      </c>
      <c r="K129" s="104">
        <f t="shared" si="52"/>
        <v>24.34</v>
      </c>
      <c r="L129" s="104">
        <f t="shared" si="52"/>
        <v>4228.67</v>
      </c>
      <c r="M129" s="104">
        <f t="shared" si="52"/>
        <v>2424.6999999999998</v>
      </c>
      <c r="N129" s="104">
        <f t="shared" si="52"/>
        <v>2340.79</v>
      </c>
      <c r="O129" s="104">
        <f t="shared" si="52"/>
        <v>1425.14</v>
      </c>
      <c r="P129" s="104">
        <f t="shared" si="52"/>
        <v>0</v>
      </c>
      <c r="R129" s="1">
        <f t="shared" si="40"/>
        <v>20108.5</v>
      </c>
      <c r="T129" s="1">
        <f t="shared" si="41"/>
        <v>4884.17</v>
      </c>
      <c r="U129" s="1">
        <f t="shared" si="42"/>
        <v>730.96</v>
      </c>
      <c r="V129" s="1">
        <f t="shared" si="43"/>
        <v>4049.73</v>
      </c>
      <c r="W129" s="1">
        <f t="shared" si="44"/>
        <v>0</v>
      </c>
      <c r="X129" s="1">
        <f t="shared" si="45"/>
        <v>24.34</v>
      </c>
      <c r="Y129" s="1">
        <f t="shared" si="46"/>
        <v>9689.2000000000007</v>
      </c>
      <c r="Z129" s="1">
        <f t="shared" si="47"/>
        <v>4228.67</v>
      </c>
      <c r="AA129" s="1">
        <f t="shared" si="48"/>
        <v>6190.63</v>
      </c>
      <c r="AB129" s="1">
        <f t="shared" si="49"/>
        <v>10419.299999999999</v>
      </c>
      <c r="AC129" s="1">
        <f t="shared" si="50"/>
        <v>20108.5</v>
      </c>
      <c r="AD129" s="1">
        <f t="shared" si="51"/>
        <v>0</v>
      </c>
    </row>
    <row r="130" spans="1:30" hidden="1" x14ac:dyDescent="0.2">
      <c r="A130" s="95">
        <f>'TAX Interest Rates'!A30</f>
        <v>43738</v>
      </c>
      <c r="B130" s="104">
        <f t="shared" ref="B130:P130" si="53">ROUND(-B18*B75,2)</f>
        <v>4737.6499999999996</v>
      </c>
      <c r="C130" s="104">
        <f t="shared" si="53"/>
        <v>0</v>
      </c>
      <c r="D130" s="104">
        <f t="shared" si="53"/>
        <v>560.71</v>
      </c>
      <c r="E130" s="104">
        <f t="shared" si="53"/>
        <v>217.43</v>
      </c>
      <c r="F130" s="104">
        <f t="shared" si="53"/>
        <v>0.84</v>
      </c>
      <c r="G130" s="104">
        <f t="shared" si="53"/>
        <v>3608.13</v>
      </c>
      <c r="H130" s="104">
        <f t="shared" si="53"/>
        <v>242.79</v>
      </c>
      <c r="I130" s="104">
        <f t="shared" si="53"/>
        <v>0.35</v>
      </c>
      <c r="J130" s="104">
        <f t="shared" si="53"/>
        <v>0</v>
      </c>
      <c r="K130" s="104">
        <f t="shared" si="53"/>
        <v>28.97</v>
      </c>
      <c r="L130" s="104">
        <f t="shared" si="53"/>
        <v>4711.8999999999996</v>
      </c>
      <c r="M130" s="104">
        <f t="shared" si="53"/>
        <v>2348.09</v>
      </c>
      <c r="N130" s="104">
        <f t="shared" si="53"/>
        <v>2176.9299999999998</v>
      </c>
      <c r="O130" s="104">
        <f t="shared" si="53"/>
        <v>727.89</v>
      </c>
      <c r="P130" s="104">
        <f t="shared" si="53"/>
        <v>0</v>
      </c>
      <c r="R130" s="1">
        <f t="shared" si="40"/>
        <v>19361.68</v>
      </c>
      <c r="T130" s="1">
        <f t="shared" si="41"/>
        <v>4737.6499999999996</v>
      </c>
      <c r="U130" s="1">
        <f t="shared" si="42"/>
        <v>778.1400000000001</v>
      </c>
      <c r="V130" s="1">
        <f t="shared" si="43"/>
        <v>3851.76</v>
      </c>
      <c r="W130" s="1">
        <f t="shared" si="44"/>
        <v>0.35</v>
      </c>
      <c r="X130" s="1">
        <f t="shared" si="45"/>
        <v>28.97</v>
      </c>
      <c r="Y130" s="1">
        <f t="shared" si="46"/>
        <v>9396.869999999999</v>
      </c>
      <c r="Z130" s="1">
        <f t="shared" si="47"/>
        <v>4711.8999999999996</v>
      </c>
      <c r="AA130" s="1">
        <f t="shared" si="48"/>
        <v>5252.9100000000008</v>
      </c>
      <c r="AB130" s="1">
        <f t="shared" si="49"/>
        <v>9964.8100000000013</v>
      </c>
      <c r="AC130" s="1">
        <f t="shared" si="50"/>
        <v>19361.68</v>
      </c>
      <c r="AD130" s="1">
        <f t="shared" si="51"/>
        <v>0</v>
      </c>
    </row>
    <row r="131" spans="1:30" hidden="1" x14ac:dyDescent="0.2">
      <c r="A131" s="95">
        <f>'TAX Interest Rates'!A31</f>
        <v>43769</v>
      </c>
      <c r="B131" s="104">
        <f t="shared" ref="B131:P131" si="54">ROUND(-B19*B76,2)</f>
        <v>11204.98</v>
      </c>
      <c r="C131" s="104">
        <f t="shared" si="54"/>
        <v>0</v>
      </c>
      <c r="D131" s="104">
        <f t="shared" si="54"/>
        <v>1095.94</v>
      </c>
      <c r="E131" s="104">
        <f t="shared" si="54"/>
        <v>289.29000000000002</v>
      </c>
      <c r="F131" s="104">
        <f t="shared" si="54"/>
        <v>3.99</v>
      </c>
      <c r="G131" s="104">
        <f t="shared" si="54"/>
        <v>6552.16</v>
      </c>
      <c r="H131" s="104">
        <f t="shared" si="54"/>
        <v>1419.4</v>
      </c>
      <c r="I131" s="104">
        <f t="shared" si="54"/>
        <v>0.27</v>
      </c>
      <c r="J131" s="104">
        <f t="shared" si="54"/>
        <v>0</v>
      </c>
      <c r="K131" s="104">
        <f t="shared" si="54"/>
        <v>60.53</v>
      </c>
      <c r="L131" s="104">
        <f t="shared" si="54"/>
        <v>5161.43</v>
      </c>
      <c r="M131" s="104">
        <f t="shared" si="54"/>
        <v>1659.95</v>
      </c>
      <c r="N131" s="104">
        <f t="shared" si="54"/>
        <v>100.07</v>
      </c>
      <c r="O131" s="104">
        <f t="shared" si="54"/>
        <v>134.61000000000001</v>
      </c>
      <c r="P131" s="104">
        <f t="shared" si="54"/>
        <v>0</v>
      </c>
      <c r="R131" s="1">
        <f t="shared" si="40"/>
        <v>27682.620000000003</v>
      </c>
      <c r="T131" s="1">
        <f t="shared" si="41"/>
        <v>11204.98</v>
      </c>
      <c r="U131" s="1">
        <f t="shared" si="42"/>
        <v>1385.23</v>
      </c>
      <c r="V131" s="1">
        <f t="shared" si="43"/>
        <v>7975.5499999999993</v>
      </c>
      <c r="W131" s="1">
        <f t="shared" si="44"/>
        <v>0.27</v>
      </c>
      <c r="X131" s="1">
        <f t="shared" si="45"/>
        <v>60.53</v>
      </c>
      <c r="Y131" s="1">
        <f t="shared" si="46"/>
        <v>20626.559999999998</v>
      </c>
      <c r="Z131" s="1">
        <f t="shared" si="47"/>
        <v>5161.43</v>
      </c>
      <c r="AA131" s="1">
        <f t="shared" si="48"/>
        <v>1894.63</v>
      </c>
      <c r="AB131" s="1">
        <f t="shared" si="49"/>
        <v>7056.06</v>
      </c>
      <c r="AC131" s="1">
        <f t="shared" si="50"/>
        <v>27682.62</v>
      </c>
      <c r="AD131" s="1">
        <f t="shared" si="51"/>
        <v>0</v>
      </c>
    </row>
    <row r="132" spans="1:30" hidden="1" x14ac:dyDescent="0.2">
      <c r="A132" s="95">
        <f>'TAX Interest Rates'!A32</f>
        <v>43799</v>
      </c>
      <c r="B132" s="104">
        <f t="shared" ref="B132:P132" si="55">ROUND(-B20*B76,2)</f>
        <v>13414.96</v>
      </c>
      <c r="C132" s="104">
        <f t="shared" si="55"/>
        <v>0</v>
      </c>
      <c r="D132" s="104">
        <f t="shared" si="55"/>
        <v>693.55</v>
      </c>
      <c r="E132" s="104">
        <f t="shared" si="55"/>
        <v>204.59</v>
      </c>
      <c r="F132" s="104">
        <f t="shared" si="55"/>
        <v>0</v>
      </c>
      <c r="G132" s="104">
        <f t="shared" si="55"/>
        <v>7180.84</v>
      </c>
      <c r="H132" s="104">
        <f t="shared" si="55"/>
        <v>438.81</v>
      </c>
      <c r="I132" s="104">
        <f t="shared" si="55"/>
        <v>0</v>
      </c>
      <c r="J132" s="104">
        <f t="shared" si="55"/>
        <v>0</v>
      </c>
      <c r="K132" s="104">
        <f t="shared" si="55"/>
        <v>0</v>
      </c>
      <c r="L132" s="104">
        <f t="shared" si="55"/>
        <v>0.02</v>
      </c>
      <c r="M132" s="104">
        <f t="shared" si="55"/>
        <v>0</v>
      </c>
      <c r="N132" s="104">
        <f t="shared" si="55"/>
        <v>0</v>
      </c>
      <c r="O132" s="104">
        <f t="shared" si="55"/>
        <v>0</v>
      </c>
      <c r="P132" s="104">
        <f t="shared" si="55"/>
        <v>0</v>
      </c>
      <c r="R132" s="1">
        <f t="shared" si="40"/>
        <v>21932.77</v>
      </c>
      <c r="S132" s="1" t="s">
        <v>56</v>
      </c>
      <c r="T132" s="1">
        <f t="shared" si="41"/>
        <v>13414.96</v>
      </c>
      <c r="U132" s="1">
        <f t="shared" si="42"/>
        <v>898.14</v>
      </c>
      <c r="V132" s="1">
        <f t="shared" si="43"/>
        <v>7619.6500000000005</v>
      </c>
      <c r="W132" s="1">
        <f t="shared" si="44"/>
        <v>0</v>
      </c>
      <c r="X132" s="1">
        <f t="shared" si="45"/>
        <v>0</v>
      </c>
      <c r="Y132" s="1">
        <f t="shared" si="46"/>
        <v>21932.75</v>
      </c>
      <c r="Z132" s="1">
        <f t="shared" si="47"/>
        <v>0.02</v>
      </c>
      <c r="AA132" s="1">
        <f t="shared" si="48"/>
        <v>0</v>
      </c>
      <c r="AB132" s="1">
        <f t="shared" si="49"/>
        <v>0.02</v>
      </c>
      <c r="AC132" s="1">
        <f t="shared" si="50"/>
        <v>21932.77</v>
      </c>
      <c r="AD132" s="1">
        <f t="shared" si="51"/>
        <v>4.3655704051737132E-13</v>
      </c>
    </row>
    <row r="133" spans="1:30" hidden="1" x14ac:dyDescent="0.2">
      <c r="A133" s="95">
        <f>'TAX Interest Rates'!A32</f>
        <v>43799</v>
      </c>
      <c r="B133" s="104">
        <f t="shared" ref="B133:P133" si="56">ROUND(-B21*B77,2)</f>
        <v>7893.46</v>
      </c>
      <c r="C133" s="104">
        <f t="shared" si="56"/>
        <v>0</v>
      </c>
      <c r="D133" s="104">
        <f t="shared" si="56"/>
        <v>338.08</v>
      </c>
      <c r="E133" s="104">
        <f t="shared" si="56"/>
        <v>152.19</v>
      </c>
      <c r="F133" s="104">
        <f t="shared" si="56"/>
        <v>6.02</v>
      </c>
      <c r="G133" s="104">
        <f t="shared" si="56"/>
        <v>3936.09</v>
      </c>
      <c r="H133" s="104">
        <f t="shared" si="56"/>
        <v>1508.03</v>
      </c>
      <c r="I133" s="104">
        <f t="shared" si="56"/>
        <v>0.47</v>
      </c>
      <c r="J133" s="104">
        <f t="shared" si="56"/>
        <v>0</v>
      </c>
      <c r="K133" s="104">
        <f t="shared" si="56"/>
        <v>66.77</v>
      </c>
      <c r="L133" s="104">
        <f t="shared" si="56"/>
        <v>5064.3900000000003</v>
      </c>
      <c r="M133" s="104">
        <f t="shared" si="56"/>
        <v>2158.84</v>
      </c>
      <c r="N133" s="104">
        <f t="shared" si="56"/>
        <v>1012.52</v>
      </c>
      <c r="O133" s="104">
        <f t="shared" si="56"/>
        <v>35.92</v>
      </c>
      <c r="P133" s="104">
        <f t="shared" si="56"/>
        <v>0</v>
      </c>
      <c r="R133" s="1">
        <f t="shared" ref="R133" si="57">SUM(B133:Q133)</f>
        <v>22172.780000000002</v>
      </c>
      <c r="S133" s="1" t="s">
        <v>57</v>
      </c>
      <c r="T133" s="1">
        <f t="shared" ref="T133" si="58">+B133</f>
        <v>7893.46</v>
      </c>
      <c r="U133" s="1">
        <f t="shared" ref="U133" si="59">+C133+D133+E133</f>
        <v>490.27</v>
      </c>
      <c r="V133" s="1">
        <f t="shared" ref="V133" si="60">+F133+G133+H133</f>
        <v>5450.14</v>
      </c>
      <c r="W133" s="1">
        <f t="shared" ref="W133" si="61">+I133+J133</f>
        <v>0.47</v>
      </c>
      <c r="X133" s="1">
        <f t="shared" ref="X133" si="62">+K133</f>
        <v>66.77</v>
      </c>
      <c r="Y133" s="1">
        <f t="shared" ref="Y133" si="63">SUM(T133:X133)</f>
        <v>13901.109999999999</v>
      </c>
      <c r="Z133" s="1">
        <f t="shared" ref="Z133" si="64">+L133</f>
        <v>5064.3900000000003</v>
      </c>
      <c r="AA133" s="1">
        <f t="shared" ref="AA133" si="65">+M133+N133+O133+P133</f>
        <v>3207.28</v>
      </c>
      <c r="AB133" s="1">
        <f t="shared" ref="AB133" si="66">SUM(Z133:AA133)</f>
        <v>8271.67</v>
      </c>
      <c r="AC133" s="1">
        <f t="shared" ref="AC133" si="67">+Y133+AB133</f>
        <v>22172.78</v>
      </c>
      <c r="AD133" s="1">
        <f t="shared" ref="AD133" si="68">+R133-Y133-AB133</f>
        <v>0</v>
      </c>
    </row>
    <row r="134" spans="1:30" hidden="1" x14ac:dyDescent="0.2">
      <c r="A134" s="95">
        <f>'TAX Interest Rates'!A33</f>
        <v>43830</v>
      </c>
      <c r="B134" s="104">
        <f t="shared" ref="B134:P134" si="69">ROUND(-B22*B78,2)</f>
        <v>34771.519999999997</v>
      </c>
      <c r="C134" s="104">
        <f t="shared" si="69"/>
        <v>0</v>
      </c>
      <c r="D134" s="104">
        <f t="shared" si="69"/>
        <v>1365.73</v>
      </c>
      <c r="E134" s="104">
        <f t="shared" si="69"/>
        <v>291.24</v>
      </c>
      <c r="F134" s="104">
        <f t="shared" si="69"/>
        <v>6.92</v>
      </c>
      <c r="G134" s="104">
        <f t="shared" si="69"/>
        <v>18204.59</v>
      </c>
      <c r="H134" s="104">
        <f t="shared" si="69"/>
        <v>2337.73</v>
      </c>
      <c r="I134" s="104">
        <f t="shared" si="69"/>
        <v>0.25</v>
      </c>
      <c r="J134" s="104">
        <f t="shared" si="69"/>
        <v>0</v>
      </c>
      <c r="K134" s="104">
        <f t="shared" si="69"/>
        <v>73.66</v>
      </c>
      <c r="L134" s="104">
        <f t="shared" si="69"/>
        <v>5374.95</v>
      </c>
      <c r="M134" s="104">
        <f t="shared" si="69"/>
        <v>2409.5700000000002</v>
      </c>
      <c r="N134" s="104">
        <f t="shared" si="69"/>
        <v>2360.79</v>
      </c>
      <c r="O134" s="104">
        <f t="shared" si="69"/>
        <v>220.59</v>
      </c>
      <c r="P134" s="104">
        <f t="shared" si="69"/>
        <v>0</v>
      </c>
      <c r="R134" s="1">
        <f t="shared" si="40"/>
        <v>67417.539999999994</v>
      </c>
      <c r="T134" s="1">
        <f t="shared" si="41"/>
        <v>34771.519999999997</v>
      </c>
      <c r="U134" s="1">
        <f t="shared" si="42"/>
        <v>1656.97</v>
      </c>
      <c r="V134" s="1">
        <f t="shared" si="43"/>
        <v>20549.239999999998</v>
      </c>
      <c r="W134" s="1">
        <f t="shared" si="44"/>
        <v>0.25</v>
      </c>
      <c r="X134" s="1">
        <f t="shared" si="45"/>
        <v>73.66</v>
      </c>
      <c r="Y134" s="1">
        <f t="shared" si="46"/>
        <v>57051.64</v>
      </c>
      <c r="Z134" s="1">
        <f t="shared" si="47"/>
        <v>5374.95</v>
      </c>
      <c r="AA134" s="1">
        <f t="shared" si="48"/>
        <v>4990.9500000000007</v>
      </c>
      <c r="AB134" s="1">
        <f t="shared" si="49"/>
        <v>10365.900000000001</v>
      </c>
      <c r="AC134" s="1">
        <f t="shared" si="50"/>
        <v>67417.540000000008</v>
      </c>
      <c r="AD134" s="1">
        <f t="shared" si="51"/>
        <v>0</v>
      </c>
    </row>
    <row r="135" spans="1:30" hidden="1" x14ac:dyDescent="0.2">
      <c r="A135" s="95">
        <f>'TAX Interest Rates'!A34</f>
        <v>43861</v>
      </c>
      <c r="B135" s="104">
        <f t="shared" ref="B135:P135" si="70">ROUND(-B23*B79,2)</f>
        <v>42243.91</v>
      </c>
      <c r="C135" s="104">
        <f t="shared" si="70"/>
        <v>0</v>
      </c>
      <c r="D135" s="104">
        <f t="shared" si="70"/>
        <v>1461.85</v>
      </c>
      <c r="E135" s="104">
        <f t="shared" si="70"/>
        <v>340.69</v>
      </c>
      <c r="F135" s="104">
        <f t="shared" si="70"/>
        <v>7.43</v>
      </c>
      <c r="G135" s="104">
        <f t="shared" si="70"/>
        <v>22007.64</v>
      </c>
      <c r="H135" s="104">
        <f t="shared" si="70"/>
        <v>2614.52</v>
      </c>
      <c r="I135" s="104">
        <f t="shared" si="70"/>
        <v>0.08</v>
      </c>
      <c r="J135" s="104">
        <f t="shared" si="70"/>
        <v>0</v>
      </c>
      <c r="K135" s="104">
        <f t="shared" si="70"/>
        <v>74.3</v>
      </c>
      <c r="L135" s="104">
        <f t="shared" si="70"/>
        <v>5519.51</v>
      </c>
      <c r="M135" s="104">
        <f t="shared" si="70"/>
        <v>2077.46</v>
      </c>
      <c r="N135" s="104">
        <f t="shared" si="70"/>
        <v>1647.87</v>
      </c>
      <c r="O135" s="104">
        <f t="shared" si="70"/>
        <v>61.6</v>
      </c>
      <c r="P135" s="104">
        <f t="shared" si="70"/>
        <v>0</v>
      </c>
      <c r="R135" s="1">
        <f t="shared" ref="R135:R146" si="71">SUM(B135:Q135)</f>
        <v>78056.860000000015</v>
      </c>
      <c r="T135" s="1">
        <f t="shared" ref="T135:T146" si="72">+B135</f>
        <v>42243.91</v>
      </c>
      <c r="U135" s="1">
        <f t="shared" ref="U135:U146" si="73">+C135+D135+E135</f>
        <v>1802.54</v>
      </c>
      <c r="V135" s="1">
        <f t="shared" ref="V135:V146" si="74">+F135+G135+H135</f>
        <v>24629.59</v>
      </c>
      <c r="W135" s="1">
        <f t="shared" ref="W135:W146" si="75">+I135+J135</f>
        <v>0.08</v>
      </c>
      <c r="X135" s="1">
        <f t="shared" ref="X135:X146" si="76">+K135</f>
        <v>74.3</v>
      </c>
      <c r="Y135" s="1">
        <f t="shared" ref="Y135:Y146" si="77">SUM(T135:X135)</f>
        <v>68750.420000000013</v>
      </c>
      <c r="Z135" s="1">
        <f t="shared" ref="Z135:Z146" si="78">+L135</f>
        <v>5519.51</v>
      </c>
      <c r="AA135" s="1">
        <f t="shared" ref="AA135:AA146" si="79">+M135+N135+O135+P135</f>
        <v>3786.93</v>
      </c>
      <c r="AB135" s="1">
        <f t="shared" ref="AB135:AB146" si="80">SUM(Z135:AA135)</f>
        <v>9306.44</v>
      </c>
      <c r="AC135" s="1">
        <f t="shared" ref="AC135:AC146" si="81">+Y135+AB135</f>
        <v>78056.860000000015</v>
      </c>
      <c r="AD135" s="1">
        <f t="shared" ref="AD135:AD146" si="82">+R135-Y135-AB135</f>
        <v>0</v>
      </c>
    </row>
    <row r="136" spans="1:30" hidden="1" x14ac:dyDescent="0.2">
      <c r="A136" s="95">
        <f>'TAX Interest Rates'!A35</f>
        <v>43890</v>
      </c>
      <c r="B136" s="104">
        <f t="shared" ref="B136:P136" si="83">ROUND(-B24*B80,2)</f>
        <v>34488.35</v>
      </c>
      <c r="C136" s="104">
        <f t="shared" si="83"/>
        <v>0</v>
      </c>
      <c r="D136" s="104">
        <f t="shared" si="83"/>
        <v>1269.5999999999999</v>
      </c>
      <c r="E136" s="104">
        <f t="shared" si="83"/>
        <v>310.76</v>
      </c>
      <c r="F136" s="104">
        <f t="shared" si="83"/>
        <v>7.07</v>
      </c>
      <c r="G136" s="104">
        <f t="shared" si="83"/>
        <v>18195.77</v>
      </c>
      <c r="H136" s="104">
        <f t="shared" si="83"/>
        <v>2282.6799999999998</v>
      </c>
      <c r="I136" s="104">
        <f t="shared" si="83"/>
        <v>0.33</v>
      </c>
      <c r="J136" s="104">
        <f t="shared" si="83"/>
        <v>0</v>
      </c>
      <c r="K136" s="104">
        <f t="shared" si="83"/>
        <v>66.41</v>
      </c>
      <c r="L136" s="104">
        <f t="shared" si="83"/>
        <v>5160.47</v>
      </c>
      <c r="M136" s="104">
        <f t="shared" si="83"/>
        <v>2022.56</v>
      </c>
      <c r="N136" s="104">
        <f t="shared" si="83"/>
        <v>1264.58</v>
      </c>
      <c r="O136" s="104">
        <f t="shared" si="83"/>
        <v>129.47999999999999</v>
      </c>
      <c r="P136" s="104">
        <f t="shared" si="83"/>
        <v>0</v>
      </c>
      <c r="R136" s="1">
        <f t="shared" si="71"/>
        <v>65198.060000000012</v>
      </c>
      <c r="T136" s="1">
        <f t="shared" si="72"/>
        <v>34488.35</v>
      </c>
      <c r="U136" s="1">
        <f t="shared" si="73"/>
        <v>1580.36</v>
      </c>
      <c r="V136" s="1">
        <f t="shared" si="74"/>
        <v>20485.52</v>
      </c>
      <c r="W136" s="1">
        <f t="shared" si="75"/>
        <v>0.33</v>
      </c>
      <c r="X136" s="1">
        <f t="shared" si="76"/>
        <v>66.41</v>
      </c>
      <c r="Y136" s="1">
        <f t="shared" si="77"/>
        <v>56620.97</v>
      </c>
      <c r="Z136" s="1">
        <f t="shared" si="78"/>
        <v>5160.47</v>
      </c>
      <c r="AA136" s="1">
        <f t="shared" si="79"/>
        <v>3416.62</v>
      </c>
      <c r="AB136" s="1">
        <f t="shared" si="80"/>
        <v>8577.09</v>
      </c>
      <c r="AC136" s="1">
        <f t="shared" si="81"/>
        <v>65198.06</v>
      </c>
      <c r="AD136" s="1">
        <f t="shared" si="82"/>
        <v>0</v>
      </c>
    </row>
    <row r="137" spans="1:30" hidden="1" x14ac:dyDescent="0.2">
      <c r="A137" s="95">
        <f>'TAX Interest Rates'!A36</f>
        <v>43921</v>
      </c>
      <c r="B137" s="104">
        <f t="shared" ref="B137:P137" si="84">ROUND(-B25*B81,2)</f>
        <v>34742.550000000003</v>
      </c>
      <c r="C137" s="104">
        <f t="shared" si="84"/>
        <v>0</v>
      </c>
      <c r="D137" s="104">
        <f t="shared" si="84"/>
        <v>1302.02</v>
      </c>
      <c r="E137" s="104">
        <f t="shared" si="84"/>
        <v>235.08</v>
      </c>
      <c r="F137" s="104">
        <f t="shared" si="84"/>
        <v>7.45</v>
      </c>
      <c r="G137" s="104">
        <f t="shared" si="84"/>
        <v>17955.7</v>
      </c>
      <c r="H137" s="104">
        <f t="shared" si="84"/>
        <v>2396.62</v>
      </c>
      <c r="I137" s="104">
        <f t="shared" si="84"/>
        <v>0.17</v>
      </c>
      <c r="J137" s="104">
        <f t="shared" si="84"/>
        <v>0</v>
      </c>
      <c r="K137" s="104">
        <f t="shared" si="84"/>
        <v>66.489999999999995</v>
      </c>
      <c r="L137" s="104">
        <f t="shared" si="84"/>
        <v>5543.13</v>
      </c>
      <c r="M137" s="104">
        <f t="shared" si="84"/>
        <v>2664.04</v>
      </c>
      <c r="N137" s="104">
        <f t="shared" si="84"/>
        <v>2418.9499999999998</v>
      </c>
      <c r="O137" s="104">
        <f t="shared" si="84"/>
        <v>510.83</v>
      </c>
      <c r="P137" s="104">
        <f t="shared" si="84"/>
        <v>0</v>
      </c>
      <c r="R137" s="1">
        <f t="shared" si="71"/>
        <v>67843.03</v>
      </c>
      <c r="T137" s="1">
        <f t="shared" si="72"/>
        <v>34742.550000000003</v>
      </c>
      <c r="U137" s="1">
        <f t="shared" si="73"/>
        <v>1537.1</v>
      </c>
      <c r="V137" s="1">
        <f t="shared" si="74"/>
        <v>20359.77</v>
      </c>
      <c r="W137" s="1">
        <f t="shared" si="75"/>
        <v>0.17</v>
      </c>
      <c r="X137" s="1">
        <f t="shared" si="76"/>
        <v>66.489999999999995</v>
      </c>
      <c r="Y137" s="1">
        <f t="shared" si="77"/>
        <v>56706.079999999994</v>
      </c>
      <c r="Z137" s="1">
        <f t="shared" si="78"/>
        <v>5543.13</v>
      </c>
      <c r="AA137" s="1">
        <f t="shared" si="79"/>
        <v>5593.82</v>
      </c>
      <c r="AB137" s="1">
        <f t="shared" si="80"/>
        <v>11136.95</v>
      </c>
      <c r="AC137" s="1">
        <f t="shared" si="81"/>
        <v>67843.03</v>
      </c>
      <c r="AD137" s="1">
        <f t="shared" si="82"/>
        <v>0</v>
      </c>
    </row>
    <row r="138" spans="1:30" hidden="1" x14ac:dyDescent="0.2">
      <c r="A138" s="95">
        <f>'TAX Interest Rates'!A37</f>
        <v>43951</v>
      </c>
      <c r="B138" s="104">
        <f t="shared" ref="B138:P138" si="85">ROUND(-B26*B82,2)</f>
        <v>27442.69</v>
      </c>
      <c r="C138" s="104">
        <f t="shared" si="85"/>
        <v>0</v>
      </c>
      <c r="D138" s="104">
        <f t="shared" si="85"/>
        <v>1083.28</v>
      </c>
      <c r="E138" s="104">
        <f t="shared" si="85"/>
        <v>424.84</v>
      </c>
      <c r="F138" s="104">
        <f t="shared" si="85"/>
        <v>5.91</v>
      </c>
      <c r="G138" s="104">
        <f t="shared" si="85"/>
        <v>13002.94</v>
      </c>
      <c r="H138" s="104">
        <f t="shared" si="85"/>
        <v>1878.6</v>
      </c>
      <c r="I138" s="104">
        <f t="shared" si="85"/>
        <v>0.19</v>
      </c>
      <c r="J138" s="104">
        <f t="shared" si="85"/>
        <v>0</v>
      </c>
      <c r="K138" s="104">
        <f t="shared" si="85"/>
        <v>54.96</v>
      </c>
      <c r="L138" s="104">
        <f t="shared" si="85"/>
        <v>4616.1099999999997</v>
      </c>
      <c r="M138" s="104">
        <f t="shared" si="85"/>
        <v>2306.86</v>
      </c>
      <c r="N138" s="104">
        <f t="shared" si="85"/>
        <v>1870.33</v>
      </c>
      <c r="O138" s="104">
        <f t="shared" si="85"/>
        <v>583.24</v>
      </c>
      <c r="P138" s="104">
        <f t="shared" si="85"/>
        <v>0</v>
      </c>
      <c r="R138" s="1">
        <f t="shared" si="71"/>
        <v>53269.95</v>
      </c>
      <c r="T138" s="1">
        <f t="shared" si="72"/>
        <v>27442.69</v>
      </c>
      <c r="U138" s="1">
        <f t="shared" si="73"/>
        <v>1508.12</v>
      </c>
      <c r="V138" s="1">
        <f t="shared" si="74"/>
        <v>14887.45</v>
      </c>
      <c r="W138" s="1">
        <f t="shared" si="75"/>
        <v>0.19</v>
      </c>
      <c r="X138" s="1">
        <f t="shared" si="76"/>
        <v>54.96</v>
      </c>
      <c r="Y138" s="1">
        <f t="shared" si="77"/>
        <v>43893.409999999996</v>
      </c>
      <c r="Z138" s="1">
        <f t="shared" si="78"/>
        <v>4616.1099999999997</v>
      </c>
      <c r="AA138" s="1">
        <f t="shared" si="79"/>
        <v>4760.43</v>
      </c>
      <c r="AB138" s="1">
        <f t="shared" si="80"/>
        <v>9376.5400000000009</v>
      </c>
      <c r="AC138" s="1">
        <f t="shared" si="81"/>
        <v>53269.95</v>
      </c>
      <c r="AD138" s="1">
        <f t="shared" si="82"/>
        <v>0</v>
      </c>
    </row>
    <row r="139" spans="1:30" hidden="1" x14ac:dyDescent="0.2">
      <c r="A139" s="95">
        <f>'TAX Interest Rates'!A38</f>
        <v>43982</v>
      </c>
      <c r="B139" s="104">
        <f t="shared" ref="B139:P139" si="86">ROUND(-B27*B83,2)</f>
        <v>13414.72</v>
      </c>
      <c r="C139" s="104">
        <f t="shared" si="86"/>
        <v>0</v>
      </c>
      <c r="D139" s="104">
        <f t="shared" si="86"/>
        <v>684.68</v>
      </c>
      <c r="E139" s="104">
        <f t="shared" si="86"/>
        <v>176.13</v>
      </c>
      <c r="F139" s="104">
        <f t="shared" si="86"/>
        <v>3.37</v>
      </c>
      <c r="G139" s="104">
        <f t="shared" si="86"/>
        <v>6274.44</v>
      </c>
      <c r="H139" s="104">
        <f t="shared" si="86"/>
        <v>1176.8399999999999</v>
      </c>
      <c r="I139" s="104">
        <f t="shared" si="86"/>
        <v>0</v>
      </c>
      <c r="J139" s="104">
        <f t="shared" si="86"/>
        <v>0</v>
      </c>
      <c r="K139" s="104">
        <f t="shared" si="86"/>
        <v>40.450000000000003</v>
      </c>
      <c r="L139" s="104">
        <f t="shared" si="86"/>
        <v>4967.54</v>
      </c>
      <c r="M139" s="104">
        <f t="shared" si="86"/>
        <v>373.82</v>
      </c>
      <c r="N139" s="104">
        <f t="shared" si="86"/>
        <v>134.57</v>
      </c>
      <c r="O139" s="104">
        <f t="shared" si="86"/>
        <v>76.12</v>
      </c>
      <c r="P139" s="104">
        <f t="shared" si="86"/>
        <v>0</v>
      </c>
      <c r="R139" s="1">
        <f t="shared" si="71"/>
        <v>27322.68</v>
      </c>
      <c r="T139" s="1">
        <f t="shared" si="72"/>
        <v>13414.72</v>
      </c>
      <c r="U139" s="1">
        <f t="shared" si="73"/>
        <v>860.81</v>
      </c>
      <c r="V139" s="1">
        <f t="shared" si="74"/>
        <v>7454.65</v>
      </c>
      <c r="W139" s="1">
        <f t="shared" si="75"/>
        <v>0</v>
      </c>
      <c r="X139" s="1">
        <f t="shared" si="76"/>
        <v>40.450000000000003</v>
      </c>
      <c r="Y139" s="1">
        <f t="shared" si="77"/>
        <v>21770.63</v>
      </c>
      <c r="Z139" s="1">
        <f t="shared" si="78"/>
        <v>4967.54</v>
      </c>
      <c r="AA139" s="1">
        <f t="shared" si="79"/>
        <v>584.51</v>
      </c>
      <c r="AB139" s="1">
        <f t="shared" si="80"/>
        <v>5552.05</v>
      </c>
      <c r="AC139" s="1">
        <f t="shared" si="81"/>
        <v>27322.68</v>
      </c>
      <c r="AD139" s="1">
        <f t="shared" si="82"/>
        <v>0</v>
      </c>
    </row>
    <row r="140" spans="1:30" hidden="1" x14ac:dyDescent="0.2">
      <c r="A140" s="95">
        <f>'TAX Interest Rates'!A39</f>
        <v>44012</v>
      </c>
      <c r="B140" s="104">
        <f t="shared" ref="B140:P140" si="87">ROUND(-B28*B84,2)</f>
        <v>9860.7999999999993</v>
      </c>
      <c r="C140" s="104">
        <f t="shared" si="87"/>
        <v>0</v>
      </c>
      <c r="D140" s="104">
        <f t="shared" si="87"/>
        <v>611.74</v>
      </c>
      <c r="E140" s="104">
        <f t="shared" si="87"/>
        <v>342.51</v>
      </c>
      <c r="F140" s="104">
        <f t="shared" si="87"/>
        <v>3.19</v>
      </c>
      <c r="G140" s="104">
        <f t="shared" si="87"/>
        <v>4801.51</v>
      </c>
      <c r="H140" s="104">
        <f t="shared" si="87"/>
        <v>960.83</v>
      </c>
      <c r="I140" s="104">
        <f t="shared" si="87"/>
        <v>0</v>
      </c>
      <c r="J140" s="104">
        <f t="shared" si="87"/>
        <v>0</v>
      </c>
      <c r="K140" s="104">
        <f t="shared" si="87"/>
        <v>31.76</v>
      </c>
      <c r="L140" s="104">
        <f t="shared" si="87"/>
        <v>4702.54</v>
      </c>
      <c r="M140" s="104">
        <f t="shared" si="87"/>
        <v>512.70000000000005</v>
      </c>
      <c r="N140" s="104">
        <f t="shared" si="87"/>
        <v>222.18</v>
      </c>
      <c r="O140" s="104">
        <f t="shared" si="87"/>
        <v>125.19</v>
      </c>
      <c r="P140" s="104">
        <f t="shared" si="87"/>
        <v>0</v>
      </c>
      <c r="R140" s="1">
        <f t="shared" si="71"/>
        <v>22174.95</v>
      </c>
      <c r="T140" s="1">
        <f t="shared" si="72"/>
        <v>9860.7999999999993</v>
      </c>
      <c r="U140" s="1">
        <f t="shared" si="73"/>
        <v>954.25</v>
      </c>
      <c r="V140" s="1">
        <f t="shared" si="74"/>
        <v>5765.53</v>
      </c>
      <c r="W140" s="1">
        <f t="shared" si="75"/>
        <v>0</v>
      </c>
      <c r="X140" s="1">
        <f t="shared" si="76"/>
        <v>31.76</v>
      </c>
      <c r="Y140" s="1">
        <f t="shared" si="77"/>
        <v>16612.339999999997</v>
      </c>
      <c r="Z140" s="1">
        <f t="shared" si="78"/>
        <v>4702.54</v>
      </c>
      <c r="AA140" s="1">
        <f t="shared" si="79"/>
        <v>860.07000000000016</v>
      </c>
      <c r="AB140" s="1">
        <f t="shared" si="80"/>
        <v>5562.6100000000006</v>
      </c>
      <c r="AC140" s="1">
        <f t="shared" si="81"/>
        <v>22174.949999999997</v>
      </c>
      <c r="AD140" s="1">
        <f t="shared" si="82"/>
        <v>0</v>
      </c>
    </row>
    <row r="141" spans="1:30" hidden="1" x14ac:dyDescent="0.2">
      <c r="A141" s="95">
        <f>'TAX Interest Rates'!A40</f>
        <v>44043</v>
      </c>
      <c r="B141" s="104">
        <f t="shared" ref="B141:P141" si="88">ROUND(-B29*B85,2)</f>
        <v>7928.98</v>
      </c>
      <c r="C141" s="104">
        <f t="shared" si="88"/>
        <v>0</v>
      </c>
      <c r="D141" s="104">
        <f t="shared" si="88"/>
        <v>539.97</v>
      </c>
      <c r="E141" s="104">
        <f t="shared" si="88"/>
        <v>264.87</v>
      </c>
      <c r="F141" s="104">
        <f t="shared" si="88"/>
        <v>1.43</v>
      </c>
      <c r="G141" s="104">
        <f t="shared" si="88"/>
        <v>4311.4399999999996</v>
      </c>
      <c r="H141" s="104">
        <f t="shared" si="88"/>
        <v>961.75</v>
      </c>
      <c r="I141" s="104">
        <f t="shared" si="88"/>
        <v>0</v>
      </c>
      <c r="J141" s="104">
        <f t="shared" si="88"/>
        <v>0</v>
      </c>
      <c r="K141" s="104">
        <f t="shared" si="88"/>
        <v>30.85</v>
      </c>
      <c r="L141" s="104">
        <f t="shared" si="88"/>
        <v>4924.37</v>
      </c>
      <c r="M141" s="104">
        <f t="shared" si="88"/>
        <v>1678.6</v>
      </c>
      <c r="N141" s="104">
        <f t="shared" si="88"/>
        <v>880.64</v>
      </c>
      <c r="O141" s="104">
        <f t="shared" si="88"/>
        <v>337.33</v>
      </c>
      <c r="P141" s="104">
        <f t="shared" si="88"/>
        <v>0</v>
      </c>
      <c r="R141" s="1">
        <f t="shared" si="71"/>
        <v>21860.23</v>
      </c>
      <c r="T141" s="1">
        <f t="shared" si="72"/>
        <v>7928.98</v>
      </c>
      <c r="U141" s="1">
        <f t="shared" si="73"/>
        <v>804.84</v>
      </c>
      <c r="V141" s="1">
        <f t="shared" si="74"/>
        <v>5274.62</v>
      </c>
      <c r="W141" s="1">
        <f t="shared" si="75"/>
        <v>0</v>
      </c>
      <c r="X141" s="1">
        <f t="shared" si="76"/>
        <v>30.85</v>
      </c>
      <c r="Y141" s="1">
        <f t="shared" si="77"/>
        <v>14039.289999999999</v>
      </c>
      <c r="Z141" s="1">
        <f t="shared" si="78"/>
        <v>4924.37</v>
      </c>
      <c r="AA141" s="1">
        <f t="shared" si="79"/>
        <v>2896.5699999999997</v>
      </c>
      <c r="AB141" s="1">
        <f t="shared" si="80"/>
        <v>7820.94</v>
      </c>
      <c r="AC141" s="1">
        <f t="shared" si="81"/>
        <v>21860.23</v>
      </c>
      <c r="AD141" s="1">
        <f t="shared" si="82"/>
        <v>0</v>
      </c>
    </row>
    <row r="142" spans="1:30" hidden="1" x14ac:dyDescent="0.2">
      <c r="A142" s="95">
        <f>'TAX Interest Rates'!A41</f>
        <v>44074</v>
      </c>
      <c r="B142" s="104">
        <f t="shared" ref="B142:P142" si="89">ROUND(-B30*B86,2)</f>
        <v>5382.76</v>
      </c>
      <c r="C142" s="104">
        <f t="shared" si="89"/>
        <v>0</v>
      </c>
      <c r="D142" s="104">
        <f t="shared" si="89"/>
        <v>477.45</v>
      </c>
      <c r="E142" s="104">
        <f t="shared" si="89"/>
        <v>236</v>
      </c>
      <c r="F142" s="104">
        <f t="shared" si="89"/>
        <v>1.24</v>
      </c>
      <c r="G142" s="104">
        <f t="shared" si="89"/>
        <v>3292.01</v>
      </c>
      <c r="H142" s="104">
        <f t="shared" si="89"/>
        <v>755.98</v>
      </c>
      <c r="I142" s="104">
        <f t="shared" si="89"/>
        <v>0</v>
      </c>
      <c r="J142" s="104">
        <f t="shared" si="89"/>
        <v>0</v>
      </c>
      <c r="K142" s="104">
        <f t="shared" si="89"/>
        <v>29.15</v>
      </c>
      <c r="L142" s="104">
        <f t="shared" si="89"/>
        <v>5497.92</v>
      </c>
      <c r="M142" s="104">
        <f t="shared" si="89"/>
        <v>2236.71</v>
      </c>
      <c r="N142" s="104">
        <f t="shared" si="89"/>
        <v>1747.29</v>
      </c>
      <c r="O142" s="104">
        <f t="shared" si="89"/>
        <v>736.94</v>
      </c>
      <c r="P142" s="104">
        <f t="shared" si="89"/>
        <v>0</v>
      </c>
      <c r="R142" s="1">
        <f t="shared" si="71"/>
        <v>20393.449999999997</v>
      </c>
      <c r="T142" s="1">
        <f t="shared" si="72"/>
        <v>5382.76</v>
      </c>
      <c r="U142" s="1">
        <f t="shared" si="73"/>
        <v>713.45</v>
      </c>
      <c r="V142" s="1">
        <f t="shared" si="74"/>
        <v>4049.23</v>
      </c>
      <c r="W142" s="1">
        <f t="shared" si="75"/>
        <v>0</v>
      </c>
      <c r="X142" s="1">
        <f t="shared" si="76"/>
        <v>29.15</v>
      </c>
      <c r="Y142" s="1">
        <f t="shared" si="77"/>
        <v>10174.59</v>
      </c>
      <c r="Z142" s="1">
        <f t="shared" si="78"/>
        <v>5497.92</v>
      </c>
      <c r="AA142" s="1">
        <f t="shared" si="79"/>
        <v>4720.9400000000005</v>
      </c>
      <c r="AB142" s="1">
        <f t="shared" si="80"/>
        <v>10218.86</v>
      </c>
      <c r="AC142" s="1">
        <f t="shared" si="81"/>
        <v>20393.45</v>
      </c>
      <c r="AD142" s="1">
        <f t="shared" si="82"/>
        <v>0</v>
      </c>
    </row>
    <row r="143" spans="1:30" hidden="1" x14ac:dyDescent="0.2">
      <c r="A143" s="95">
        <f>'TAX Interest Rates'!A42</f>
        <v>44104</v>
      </c>
      <c r="B143" s="104">
        <f t="shared" ref="B143:P143" si="90">ROUND(-B31*B87,2)</f>
        <v>5808.51</v>
      </c>
      <c r="C143" s="104">
        <f t="shared" si="90"/>
        <v>0</v>
      </c>
      <c r="D143" s="104">
        <f t="shared" si="90"/>
        <v>595.97</v>
      </c>
      <c r="E143" s="104">
        <f t="shared" si="90"/>
        <v>270</v>
      </c>
      <c r="F143" s="104">
        <f t="shared" si="90"/>
        <v>0.98</v>
      </c>
      <c r="G143" s="104">
        <f t="shared" si="90"/>
        <v>3724.59</v>
      </c>
      <c r="H143" s="104">
        <f t="shared" si="90"/>
        <v>737.51</v>
      </c>
      <c r="I143" s="104">
        <f t="shared" si="90"/>
        <v>0</v>
      </c>
      <c r="J143" s="104">
        <f t="shared" si="90"/>
        <v>0</v>
      </c>
      <c r="K143" s="104">
        <f t="shared" si="90"/>
        <v>27.42</v>
      </c>
      <c r="L143" s="104">
        <f t="shared" si="90"/>
        <v>5820.91</v>
      </c>
      <c r="M143" s="104">
        <f t="shared" si="90"/>
        <v>2390.4899999999998</v>
      </c>
      <c r="N143" s="104">
        <f t="shared" si="90"/>
        <v>2137.77</v>
      </c>
      <c r="O143" s="104">
        <f t="shared" si="90"/>
        <v>924.1</v>
      </c>
      <c r="P143" s="104">
        <f t="shared" si="90"/>
        <v>0</v>
      </c>
      <c r="R143" s="1">
        <f t="shared" si="71"/>
        <v>22438.249999999996</v>
      </c>
      <c r="T143" s="1">
        <f t="shared" si="72"/>
        <v>5808.51</v>
      </c>
      <c r="U143" s="1">
        <f t="shared" si="73"/>
        <v>865.97</v>
      </c>
      <c r="V143" s="1">
        <f t="shared" si="74"/>
        <v>4463.08</v>
      </c>
      <c r="W143" s="1">
        <f t="shared" si="75"/>
        <v>0</v>
      </c>
      <c r="X143" s="1">
        <f t="shared" si="76"/>
        <v>27.42</v>
      </c>
      <c r="Y143" s="1">
        <f t="shared" si="77"/>
        <v>11164.980000000001</v>
      </c>
      <c r="Z143" s="1">
        <f t="shared" si="78"/>
        <v>5820.91</v>
      </c>
      <c r="AA143" s="1">
        <f t="shared" si="79"/>
        <v>5452.3600000000006</v>
      </c>
      <c r="AB143" s="1">
        <f t="shared" si="80"/>
        <v>11273.27</v>
      </c>
      <c r="AC143" s="1">
        <f t="shared" si="81"/>
        <v>22438.25</v>
      </c>
      <c r="AD143" s="1">
        <f t="shared" si="82"/>
        <v>0</v>
      </c>
    </row>
    <row r="144" spans="1:30" hidden="1" x14ac:dyDescent="0.2">
      <c r="A144" s="95">
        <f>'TAX Interest Rates'!A43</f>
        <v>44135</v>
      </c>
      <c r="B144" s="104">
        <f t="shared" ref="B144:P144" si="91">ROUND(-B32*B88,2)</f>
        <v>8337.9500000000007</v>
      </c>
      <c r="C144" s="104">
        <f t="shared" si="91"/>
        <v>0</v>
      </c>
      <c r="D144" s="104">
        <f t="shared" si="91"/>
        <v>960.71</v>
      </c>
      <c r="E144" s="104">
        <f t="shared" si="91"/>
        <v>295.47000000000003</v>
      </c>
      <c r="F144" s="104">
        <f t="shared" si="91"/>
        <v>5</v>
      </c>
      <c r="G144" s="104">
        <f t="shared" si="91"/>
        <v>4839.07</v>
      </c>
      <c r="H144" s="104">
        <f t="shared" si="91"/>
        <v>400.1</v>
      </c>
      <c r="I144" s="104">
        <f t="shared" si="91"/>
        <v>0</v>
      </c>
      <c r="J144" s="104">
        <f t="shared" si="91"/>
        <v>0</v>
      </c>
      <c r="K144" s="104">
        <f t="shared" si="91"/>
        <v>51.86</v>
      </c>
      <c r="L144" s="104">
        <f t="shared" si="91"/>
        <v>6271.32</v>
      </c>
      <c r="M144" s="104">
        <f t="shared" si="91"/>
        <v>1608.04</v>
      </c>
      <c r="N144" s="104">
        <f t="shared" si="91"/>
        <v>1405.61</v>
      </c>
      <c r="O144" s="104">
        <f t="shared" si="91"/>
        <v>270.39999999999998</v>
      </c>
      <c r="P144" s="104">
        <f t="shared" si="91"/>
        <v>0</v>
      </c>
      <c r="R144" s="1">
        <f t="shared" si="71"/>
        <v>24445.530000000002</v>
      </c>
      <c r="T144" s="1">
        <f t="shared" si="72"/>
        <v>8337.9500000000007</v>
      </c>
      <c r="U144" s="1">
        <f t="shared" si="73"/>
        <v>1256.18</v>
      </c>
      <c r="V144" s="1">
        <f t="shared" si="74"/>
        <v>5244.17</v>
      </c>
      <c r="W144" s="1">
        <f t="shared" si="75"/>
        <v>0</v>
      </c>
      <c r="X144" s="1">
        <f t="shared" si="76"/>
        <v>51.86</v>
      </c>
      <c r="Y144" s="1">
        <f t="shared" si="77"/>
        <v>14890.160000000002</v>
      </c>
      <c r="Z144" s="1">
        <f t="shared" si="78"/>
        <v>6271.32</v>
      </c>
      <c r="AA144" s="1">
        <f t="shared" si="79"/>
        <v>3284.0499999999997</v>
      </c>
      <c r="AB144" s="1">
        <f t="shared" si="80"/>
        <v>9555.369999999999</v>
      </c>
      <c r="AC144" s="1">
        <f t="shared" si="81"/>
        <v>24445.53</v>
      </c>
      <c r="AD144" s="1">
        <f t="shared" si="82"/>
        <v>0</v>
      </c>
    </row>
    <row r="145" spans="1:30" hidden="1" x14ac:dyDescent="0.2">
      <c r="A145" s="95">
        <f>'TAX Interest Rates'!A44</f>
        <v>44165</v>
      </c>
      <c r="B145" s="104">
        <f>ROUND(-B33*B88,2)</f>
        <v>13567.29</v>
      </c>
      <c r="C145" s="104">
        <f t="shared" ref="C145:P145" si="92">ROUND(-C33*C88,2)</f>
        <v>0</v>
      </c>
      <c r="D145" s="104">
        <f t="shared" si="92"/>
        <v>590.63</v>
      </c>
      <c r="E145" s="104">
        <f t="shared" si="92"/>
        <v>177.01</v>
      </c>
      <c r="F145" s="104">
        <f t="shared" si="92"/>
        <v>0</v>
      </c>
      <c r="G145" s="104">
        <f t="shared" si="92"/>
        <v>6731.14</v>
      </c>
      <c r="H145" s="104">
        <f t="shared" si="92"/>
        <v>450.83</v>
      </c>
      <c r="I145" s="104">
        <f t="shared" si="92"/>
        <v>0</v>
      </c>
      <c r="J145" s="104">
        <f t="shared" si="92"/>
        <v>0</v>
      </c>
      <c r="K145" s="104">
        <f t="shared" si="92"/>
        <v>0</v>
      </c>
      <c r="L145" s="104">
        <f t="shared" si="92"/>
        <v>-7.32</v>
      </c>
      <c r="M145" s="104">
        <f t="shared" si="92"/>
        <v>0</v>
      </c>
      <c r="N145" s="104">
        <f t="shared" si="92"/>
        <v>0</v>
      </c>
      <c r="O145" s="104">
        <f t="shared" si="92"/>
        <v>0</v>
      </c>
      <c r="P145" s="104">
        <f t="shared" si="92"/>
        <v>0</v>
      </c>
      <c r="R145" s="1">
        <f t="shared" si="71"/>
        <v>21509.58</v>
      </c>
      <c r="S145" s="1" t="s">
        <v>56</v>
      </c>
      <c r="T145" s="1">
        <f t="shared" si="72"/>
        <v>13567.29</v>
      </c>
      <c r="U145" s="1">
        <f t="shared" si="73"/>
        <v>767.64</v>
      </c>
      <c r="V145" s="1">
        <f t="shared" si="74"/>
        <v>7181.97</v>
      </c>
      <c r="W145" s="1">
        <f t="shared" si="75"/>
        <v>0</v>
      </c>
      <c r="X145" s="1">
        <f t="shared" si="76"/>
        <v>0</v>
      </c>
      <c r="Y145" s="1">
        <f t="shared" si="77"/>
        <v>21516.9</v>
      </c>
      <c r="Z145" s="1">
        <f t="shared" si="78"/>
        <v>-7.32</v>
      </c>
      <c r="AA145" s="1">
        <f t="shared" si="79"/>
        <v>0</v>
      </c>
      <c r="AB145" s="1">
        <f t="shared" si="80"/>
        <v>-7.32</v>
      </c>
      <c r="AC145" s="1">
        <f t="shared" si="81"/>
        <v>21509.58</v>
      </c>
      <c r="AD145" s="1">
        <f t="shared" si="82"/>
        <v>2.9132252166164108E-13</v>
      </c>
    </row>
    <row r="146" spans="1:30" hidden="1" x14ac:dyDescent="0.2">
      <c r="A146" s="95">
        <f>'TAX Interest Rates'!A44</f>
        <v>44165</v>
      </c>
      <c r="B146" s="104">
        <f>ROUND(-B34*B89,2)</f>
        <v>6274.33</v>
      </c>
      <c r="C146" s="104">
        <f t="shared" ref="C146:P146" si="93">ROUND(-C34*C89,2)</f>
        <v>0</v>
      </c>
      <c r="D146" s="104">
        <f t="shared" si="93"/>
        <v>219.34</v>
      </c>
      <c r="E146" s="104">
        <f t="shared" si="93"/>
        <v>75.89</v>
      </c>
      <c r="F146" s="104">
        <f t="shared" si="93"/>
        <v>7.64</v>
      </c>
      <c r="G146" s="104">
        <f t="shared" si="93"/>
        <v>2780.79</v>
      </c>
      <c r="H146" s="104">
        <f t="shared" si="93"/>
        <v>238.93</v>
      </c>
      <c r="I146" s="104">
        <f t="shared" si="93"/>
        <v>0</v>
      </c>
      <c r="J146" s="104">
        <f t="shared" si="93"/>
        <v>0</v>
      </c>
      <c r="K146" s="104">
        <f t="shared" si="93"/>
        <v>57.28</v>
      </c>
      <c r="L146" s="104">
        <f t="shared" si="93"/>
        <v>5730.57</v>
      </c>
      <c r="M146" s="104">
        <f t="shared" si="93"/>
        <v>1127.47</v>
      </c>
      <c r="N146" s="104">
        <f t="shared" si="93"/>
        <v>362.89</v>
      </c>
      <c r="O146" s="104">
        <f t="shared" si="93"/>
        <v>137.46</v>
      </c>
      <c r="P146" s="104">
        <f t="shared" si="93"/>
        <v>0</v>
      </c>
      <c r="R146" s="1">
        <f t="shared" si="71"/>
        <v>17012.59</v>
      </c>
      <c r="S146" s="1" t="s">
        <v>57</v>
      </c>
      <c r="T146" s="1">
        <f t="shared" si="72"/>
        <v>6274.33</v>
      </c>
      <c r="U146" s="1">
        <f t="shared" si="73"/>
        <v>295.23</v>
      </c>
      <c r="V146" s="1">
        <f t="shared" si="74"/>
        <v>3027.3599999999997</v>
      </c>
      <c r="W146" s="1">
        <f t="shared" si="75"/>
        <v>0</v>
      </c>
      <c r="X146" s="1">
        <f t="shared" si="76"/>
        <v>57.28</v>
      </c>
      <c r="Y146" s="1">
        <f t="shared" si="77"/>
        <v>9654.1999999999989</v>
      </c>
      <c r="Z146" s="1">
        <f t="shared" si="78"/>
        <v>5730.57</v>
      </c>
      <c r="AA146" s="1">
        <f t="shared" si="79"/>
        <v>1627.8200000000002</v>
      </c>
      <c r="AB146" s="1">
        <f t="shared" si="80"/>
        <v>7358.3899999999994</v>
      </c>
      <c r="AC146" s="1">
        <f t="shared" si="81"/>
        <v>17012.589999999997</v>
      </c>
      <c r="AD146" s="1">
        <f t="shared" si="82"/>
        <v>0</v>
      </c>
    </row>
    <row r="147" spans="1:30" hidden="1" x14ac:dyDescent="0.2">
      <c r="A147" s="95">
        <f>'TAX Interest Rates'!A45</f>
        <v>44196</v>
      </c>
      <c r="B147" s="104">
        <f>ROUND(-B35*B90,2)</f>
        <v>32516.62</v>
      </c>
      <c r="C147" s="104">
        <f t="shared" ref="C147:P147" si="94">ROUND(-C35*C90,2)</f>
        <v>0</v>
      </c>
      <c r="D147" s="104">
        <f t="shared" si="94"/>
        <v>1166.44</v>
      </c>
      <c r="E147" s="104">
        <f t="shared" si="94"/>
        <v>293.98</v>
      </c>
      <c r="F147" s="104">
        <f t="shared" si="94"/>
        <v>10.17</v>
      </c>
      <c r="G147" s="104">
        <f t="shared" si="94"/>
        <v>16269.66</v>
      </c>
      <c r="H147" s="104">
        <f t="shared" si="94"/>
        <v>1051.56</v>
      </c>
      <c r="I147" s="104">
        <f t="shared" si="94"/>
        <v>0</v>
      </c>
      <c r="J147" s="104">
        <f t="shared" si="94"/>
        <v>0</v>
      </c>
      <c r="K147" s="104">
        <f t="shared" si="94"/>
        <v>63.56</v>
      </c>
      <c r="L147" s="104">
        <f t="shared" si="94"/>
        <v>5586.6</v>
      </c>
      <c r="M147" s="104">
        <f t="shared" si="94"/>
        <v>2002.98</v>
      </c>
      <c r="N147" s="104">
        <f t="shared" si="94"/>
        <v>1376.5</v>
      </c>
      <c r="O147" s="104">
        <f t="shared" si="94"/>
        <v>114.67</v>
      </c>
      <c r="P147" s="104">
        <f t="shared" si="94"/>
        <v>0</v>
      </c>
      <c r="R147" s="1">
        <f t="shared" ref="R147:R157" si="95">SUM(B147:Q147)</f>
        <v>60452.739999999991</v>
      </c>
      <c r="T147" s="1">
        <f t="shared" ref="T147:T157" si="96">+B147</f>
        <v>32516.62</v>
      </c>
      <c r="U147" s="1">
        <f t="shared" ref="U147:U157" si="97">+C147+D147+E147</f>
        <v>1460.42</v>
      </c>
      <c r="V147" s="1">
        <f t="shared" ref="V147:V157" si="98">+F147+G147+H147</f>
        <v>17331.39</v>
      </c>
      <c r="W147" s="1">
        <f t="shared" ref="W147:W157" si="99">+I147+J147</f>
        <v>0</v>
      </c>
      <c r="X147" s="1">
        <f t="shared" ref="X147:X157" si="100">+K147</f>
        <v>63.56</v>
      </c>
      <c r="Y147" s="1">
        <f t="shared" ref="Y147:Y157" si="101">SUM(T147:X147)</f>
        <v>51371.99</v>
      </c>
      <c r="Z147" s="1">
        <f t="shared" ref="Z147:Z157" si="102">+L147</f>
        <v>5586.6</v>
      </c>
      <c r="AA147" s="1">
        <f t="shared" ref="AA147:AA157" si="103">+M147+N147+O147+P147</f>
        <v>3494.15</v>
      </c>
      <c r="AB147" s="1">
        <f t="shared" ref="AB147:AB157" si="104">SUM(Z147:AA147)</f>
        <v>9080.75</v>
      </c>
      <c r="AC147" s="1">
        <f t="shared" ref="AC147:AC157" si="105">+Y147+AB147</f>
        <v>60452.74</v>
      </c>
      <c r="AD147" s="1">
        <f t="shared" ref="AD147:AD157" si="106">+R147-Y147-AB147</f>
        <v>0</v>
      </c>
    </row>
    <row r="148" spans="1:30" hidden="1" x14ac:dyDescent="0.2">
      <c r="A148" s="95">
        <f>'TAX Interest Rates'!A46</f>
        <v>44227</v>
      </c>
      <c r="B148" s="104">
        <f t="shared" ref="B148:P148" si="107">ROUND(-B36*B91,2)</f>
        <v>34646.129999999997</v>
      </c>
      <c r="C148" s="104">
        <f t="shared" si="107"/>
        <v>0</v>
      </c>
      <c r="D148" s="104">
        <f t="shared" si="107"/>
        <v>1087.45</v>
      </c>
      <c r="E148" s="104">
        <f t="shared" si="107"/>
        <v>301.95999999999998</v>
      </c>
      <c r="F148" s="104">
        <f t="shared" si="107"/>
        <v>17.14</v>
      </c>
      <c r="G148" s="104">
        <f t="shared" si="107"/>
        <v>17347.48</v>
      </c>
      <c r="H148" s="104">
        <f t="shared" si="107"/>
        <v>1022.02</v>
      </c>
      <c r="I148" s="104">
        <f t="shared" si="107"/>
        <v>0</v>
      </c>
      <c r="J148" s="104">
        <f t="shared" si="107"/>
        <v>0</v>
      </c>
      <c r="K148" s="104">
        <f t="shared" si="107"/>
        <v>64.650000000000006</v>
      </c>
      <c r="L148" s="104">
        <f t="shared" si="107"/>
        <v>5930.17</v>
      </c>
      <c r="M148" s="104">
        <f t="shared" si="107"/>
        <v>1849.98</v>
      </c>
      <c r="N148" s="104">
        <f t="shared" si="107"/>
        <v>778.62</v>
      </c>
      <c r="O148" s="104">
        <f t="shared" si="107"/>
        <v>37.89</v>
      </c>
      <c r="P148" s="104">
        <f t="shared" si="107"/>
        <v>0</v>
      </c>
      <c r="R148" s="1">
        <f t="shared" si="95"/>
        <v>63083.489999999991</v>
      </c>
      <c r="T148" s="1">
        <f t="shared" si="96"/>
        <v>34646.129999999997</v>
      </c>
      <c r="U148" s="1">
        <f t="shared" si="97"/>
        <v>1389.41</v>
      </c>
      <c r="V148" s="1">
        <f t="shared" si="98"/>
        <v>18386.64</v>
      </c>
      <c r="W148" s="1">
        <f t="shared" si="99"/>
        <v>0</v>
      </c>
      <c r="X148" s="1">
        <f t="shared" si="100"/>
        <v>64.650000000000006</v>
      </c>
      <c r="Y148" s="1">
        <f t="shared" si="101"/>
        <v>54486.83</v>
      </c>
      <c r="Z148" s="1">
        <f t="shared" si="102"/>
        <v>5930.17</v>
      </c>
      <c r="AA148" s="1">
        <f t="shared" si="103"/>
        <v>2666.49</v>
      </c>
      <c r="AB148" s="1">
        <f t="shared" si="104"/>
        <v>8596.66</v>
      </c>
      <c r="AC148" s="1">
        <f t="shared" si="105"/>
        <v>63083.490000000005</v>
      </c>
      <c r="AD148" s="1">
        <f t="shared" si="106"/>
        <v>0</v>
      </c>
    </row>
    <row r="149" spans="1:30" hidden="1" x14ac:dyDescent="0.2">
      <c r="A149" s="95">
        <f>'TAX Interest Rates'!A47</f>
        <v>44255</v>
      </c>
      <c r="B149" s="104">
        <f t="shared" ref="B149:P149" si="108">ROUND(-B37*B92,2)</f>
        <v>32735.18</v>
      </c>
      <c r="C149" s="104">
        <f t="shared" si="108"/>
        <v>0</v>
      </c>
      <c r="D149" s="104">
        <f t="shared" si="108"/>
        <v>1054.47</v>
      </c>
      <c r="E149" s="104">
        <f t="shared" si="108"/>
        <v>260.75</v>
      </c>
      <c r="F149" s="104">
        <f t="shared" si="108"/>
        <v>10.199999999999999</v>
      </c>
      <c r="G149" s="104">
        <f t="shared" si="108"/>
        <v>16267.86</v>
      </c>
      <c r="H149" s="104">
        <f t="shared" si="108"/>
        <v>989.57</v>
      </c>
      <c r="I149" s="104">
        <f t="shared" si="108"/>
        <v>0</v>
      </c>
      <c r="J149" s="104">
        <f t="shared" si="108"/>
        <v>0</v>
      </c>
      <c r="K149" s="104">
        <f t="shared" si="108"/>
        <v>62.36</v>
      </c>
      <c r="L149" s="104">
        <f t="shared" si="108"/>
        <v>5437.43</v>
      </c>
      <c r="M149" s="104">
        <f t="shared" si="108"/>
        <v>1570.79</v>
      </c>
      <c r="N149" s="104">
        <f t="shared" si="108"/>
        <v>807.33</v>
      </c>
      <c r="O149" s="104">
        <f t="shared" si="108"/>
        <v>147.34</v>
      </c>
      <c r="P149" s="104">
        <f t="shared" si="108"/>
        <v>0</v>
      </c>
      <c r="R149" s="1">
        <f t="shared" si="95"/>
        <v>59343.28</v>
      </c>
      <c r="T149" s="1">
        <f t="shared" si="96"/>
        <v>32735.18</v>
      </c>
      <c r="U149" s="1">
        <f t="shared" si="97"/>
        <v>1315.22</v>
      </c>
      <c r="V149" s="1">
        <f t="shared" si="98"/>
        <v>17267.63</v>
      </c>
      <c r="W149" s="1">
        <f t="shared" si="99"/>
        <v>0</v>
      </c>
      <c r="X149" s="1">
        <f t="shared" si="100"/>
        <v>62.36</v>
      </c>
      <c r="Y149" s="1">
        <f t="shared" si="101"/>
        <v>51380.39</v>
      </c>
      <c r="Z149" s="1">
        <f t="shared" si="102"/>
        <v>5437.43</v>
      </c>
      <c r="AA149" s="1">
        <f t="shared" si="103"/>
        <v>2525.46</v>
      </c>
      <c r="AB149" s="1">
        <f t="shared" si="104"/>
        <v>7962.89</v>
      </c>
      <c r="AC149" s="1">
        <f t="shared" si="105"/>
        <v>59343.28</v>
      </c>
      <c r="AD149" s="1">
        <f t="shared" si="106"/>
        <v>0</v>
      </c>
    </row>
    <row r="150" spans="1:30" hidden="1" x14ac:dyDescent="0.2">
      <c r="A150" s="95">
        <f>'TAX Interest Rates'!A48</f>
        <v>44286</v>
      </c>
      <c r="B150" s="104">
        <f t="shared" ref="B150:P150" si="109">ROUND(-B38*B93,2)</f>
        <v>34631.089999999997</v>
      </c>
      <c r="C150" s="104">
        <f t="shared" si="109"/>
        <v>0</v>
      </c>
      <c r="D150" s="104">
        <f t="shared" si="109"/>
        <v>1171.97</v>
      </c>
      <c r="E150" s="104">
        <f t="shared" si="109"/>
        <v>319.27</v>
      </c>
      <c r="F150" s="104">
        <f t="shared" si="109"/>
        <v>5.4</v>
      </c>
      <c r="G150" s="104">
        <f t="shared" si="109"/>
        <v>17764.64</v>
      </c>
      <c r="H150" s="104">
        <f t="shared" si="109"/>
        <v>1039.1099999999999</v>
      </c>
      <c r="I150" s="104">
        <f t="shared" si="109"/>
        <v>0</v>
      </c>
      <c r="J150" s="104">
        <f t="shared" si="109"/>
        <v>0</v>
      </c>
      <c r="K150" s="104">
        <f t="shared" si="109"/>
        <v>60.99</v>
      </c>
      <c r="L150" s="104">
        <f t="shared" si="109"/>
        <v>5810.7</v>
      </c>
      <c r="M150" s="104">
        <f t="shared" si="109"/>
        <v>2257.58</v>
      </c>
      <c r="N150" s="104">
        <f t="shared" si="109"/>
        <v>1646.08</v>
      </c>
      <c r="O150" s="104">
        <f t="shared" si="109"/>
        <v>310.35000000000002</v>
      </c>
      <c r="P150" s="104">
        <f t="shared" si="109"/>
        <v>0</v>
      </c>
      <c r="R150" s="1">
        <f t="shared" si="95"/>
        <v>65017.179999999993</v>
      </c>
      <c r="T150" s="1">
        <f t="shared" si="96"/>
        <v>34631.089999999997</v>
      </c>
      <c r="U150" s="1">
        <f t="shared" si="97"/>
        <v>1491.24</v>
      </c>
      <c r="V150" s="1">
        <f t="shared" si="98"/>
        <v>18809.150000000001</v>
      </c>
      <c r="W150" s="1">
        <f t="shared" si="99"/>
        <v>0</v>
      </c>
      <c r="X150" s="1">
        <f t="shared" si="100"/>
        <v>60.99</v>
      </c>
      <c r="Y150" s="1">
        <f t="shared" si="101"/>
        <v>54992.469999999994</v>
      </c>
      <c r="Z150" s="1">
        <f t="shared" si="102"/>
        <v>5810.7</v>
      </c>
      <c r="AA150" s="1">
        <f t="shared" si="103"/>
        <v>4214.01</v>
      </c>
      <c r="AB150" s="1">
        <f t="shared" si="104"/>
        <v>10024.709999999999</v>
      </c>
      <c r="AC150" s="1">
        <f t="shared" si="105"/>
        <v>65017.179999999993</v>
      </c>
      <c r="AD150" s="1">
        <f t="shared" si="106"/>
        <v>0</v>
      </c>
    </row>
    <row r="151" spans="1:30" x14ac:dyDescent="0.2">
      <c r="A151" s="95">
        <f>'TAX Interest Rates'!A49</f>
        <v>44316</v>
      </c>
      <c r="B151" s="104">
        <f t="shared" ref="B151:P151" si="110">ROUND(-B39*B94,2)</f>
        <v>23879.3</v>
      </c>
      <c r="C151" s="104">
        <f t="shared" si="110"/>
        <v>0</v>
      </c>
      <c r="D151" s="104">
        <f t="shared" si="110"/>
        <v>917.58</v>
      </c>
      <c r="E151" s="104">
        <f t="shared" si="110"/>
        <v>298.35000000000002</v>
      </c>
      <c r="F151" s="104">
        <f t="shared" si="110"/>
        <v>2.97</v>
      </c>
      <c r="G151" s="104">
        <f t="shared" si="110"/>
        <v>12357.99</v>
      </c>
      <c r="H151" s="104">
        <f t="shared" si="110"/>
        <v>794.25</v>
      </c>
      <c r="I151" s="104">
        <f t="shared" si="110"/>
        <v>0</v>
      </c>
      <c r="J151" s="104">
        <f t="shared" si="110"/>
        <v>0</v>
      </c>
      <c r="K151" s="104">
        <f t="shared" si="110"/>
        <v>46.95</v>
      </c>
      <c r="L151" s="104">
        <f t="shared" si="110"/>
        <v>5431.63</v>
      </c>
      <c r="M151" s="104">
        <f t="shared" si="110"/>
        <v>984.41</v>
      </c>
      <c r="N151" s="104">
        <f t="shared" si="110"/>
        <v>1934.53</v>
      </c>
      <c r="O151" s="104">
        <f t="shared" si="110"/>
        <v>1256.73</v>
      </c>
      <c r="P151" s="104">
        <f t="shared" si="110"/>
        <v>0</v>
      </c>
      <c r="R151" s="1">
        <f t="shared" si="95"/>
        <v>47904.69</v>
      </c>
      <c r="T151" s="1">
        <f t="shared" si="96"/>
        <v>23879.3</v>
      </c>
      <c r="U151" s="1">
        <f t="shared" si="97"/>
        <v>1215.93</v>
      </c>
      <c r="V151" s="1">
        <f t="shared" si="98"/>
        <v>13155.21</v>
      </c>
      <c r="W151" s="1">
        <f t="shared" si="99"/>
        <v>0</v>
      </c>
      <c r="X151" s="1">
        <f t="shared" si="100"/>
        <v>46.95</v>
      </c>
      <c r="Y151" s="1">
        <f t="shared" si="101"/>
        <v>38297.39</v>
      </c>
      <c r="Z151" s="1">
        <f t="shared" si="102"/>
        <v>5431.63</v>
      </c>
      <c r="AA151" s="1">
        <f t="shared" si="103"/>
        <v>4175.67</v>
      </c>
      <c r="AB151" s="1">
        <f t="shared" si="104"/>
        <v>9607.2999999999993</v>
      </c>
      <c r="AC151" s="1">
        <f t="shared" si="105"/>
        <v>47904.69</v>
      </c>
      <c r="AD151" s="1">
        <f t="shared" si="106"/>
        <v>0</v>
      </c>
    </row>
    <row r="152" spans="1:30" x14ac:dyDescent="0.2">
      <c r="A152" s="95">
        <f>'TAX Interest Rates'!A50</f>
        <v>44347</v>
      </c>
      <c r="B152" s="104">
        <f t="shared" ref="B152:P152" si="111">ROUND(-B40*B95,2)</f>
        <v>11657.12</v>
      </c>
      <c r="C152" s="104">
        <f t="shared" si="111"/>
        <v>0</v>
      </c>
      <c r="D152" s="104">
        <f t="shared" si="111"/>
        <v>584.87</v>
      </c>
      <c r="E152" s="104">
        <f t="shared" si="111"/>
        <v>200.35</v>
      </c>
      <c r="F152" s="104">
        <f t="shared" si="111"/>
        <v>4.8600000000000003</v>
      </c>
      <c r="G152" s="104">
        <f t="shared" si="111"/>
        <v>6656.79</v>
      </c>
      <c r="H152" s="104">
        <f t="shared" si="111"/>
        <v>448.96</v>
      </c>
      <c r="I152" s="104">
        <f t="shared" si="111"/>
        <v>0</v>
      </c>
      <c r="J152" s="104">
        <f t="shared" si="111"/>
        <v>0</v>
      </c>
      <c r="K152" s="104">
        <f t="shared" si="111"/>
        <v>37.39</v>
      </c>
      <c r="L152" s="104">
        <f t="shared" si="111"/>
        <v>5121.49</v>
      </c>
      <c r="M152" s="104">
        <f t="shared" si="111"/>
        <v>0.05</v>
      </c>
      <c r="N152" s="104">
        <f t="shared" si="111"/>
        <v>880.7</v>
      </c>
      <c r="O152" s="104">
        <f t="shared" si="111"/>
        <v>435.56</v>
      </c>
      <c r="P152" s="104">
        <f t="shared" si="111"/>
        <v>0</v>
      </c>
      <c r="R152" s="1">
        <f t="shared" si="95"/>
        <v>26028.140000000003</v>
      </c>
      <c r="T152" s="1">
        <f t="shared" si="96"/>
        <v>11657.12</v>
      </c>
      <c r="U152" s="1">
        <f t="shared" si="97"/>
        <v>785.22</v>
      </c>
      <c r="V152" s="1">
        <f t="shared" si="98"/>
        <v>7110.61</v>
      </c>
      <c r="W152" s="1">
        <f t="shared" si="99"/>
        <v>0</v>
      </c>
      <c r="X152" s="1">
        <f t="shared" si="100"/>
        <v>37.39</v>
      </c>
      <c r="Y152" s="1">
        <f t="shared" si="101"/>
        <v>19590.34</v>
      </c>
      <c r="Z152" s="1">
        <f t="shared" si="102"/>
        <v>5121.49</v>
      </c>
      <c r="AA152" s="1">
        <f t="shared" si="103"/>
        <v>1316.31</v>
      </c>
      <c r="AB152" s="1">
        <f t="shared" si="104"/>
        <v>6437.7999999999993</v>
      </c>
      <c r="AC152" s="1">
        <f t="shared" si="105"/>
        <v>26028.14</v>
      </c>
      <c r="AD152" s="1">
        <f t="shared" si="106"/>
        <v>0</v>
      </c>
    </row>
    <row r="153" spans="1:30" x14ac:dyDescent="0.2">
      <c r="A153" s="95">
        <f>'TAX Interest Rates'!A51</f>
        <v>44377</v>
      </c>
      <c r="B153" s="104">
        <f t="shared" ref="B153:P153" si="112">ROUND(-B41*B96,2)</f>
        <v>9091.24</v>
      </c>
      <c r="C153" s="104">
        <f t="shared" si="112"/>
        <v>0</v>
      </c>
      <c r="D153" s="104">
        <f t="shared" si="112"/>
        <v>503.18</v>
      </c>
      <c r="E153" s="104">
        <f t="shared" si="112"/>
        <v>313.7</v>
      </c>
      <c r="F153" s="104">
        <f t="shared" si="112"/>
        <v>2.04</v>
      </c>
      <c r="G153" s="104">
        <f t="shared" si="112"/>
        <v>5423.6</v>
      </c>
      <c r="H153" s="104">
        <f t="shared" si="112"/>
        <v>357.14</v>
      </c>
      <c r="I153" s="104">
        <f t="shared" si="112"/>
        <v>0</v>
      </c>
      <c r="J153" s="104">
        <f t="shared" si="112"/>
        <v>0</v>
      </c>
      <c r="K153" s="104">
        <f t="shared" si="112"/>
        <v>27.17</v>
      </c>
      <c r="L153" s="104">
        <f t="shared" si="112"/>
        <v>4904.88</v>
      </c>
      <c r="M153" s="104">
        <f t="shared" si="112"/>
        <v>1587.13</v>
      </c>
      <c r="N153" s="104">
        <f t="shared" si="112"/>
        <v>1394.69</v>
      </c>
      <c r="O153" s="104">
        <f t="shared" si="112"/>
        <v>805.29</v>
      </c>
      <c r="P153" s="104">
        <f t="shared" si="112"/>
        <v>0</v>
      </c>
      <c r="R153" s="1">
        <f t="shared" si="95"/>
        <v>24410.06</v>
      </c>
      <c r="T153" s="1">
        <f t="shared" si="96"/>
        <v>9091.24</v>
      </c>
      <c r="U153" s="1">
        <f t="shared" si="97"/>
        <v>816.88</v>
      </c>
      <c r="V153" s="1">
        <f t="shared" si="98"/>
        <v>5782.7800000000007</v>
      </c>
      <c r="W153" s="1">
        <f t="shared" si="99"/>
        <v>0</v>
      </c>
      <c r="X153" s="1">
        <f t="shared" si="100"/>
        <v>27.17</v>
      </c>
      <c r="Y153" s="1">
        <f t="shared" si="101"/>
        <v>15718.07</v>
      </c>
      <c r="Z153" s="1">
        <f t="shared" si="102"/>
        <v>4904.88</v>
      </c>
      <c r="AA153" s="1">
        <f t="shared" si="103"/>
        <v>3787.11</v>
      </c>
      <c r="AB153" s="1">
        <f t="shared" si="104"/>
        <v>8691.99</v>
      </c>
      <c r="AC153" s="1">
        <f t="shared" si="105"/>
        <v>24410.059999999998</v>
      </c>
      <c r="AD153" s="1">
        <f t="shared" si="106"/>
        <v>0</v>
      </c>
    </row>
    <row r="154" spans="1:30" x14ac:dyDescent="0.2">
      <c r="A154" s="95">
        <f>'TAX Interest Rates'!A52</f>
        <v>44408</v>
      </c>
      <c r="B154" s="104">
        <f t="shared" ref="B154:P154" si="113">ROUND(-B42*B97,2)</f>
        <v>5356.98</v>
      </c>
      <c r="C154" s="104">
        <f t="shared" si="113"/>
        <v>0</v>
      </c>
      <c r="D154" s="104">
        <f t="shared" si="113"/>
        <v>426.89</v>
      </c>
      <c r="E154" s="104">
        <f t="shared" si="113"/>
        <v>182.03</v>
      </c>
      <c r="F154" s="104">
        <f t="shared" si="113"/>
        <v>1.62</v>
      </c>
      <c r="G154" s="104">
        <f t="shared" si="113"/>
        <v>3687.56</v>
      </c>
      <c r="H154" s="104">
        <f t="shared" si="113"/>
        <v>233.33</v>
      </c>
      <c r="I154" s="104">
        <f t="shared" si="113"/>
        <v>0</v>
      </c>
      <c r="J154" s="104">
        <f t="shared" si="113"/>
        <v>0</v>
      </c>
      <c r="K154" s="104">
        <f t="shared" si="113"/>
        <v>23.09</v>
      </c>
      <c r="L154" s="104">
        <f t="shared" si="113"/>
        <v>4446.18</v>
      </c>
      <c r="M154" s="104">
        <f t="shared" si="113"/>
        <v>2205.2600000000002</v>
      </c>
      <c r="N154" s="104">
        <f t="shared" si="113"/>
        <v>1832.56</v>
      </c>
      <c r="O154" s="104">
        <f t="shared" si="113"/>
        <v>1293.04</v>
      </c>
      <c r="P154" s="104">
        <f t="shared" si="113"/>
        <v>0</v>
      </c>
      <c r="R154" s="1">
        <f t="shared" si="95"/>
        <v>19688.540000000005</v>
      </c>
      <c r="T154" s="1">
        <f t="shared" si="96"/>
        <v>5356.98</v>
      </c>
      <c r="U154" s="1">
        <f t="shared" si="97"/>
        <v>608.91999999999996</v>
      </c>
      <c r="V154" s="1">
        <f t="shared" si="98"/>
        <v>3922.5099999999998</v>
      </c>
      <c r="W154" s="1">
        <f t="shared" si="99"/>
        <v>0</v>
      </c>
      <c r="X154" s="1">
        <f t="shared" si="100"/>
        <v>23.09</v>
      </c>
      <c r="Y154" s="1">
        <f t="shared" si="101"/>
        <v>9911.5</v>
      </c>
      <c r="Z154" s="1">
        <f t="shared" si="102"/>
        <v>4446.18</v>
      </c>
      <c r="AA154" s="1">
        <f t="shared" si="103"/>
        <v>5330.8600000000006</v>
      </c>
      <c r="AB154" s="1">
        <f t="shared" si="104"/>
        <v>9777.0400000000009</v>
      </c>
      <c r="AC154" s="1">
        <f t="shared" si="105"/>
        <v>19688.54</v>
      </c>
      <c r="AD154" s="1">
        <f t="shared" si="106"/>
        <v>0</v>
      </c>
    </row>
    <row r="155" spans="1:30" x14ac:dyDescent="0.2">
      <c r="A155" s="95">
        <f>'TAX Interest Rates'!A53</f>
        <v>44439</v>
      </c>
      <c r="B155" s="104">
        <f t="shared" ref="B155:P155" si="114">ROUND(-B43*B98,2)</f>
        <v>4679.25</v>
      </c>
      <c r="C155" s="104">
        <f t="shared" si="114"/>
        <v>0</v>
      </c>
      <c r="D155" s="104">
        <f t="shared" si="114"/>
        <v>400.4</v>
      </c>
      <c r="E155" s="104">
        <f t="shared" si="114"/>
        <v>220.87</v>
      </c>
      <c r="F155" s="104">
        <f t="shared" si="114"/>
        <v>2.48</v>
      </c>
      <c r="G155" s="104">
        <f t="shared" si="114"/>
        <v>3473.43</v>
      </c>
      <c r="H155" s="104">
        <f t="shared" si="114"/>
        <v>212.94</v>
      </c>
      <c r="I155" s="104">
        <f t="shared" si="114"/>
        <v>0</v>
      </c>
      <c r="J155" s="104">
        <f t="shared" si="114"/>
        <v>0</v>
      </c>
      <c r="K155" s="104">
        <f t="shared" si="114"/>
        <v>26.79</v>
      </c>
      <c r="L155" s="104">
        <f t="shared" si="114"/>
        <v>4552.8100000000004</v>
      </c>
      <c r="M155" s="104">
        <f t="shared" si="114"/>
        <v>2227.41</v>
      </c>
      <c r="N155" s="104">
        <f t="shared" si="114"/>
        <v>1855.73</v>
      </c>
      <c r="O155" s="104">
        <f t="shared" si="114"/>
        <v>1015.41</v>
      </c>
      <c r="P155" s="104">
        <f t="shared" si="114"/>
        <v>0</v>
      </c>
      <c r="R155" s="1">
        <f t="shared" si="95"/>
        <v>18667.52</v>
      </c>
      <c r="T155" s="1">
        <f t="shared" si="96"/>
        <v>4679.25</v>
      </c>
      <c r="U155" s="1">
        <f t="shared" si="97"/>
        <v>621.27</v>
      </c>
      <c r="V155" s="1">
        <f t="shared" si="98"/>
        <v>3688.85</v>
      </c>
      <c r="W155" s="1">
        <f t="shared" si="99"/>
        <v>0</v>
      </c>
      <c r="X155" s="1">
        <f t="shared" si="100"/>
        <v>26.79</v>
      </c>
      <c r="Y155" s="1">
        <f t="shared" si="101"/>
        <v>9016.1600000000017</v>
      </c>
      <c r="Z155" s="1">
        <f t="shared" si="102"/>
        <v>4552.8100000000004</v>
      </c>
      <c r="AA155" s="1">
        <f t="shared" si="103"/>
        <v>5098.55</v>
      </c>
      <c r="AB155" s="1">
        <f t="shared" si="104"/>
        <v>9651.36</v>
      </c>
      <c r="AC155" s="1">
        <f t="shared" si="105"/>
        <v>18667.520000000004</v>
      </c>
      <c r="AD155" s="1">
        <f t="shared" si="106"/>
        <v>0</v>
      </c>
    </row>
    <row r="156" spans="1:30" x14ac:dyDescent="0.2">
      <c r="A156" s="95">
        <f>'TAX Interest Rates'!A54</f>
        <v>44469</v>
      </c>
      <c r="B156" s="104">
        <f t="shared" ref="B156:P156" si="115">ROUND(-B44*B99,2)</f>
        <v>5323.27</v>
      </c>
      <c r="C156" s="104">
        <f t="shared" si="115"/>
        <v>0</v>
      </c>
      <c r="D156" s="104">
        <f t="shared" si="115"/>
        <v>503.32</v>
      </c>
      <c r="E156" s="104">
        <f t="shared" si="115"/>
        <v>204.9</v>
      </c>
      <c r="F156" s="104">
        <f t="shared" si="115"/>
        <v>2.99</v>
      </c>
      <c r="G156" s="104">
        <f t="shared" si="115"/>
        <v>3758.97</v>
      </c>
      <c r="H156" s="104">
        <f t="shared" si="115"/>
        <v>226.29</v>
      </c>
      <c r="I156" s="104">
        <f t="shared" si="115"/>
        <v>0</v>
      </c>
      <c r="J156" s="104">
        <f t="shared" si="115"/>
        <v>0</v>
      </c>
      <c r="K156" s="104">
        <f t="shared" si="115"/>
        <v>33.15</v>
      </c>
      <c r="L156" s="104">
        <f t="shared" si="115"/>
        <v>4836.2299999999996</v>
      </c>
      <c r="M156" s="104">
        <f t="shared" si="115"/>
        <v>2098.25</v>
      </c>
      <c r="N156" s="104">
        <f t="shared" si="115"/>
        <v>2088.5</v>
      </c>
      <c r="O156" s="104">
        <f t="shared" si="115"/>
        <v>685.63</v>
      </c>
      <c r="P156" s="104">
        <f t="shared" si="115"/>
        <v>0</v>
      </c>
      <c r="R156" s="1">
        <f t="shared" si="95"/>
        <v>19761.5</v>
      </c>
      <c r="T156" s="1">
        <f t="shared" si="96"/>
        <v>5323.27</v>
      </c>
      <c r="U156" s="1">
        <f t="shared" si="97"/>
        <v>708.22</v>
      </c>
      <c r="V156" s="1">
        <f t="shared" si="98"/>
        <v>3988.2499999999995</v>
      </c>
      <c r="W156" s="1">
        <f t="shared" si="99"/>
        <v>0</v>
      </c>
      <c r="X156" s="1">
        <f t="shared" si="100"/>
        <v>33.15</v>
      </c>
      <c r="Y156" s="1">
        <f t="shared" si="101"/>
        <v>10052.89</v>
      </c>
      <c r="Z156" s="1">
        <f t="shared" si="102"/>
        <v>4836.2299999999996</v>
      </c>
      <c r="AA156" s="1">
        <f t="shared" si="103"/>
        <v>4872.38</v>
      </c>
      <c r="AB156" s="1">
        <f t="shared" si="104"/>
        <v>9708.61</v>
      </c>
      <c r="AC156" s="1">
        <f t="shared" si="105"/>
        <v>19761.5</v>
      </c>
      <c r="AD156" s="1">
        <f t="shared" si="106"/>
        <v>0</v>
      </c>
    </row>
    <row r="157" spans="1:30" x14ac:dyDescent="0.2">
      <c r="A157" s="95">
        <f>'TAX Interest Rates'!A55</f>
        <v>44500</v>
      </c>
      <c r="B157" s="104">
        <f t="shared" ref="B157:P157" si="116">ROUND(-B45*B100,2)</f>
        <v>9332.7900000000009</v>
      </c>
      <c r="C157" s="104">
        <f t="shared" si="116"/>
        <v>0</v>
      </c>
      <c r="D157" s="104">
        <f t="shared" si="116"/>
        <v>1048.71</v>
      </c>
      <c r="E157" s="104">
        <f t="shared" si="116"/>
        <v>234.31</v>
      </c>
      <c r="F157" s="104">
        <f t="shared" si="116"/>
        <v>4.1399999999999997</v>
      </c>
      <c r="G157" s="104">
        <f t="shared" si="116"/>
        <v>5357.97</v>
      </c>
      <c r="H157" s="104">
        <f t="shared" si="116"/>
        <v>370.58</v>
      </c>
      <c r="I157" s="104">
        <f t="shared" si="116"/>
        <v>0</v>
      </c>
      <c r="J157" s="104">
        <f t="shared" si="116"/>
        <v>0</v>
      </c>
      <c r="K157" s="104">
        <f t="shared" si="116"/>
        <v>48.95</v>
      </c>
      <c r="L157" s="104">
        <f t="shared" si="116"/>
        <v>5422.18</v>
      </c>
      <c r="M157" s="104">
        <f t="shared" si="116"/>
        <v>1525.18</v>
      </c>
      <c r="N157" s="104">
        <f t="shared" si="116"/>
        <v>1544.3</v>
      </c>
      <c r="O157" s="104">
        <f t="shared" si="116"/>
        <v>627.16999999999996</v>
      </c>
      <c r="P157" s="104">
        <f t="shared" si="116"/>
        <v>0</v>
      </c>
      <c r="R157" s="1">
        <f t="shared" si="95"/>
        <v>25516.279999999995</v>
      </c>
      <c r="T157" s="1">
        <f t="shared" si="96"/>
        <v>9332.7900000000009</v>
      </c>
      <c r="U157" s="1">
        <f t="shared" si="97"/>
        <v>1283.02</v>
      </c>
      <c r="V157" s="1">
        <f t="shared" si="98"/>
        <v>5732.6900000000005</v>
      </c>
      <c r="W157" s="1">
        <f t="shared" si="99"/>
        <v>0</v>
      </c>
      <c r="X157" s="1">
        <f t="shared" si="100"/>
        <v>48.95</v>
      </c>
      <c r="Y157" s="1">
        <f t="shared" si="101"/>
        <v>16397.45</v>
      </c>
      <c r="Z157" s="1">
        <f t="shared" si="102"/>
        <v>5422.18</v>
      </c>
      <c r="AA157" s="1">
        <f t="shared" si="103"/>
        <v>3696.65</v>
      </c>
      <c r="AB157" s="1">
        <f t="shared" si="104"/>
        <v>9118.83</v>
      </c>
      <c r="AC157" s="1">
        <f t="shared" si="105"/>
        <v>25516.28</v>
      </c>
      <c r="AD157" s="1">
        <f t="shared" si="106"/>
        <v>0</v>
      </c>
    </row>
    <row r="158" spans="1:30" x14ac:dyDescent="0.2">
      <c r="A158" s="95">
        <f>'TAX Interest Rates'!A56</f>
        <v>44530</v>
      </c>
      <c r="B158" s="104">
        <f>ROUND(-B46*B100,2)</f>
        <v>12100.27</v>
      </c>
      <c r="C158" s="104">
        <f t="shared" ref="C158:P158" si="117">ROUND(-C46*C100,2)</f>
        <v>0</v>
      </c>
      <c r="D158" s="104">
        <f t="shared" si="117"/>
        <v>590.86</v>
      </c>
      <c r="E158" s="104">
        <f t="shared" si="117"/>
        <v>191.93</v>
      </c>
      <c r="F158" s="104">
        <f t="shared" si="117"/>
        <v>0</v>
      </c>
      <c r="G158" s="104">
        <f t="shared" si="117"/>
        <v>6275.7</v>
      </c>
      <c r="H158" s="104">
        <f t="shared" si="117"/>
        <v>387.96</v>
      </c>
      <c r="I158" s="104">
        <f t="shared" si="117"/>
        <v>0</v>
      </c>
      <c r="J158" s="104">
        <f t="shared" si="117"/>
        <v>0</v>
      </c>
      <c r="K158" s="104">
        <f t="shared" si="117"/>
        <v>0</v>
      </c>
      <c r="L158" s="104">
        <f t="shared" si="117"/>
        <v>0</v>
      </c>
      <c r="M158" s="104">
        <f t="shared" si="117"/>
        <v>0</v>
      </c>
      <c r="N158" s="104">
        <f t="shared" si="117"/>
        <v>0</v>
      </c>
      <c r="O158" s="104">
        <f t="shared" si="117"/>
        <v>45.89</v>
      </c>
      <c r="P158" s="104">
        <f t="shared" si="117"/>
        <v>0</v>
      </c>
      <c r="R158" s="1">
        <f t="shared" ref="R158" si="118">SUM(B158:Q158)</f>
        <v>19592.61</v>
      </c>
      <c r="S158" s="1" t="s">
        <v>56</v>
      </c>
      <c r="T158" s="1">
        <f t="shared" ref="T158" si="119">+B158</f>
        <v>12100.27</v>
      </c>
      <c r="U158" s="1">
        <f t="shared" ref="U158" si="120">+C158+D158+E158</f>
        <v>782.79</v>
      </c>
      <c r="V158" s="1">
        <f t="shared" ref="V158" si="121">+F158+G158+H158</f>
        <v>6663.66</v>
      </c>
      <c r="W158" s="1">
        <f t="shared" ref="W158" si="122">+I158+J158</f>
        <v>0</v>
      </c>
      <c r="X158" s="1">
        <f t="shared" ref="X158" si="123">+K158</f>
        <v>0</v>
      </c>
      <c r="Y158" s="1">
        <f t="shared" ref="Y158" si="124">SUM(T158:X158)</f>
        <v>19546.72</v>
      </c>
      <c r="Z158" s="1">
        <f t="shared" ref="Z158" si="125">+L158</f>
        <v>0</v>
      </c>
      <c r="AA158" s="1">
        <f t="shared" ref="AA158" si="126">+M158+N158+O158+P158</f>
        <v>45.89</v>
      </c>
      <c r="AB158" s="1">
        <f t="shared" ref="AB158" si="127">SUM(Z158:AA158)</f>
        <v>45.89</v>
      </c>
      <c r="AC158" s="1">
        <f t="shared" ref="AC158" si="128">+Y158+AB158</f>
        <v>19592.61</v>
      </c>
      <c r="AD158" s="1">
        <f t="shared" ref="AD158" si="129">+R158-Y158-AB158</f>
        <v>-5.8264504332328215E-13</v>
      </c>
    </row>
    <row r="159" spans="1:30" x14ac:dyDescent="0.2">
      <c r="A159" s="95">
        <f>'TAX Interest Rates'!A56</f>
        <v>44530</v>
      </c>
      <c r="B159" s="104">
        <f>ROUND(-B47*B101,2)</f>
        <v>5499.75</v>
      </c>
      <c r="C159" s="104">
        <f t="shared" ref="C159:P160" si="130">ROUND(-C47*C101,2)</f>
        <v>0</v>
      </c>
      <c r="D159" s="104">
        <f t="shared" si="130"/>
        <v>210.36</v>
      </c>
      <c r="E159" s="104">
        <f t="shared" si="130"/>
        <v>70.59</v>
      </c>
      <c r="F159" s="104">
        <f t="shared" si="130"/>
        <v>6.97</v>
      </c>
      <c r="G159" s="104">
        <f t="shared" si="130"/>
        <v>2532.23</v>
      </c>
      <c r="H159" s="104">
        <f t="shared" si="130"/>
        <v>226.18</v>
      </c>
      <c r="I159" s="104">
        <f t="shared" si="130"/>
        <v>0</v>
      </c>
      <c r="J159" s="104">
        <f t="shared" si="130"/>
        <v>0</v>
      </c>
      <c r="K159" s="104">
        <f t="shared" si="130"/>
        <v>56</v>
      </c>
      <c r="L159" s="104">
        <f t="shared" si="130"/>
        <v>5548.67</v>
      </c>
      <c r="M159" s="104">
        <f t="shared" si="130"/>
        <v>2163.58</v>
      </c>
      <c r="N159" s="104">
        <f t="shared" si="130"/>
        <v>1273.6400000000001</v>
      </c>
      <c r="O159" s="104">
        <f t="shared" si="130"/>
        <v>71.91</v>
      </c>
      <c r="P159" s="104">
        <f t="shared" si="130"/>
        <v>0</v>
      </c>
      <c r="R159" s="1">
        <f t="shared" ref="R159" si="131">SUM(B159:Q159)</f>
        <v>17659.88</v>
      </c>
      <c r="S159" s="1" t="s">
        <v>57</v>
      </c>
      <c r="T159" s="1">
        <f t="shared" ref="T159" si="132">+B159</f>
        <v>5499.75</v>
      </c>
      <c r="U159" s="1">
        <f t="shared" ref="U159" si="133">+C159+D159+E159</f>
        <v>280.95000000000005</v>
      </c>
      <c r="V159" s="1">
        <f t="shared" ref="V159" si="134">+F159+G159+H159</f>
        <v>2765.3799999999997</v>
      </c>
      <c r="W159" s="1">
        <f t="shared" ref="W159" si="135">+I159+J159</f>
        <v>0</v>
      </c>
      <c r="X159" s="1">
        <f t="shared" ref="X159" si="136">+K159</f>
        <v>56</v>
      </c>
      <c r="Y159" s="1">
        <f t="shared" ref="Y159" si="137">SUM(T159:X159)</f>
        <v>8602.08</v>
      </c>
      <c r="Z159" s="1">
        <f t="shared" ref="Z159" si="138">+L159</f>
        <v>5548.67</v>
      </c>
      <c r="AA159" s="1">
        <f t="shared" ref="AA159" si="139">+M159+N159+O159+P159</f>
        <v>3509.13</v>
      </c>
      <c r="AB159" s="1">
        <f t="shared" ref="AB159" si="140">SUM(Z159:AA159)</f>
        <v>9057.7999999999993</v>
      </c>
      <c r="AC159" s="1">
        <f t="shared" ref="AC159" si="141">+Y159+AB159</f>
        <v>17659.879999999997</v>
      </c>
      <c r="AD159" s="1">
        <f t="shared" ref="AD159" si="142">+R159-Y159-AB159</f>
        <v>0</v>
      </c>
    </row>
    <row r="160" spans="1:30" x14ac:dyDescent="0.2">
      <c r="A160" s="95">
        <f>'TAX Interest Rates'!A57</f>
        <v>44561</v>
      </c>
      <c r="B160" s="104">
        <f>ROUND(-B48*B102,2)</f>
        <v>29519.61</v>
      </c>
      <c r="C160" s="104">
        <f t="shared" si="130"/>
        <v>0</v>
      </c>
      <c r="D160" s="104">
        <f t="shared" si="130"/>
        <v>1193.6099999999999</v>
      </c>
      <c r="E160" s="104">
        <f t="shared" si="130"/>
        <v>328.92</v>
      </c>
      <c r="F160" s="104">
        <f t="shared" si="130"/>
        <v>19.36</v>
      </c>
      <c r="G160" s="104">
        <f t="shared" si="130"/>
        <v>14862.07</v>
      </c>
      <c r="H160" s="104">
        <f t="shared" si="130"/>
        <v>899.04</v>
      </c>
      <c r="I160" s="104">
        <f t="shared" si="130"/>
        <v>0</v>
      </c>
      <c r="J160" s="104">
        <f t="shared" si="130"/>
        <v>0</v>
      </c>
      <c r="K160" s="104">
        <f t="shared" si="130"/>
        <v>70.510000000000005</v>
      </c>
      <c r="L160" s="104">
        <f t="shared" si="130"/>
        <v>5435.44</v>
      </c>
      <c r="M160" s="104">
        <f t="shared" si="130"/>
        <v>1659.67</v>
      </c>
      <c r="N160" s="104">
        <f t="shared" si="130"/>
        <v>1369.51</v>
      </c>
      <c r="O160" s="104">
        <f t="shared" si="130"/>
        <v>78.52</v>
      </c>
      <c r="P160" s="104">
        <f t="shared" si="130"/>
        <v>0</v>
      </c>
      <c r="R160" s="1">
        <f t="shared" ref="R160" si="143">SUM(B160:Q160)</f>
        <v>55436.26</v>
      </c>
      <c r="T160" s="1">
        <f t="shared" ref="T160" si="144">+B160</f>
        <v>29519.61</v>
      </c>
      <c r="U160" s="1">
        <f t="shared" ref="U160" si="145">+C160+D160+E160</f>
        <v>1522.53</v>
      </c>
      <c r="V160" s="1">
        <f t="shared" ref="V160" si="146">+F160+G160+H160</f>
        <v>15780.470000000001</v>
      </c>
      <c r="W160" s="1">
        <f t="shared" ref="W160" si="147">+I160+J160</f>
        <v>0</v>
      </c>
      <c r="X160" s="1">
        <f t="shared" ref="X160" si="148">+K160</f>
        <v>70.510000000000005</v>
      </c>
      <c r="Y160" s="1">
        <f t="shared" ref="Y160" si="149">SUM(T160:X160)</f>
        <v>46893.120000000003</v>
      </c>
      <c r="Z160" s="1">
        <f t="shared" ref="Z160" si="150">+L160</f>
        <v>5435.44</v>
      </c>
      <c r="AA160" s="1">
        <f t="shared" ref="AA160" si="151">+M160+N160+O160+P160</f>
        <v>3107.7000000000003</v>
      </c>
      <c r="AB160" s="1">
        <f t="shared" ref="AB160" si="152">SUM(Z160:AA160)</f>
        <v>8543.14</v>
      </c>
      <c r="AC160" s="1">
        <f t="shared" ref="AC160" si="153">+Y160+AB160</f>
        <v>55436.26</v>
      </c>
      <c r="AD160" s="1">
        <f t="shared" ref="AD160" si="154">+R160-Y160-AB160</f>
        <v>0</v>
      </c>
    </row>
    <row r="161" spans="1:30" x14ac:dyDescent="0.2">
      <c r="A161" s="95">
        <f>'TAX Interest Rates'!A58</f>
        <v>44592</v>
      </c>
      <c r="B161" s="104">
        <f t="shared" ref="B161:P161" si="155">ROUND(-B49*B103,2)</f>
        <v>0</v>
      </c>
      <c r="C161" s="104">
        <f t="shared" si="155"/>
        <v>0</v>
      </c>
      <c r="D161" s="104">
        <f t="shared" si="155"/>
        <v>0</v>
      </c>
      <c r="E161" s="104">
        <f t="shared" si="155"/>
        <v>0</v>
      </c>
      <c r="F161" s="104">
        <f t="shared" si="155"/>
        <v>-19.36</v>
      </c>
      <c r="G161" s="104">
        <f t="shared" si="155"/>
        <v>0</v>
      </c>
      <c r="H161" s="104">
        <f t="shared" si="155"/>
        <v>-73.150000000000006</v>
      </c>
      <c r="I161" s="104">
        <f t="shared" si="155"/>
        <v>0</v>
      </c>
      <c r="J161" s="104">
        <f t="shared" si="155"/>
        <v>0</v>
      </c>
      <c r="K161" s="104">
        <f t="shared" si="155"/>
        <v>-70.510000000000005</v>
      </c>
      <c r="L161" s="104">
        <f t="shared" si="155"/>
        <v>-5435.44</v>
      </c>
      <c r="M161" s="104">
        <f t="shared" si="155"/>
        <v>-1659.67</v>
      </c>
      <c r="N161" s="104">
        <f t="shared" si="155"/>
        <v>-1369.51</v>
      </c>
      <c r="O161" s="104">
        <f t="shared" si="155"/>
        <v>-78.52</v>
      </c>
      <c r="P161" s="104">
        <f t="shared" si="155"/>
        <v>0</v>
      </c>
      <c r="R161" s="1">
        <f t="shared" ref="R161:R170" si="156">SUM(B161:Q161)</f>
        <v>-8706.16</v>
      </c>
      <c r="T161" s="1">
        <f t="shared" ref="T161:T170" si="157">+B161</f>
        <v>0</v>
      </c>
      <c r="U161" s="1">
        <f t="shared" ref="U161:U170" si="158">+C161+D161+E161</f>
        <v>0</v>
      </c>
      <c r="V161" s="1">
        <f t="shared" ref="V161:V170" si="159">+F161+G161+H161</f>
        <v>-92.51</v>
      </c>
      <c r="W161" s="1">
        <f t="shared" ref="W161:W170" si="160">+I161+J161</f>
        <v>0</v>
      </c>
      <c r="X161" s="1">
        <f t="shared" ref="X161:X170" si="161">+K161</f>
        <v>-70.510000000000005</v>
      </c>
      <c r="Y161" s="1">
        <f t="shared" ref="Y161:Y170" si="162">SUM(T161:X161)</f>
        <v>-163.02000000000001</v>
      </c>
      <c r="Z161" s="1">
        <f t="shared" ref="Z161:Z170" si="163">+L161</f>
        <v>-5435.44</v>
      </c>
      <c r="AA161" s="1">
        <f t="shared" ref="AA161:AA170" si="164">+M161+N161+O161+P161</f>
        <v>-3107.7000000000003</v>
      </c>
      <c r="AB161" s="1">
        <f t="shared" ref="AB161:AB170" si="165">SUM(Z161:AA161)</f>
        <v>-8543.14</v>
      </c>
      <c r="AC161" s="1">
        <f t="shared" ref="AC161:AC170" si="166">+Y161+AB161</f>
        <v>-8706.16</v>
      </c>
      <c r="AD161" s="1">
        <f t="shared" ref="AD161:AD170" si="167">+R161-Y161-AB161</f>
        <v>0</v>
      </c>
    </row>
    <row r="162" spans="1:30" x14ac:dyDescent="0.2">
      <c r="A162" s="95">
        <f>'TAX Interest Rates'!A59</f>
        <v>44620</v>
      </c>
      <c r="B162" s="104">
        <f t="shared" ref="B162:P162" si="168">ROUND(-B50*B104,2)</f>
        <v>0</v>
      </c>
      <c r="C162" s="104">
        <f t="shared" si="168"/>
        <v>0</v>
      </c>
      <c r="D162" s="104">
        <f t="shared" si="168"/>
        <v>0</v>
      </c>
      <c r="E162" s="104">
        <f t="shared" si="168"/>
        <v>0</v>
      </c>
      <c r="F162" s="104">
        <f t="shared" si="168"/>
        <v>0</v>
      </c>
      <c r="G162" s="104">
        <f t="shared" si="168"/>
        <v>0</v>
      </c>
      <c r="H162" s="104">
        <f t="shared" si="168"/>
        <v>0</v>
      </c>
      <c r="I162" s="104">
        <f t="shared" si="168"/>
        <v>0</v>
      </c>
      <c r="J162" s="104">
        <f t="shared" si="168"/>
        <v>0</v>
      </c>
      <c r="K162" s="104">
        <f t="shared" si="168"/>
        <v>0</v>
      </c>
      <c r="L162" s="104">
        <f t="shared" si="168"/>
        <v>0</v>
      </c>
      <c r="M162" s="104">
        <f t="shared" si="168"/>
        <v>0</v>
      </c>
      <c r="N162" s="104">
        <f t="shared" si="168"/>
        <v>0</v>
      </c>
      <c r="O162" s="104">
        <f t="shared" si="168"/>
        <v>0</v>
      </c>
      <c r="P162" s="104">
        <f t="shared" si="168"/>
        <v>0</v>
      </c>
      <c r="R162" s="1">
        <f t="shared" si="156"/>
        <v>0</v>
      </c>
      <c r="T162" s="1">
        <f t="shared" si="157"/>
        <v>0</v>
      </c>
      <c r="U162" s="1">
        <f t="shared" si="158"/>
        <v>0</v>
      </c>
      <c r="V162" s="1">
        <f t="shared" si="159"/>
        <v>0</v>
      </c>
      <c r="W162" s="1">
        <f t="shared" si="160"/>
        <v>0</v>
      </c>
      <c r="X162" s="1">
        <f t="shared" si="161"/>
        <v>0</v>
      </c>
      <c r="Y162" s="1">
        <f t="shared" si="162"/>
        <v>0</v>
      </c>
      <c r="Z162" s="1">
        <f t="shared" si="163"/>
        <v>0</v>
      </c>
      <c r="AA162" s="1">
        <f t="shared" si="164"/>
        <v>0</v>
      </c>
      <c r="AB162" s="1">
        <f t="shared" si="165"/>
        <v>0</v>
      </c>
      <c r="AC162" s="1">
        <f t="shared" si="166"/>
        <v>0</v>
      </c>
      <c r="AD162" s="1">
        <f t="shared" si="167"/>
        <v>0</v>
      </c>
    </row>
    <row r="163" spans="1:30" x14ac:dyDescent="0.2">
      <c r="A163" s="95">
        <f>'TAX Interest Rates'!A60</f>
        <v>44651</v>
      </c>
      <c r="B163" s="104">
        <f t="shared" ref="B163:P163" si="169">ROUND(-B51*B105,2)</f>
        <v>0</v>
      </c>
      <c r="C163" s="104">
        <f t="shared" si="169"/>
        <v>0</v>
      </c>
      <c r="D163" s="104">
        <f t="shared" si="169"/>
        <v>0</v>
      </c>
      <c r="E163" s="104">
        <f t="shared" si="169"/>
        <v>0</v>
      </c>
      <c r="F163" s="104">
        <f t="shared" si="169"/>
        <v>0</v>
      </c>
      <c r="G163" s="104">
        <f t="shared" si="169"/>
        <v>0</v>
      </c>
      <c r="H163" s="104">
        <f t="shared" si="169"/>
        <v>0</v>
      </c>
      <c r="I163" s="104">
        <f t="shared" si="169"/>
        <v>0</v>
      </c>
      <c r="J163" s="104">
        <f t="shared" si="169"/>
        <v>0</v>
      </c>
      <c r="K163" s="104">
        <f t="shared" si="169"/>
        <v>0</v>
      </c>
      <c r="L163" s="104">
        <f t="shared" si="169"/>
        <v>0</v>
      </c>
      <c r="M163" s="104">
        <f t="shared" si="169"/>
        <v>0</v>
      </c>
      <c r="N163" s="104">
        <f t="shared" si="169"/>
        <v>0</v>
      </c>
      <c r="O163" s="104">
        <f t="shared" si="169"/>
        <v>0</v>
      </c>
      <c r="P163" s="104">
        <f t="shared" si="169"/>
        <v>0</v>
      </c>
      <c r="R163" s="1">
        <f t="shared" si="156"/>
        <v>0</v>
      </c>
      <c r="T163" s="1">
        <f t="shared" si="157"/>
        <v>0</v>
      </c>
      <c r="U163" s="1">
        <f t="shared" si="158"/>
        <v>0</v>
      </c>
      <c r="V163" s="1">
        <f t="shared" si="159"/>
        <v>0</v>
      </c>
      <c r="W163" s="1">
        <f t="shared" si="160"/>
        <v>0</v>
      </c>
      <c r="X163" s="1">
        <f t="shared" si="161"/>
        <v>0</v>
      </c>
      <c r="Y163" s="1">
        <f t="shared" si="162"/>
        <v>0</v>
      </c>
      <c r="Z163" s="1">
        <f t="shared" si="163"/>
        <v>0</v>
      </c>
      <c r="AA163" s="1">
        <f t="shared" si="164"/>
        <v>0</v>
      </c>
      <c r="AB163" s="1">
        <f t="shared" si="165"/>
        <v>0</v>
      </c>
      <c r="AC163" s="1">
        <f t="shared" si="166"/>
        <v>0</v>
      </c>
      <c r="AD163" s="1">
        <f t="shared" si="167"/>
        <v>0</v>
      </c>
    </row>
    <row r="164" spans="1:30" x14ac:dyDescent="0.2">
      <c r="A164" s="95">
        <f>'TAX Interest Rates'!A61</f>
        <v>44681</v>
      </c>
      <c r="B164" s="104">
        <f t="shared" ref="B164:P164" si="170">ROUND(-B52*B106,2)</f>
        <v>0</v>
      </c>
      <c r="C164" s="104">
        <f t="shared" si="170"/>
        <v>0</v>
      </c>
      <c r="D164" s="104">
        <f t="shared" si="170"/>
        <v>0</v>
      </c>
      <c r="E164" s="104">
        <f t="shared" si="170"/>
        <v>0</v>
      </c>
      <c r="F164" s="104">
        <f t="shared" si="170"/>
        <v>0</v>
      </c>
      <c r="G164" s="104">
        <f t="shared" si="170"/>
        <v>0</v>
      </c>
      <c r="H164" s="104">
        <f t="shared" si="170"/>
        <v>0</v>
      </c>
      <c r="I164" s="104">
        <f t="shared" si="170"/>
        <v>0</v>
      </c>
      <c r="J164" s="104">
        <f t="shared" si="170"/>
        <v>0</v>
      </c>
      <c r="K164" s="104">
        <f t="shared" si="170"/>
        <v>0</v>
      </c>
      <c r="L164" s="104">
        <f t="shared" si="170"/>
        <v>0</v>
      </c>
      <c r="M164" s="104">
        <f t="shared" si="170"/>
        <v>0</v>
      </c>
      <c r="N164" s="104">
        <f t="shared" si="170"/>
        <v>0</v>
      </c>
      <c r="O164" s="104">
        <f t="shared" si="170"/>
        <v>0</v>
      </c>
      <c r="P164" s="104">
        <f t="shared" si="170"/>
        <v>0</v>
      </c>
      <c r="R164" s="1">
        <f t="shared" si="156"/>
        <v>0</v>
      </c>
      <c r="T164" s="1">
        <f t="shared" si="157"/>
        <v>0</v>
      </c>
      <c r="U164" s="1">
        <f t="shared" si="158"/>
        <v>0</v>
      </c>
      <c r="V164" s="1">
        <f t="shared" si="159"/>
        <v>0</v>
      </c>
      <c r="W164" s="1">
        <f t="shared" si="160"/>
        <v>0</v>
      </c>
      <c r="X164" s="1">
        <f t="shared" si="161"/>
        <v>0</v>
      </c>
      <c r="Y164" s="1">
        <f t="shared" si="162"/>
        <v>0</v>
      </c>
      <c r="Z164" s="1">
        <f t="shared" si="163"/>
        <v>0</v>
      </c>
      <c r="AA164" s="1">
        <f t="shared" si="164"/>
        <v>0</v>
      </c>
      <c r="AB164" s="1">
        <f t="shared" si="165"/>
        <v>0</v>
      </c>
      <c r="AC164" s="1">
        <f t="shared" si="166"/>
        <v>0</v>
      </c>
      <c r="AD164" s="1">
        <f t="shared" si="167"/>
        <v>0</v>
      </c>
    </row>
    <row r="165" spans="1:30" hidden="1" x14ac:dyDescent="0.2">
      <c r="A165" s="95">
        <f>'TAX Interest Rates'!A62</f>
        <v>44712</v>
      </c>
      <c r="B165" s="104">
        <f t="shared" ref="B165:P165" si="171">ROUND(-B53*B107,2)</f>
        <v>0</v>
      </c>
      <c r="C165" s="104">
        <f t="shared" si="171"/>
        <v>0</v>
      </c>
      <c r="D165" s="104">
        <f t="shared" si="171"/>
        <v>0</v>
      </c>
      <c r="E165" s="104">
        <f t="shared" si="171"/>
        <v>0</v>
      </c>
      <c r="F165" s="104">
        <f t="shared" si="171"/>
        <v>0</v>
      </c>
      <c r="G165" s="104">
        <f t="shared" si="171"/>
        <v>0</v>
      </c>
      <c r="H165" s="104">
        <f t="shared" si="171"/>
        <v>0</v>
      </c>
      <c r="I165" s="104">
        <f t="shared" si="171"/>
        <v>0</v>
      </c>
      <c r="J165" s="104">
        <f t="shared" si="171"/>
        <v>0</v>
      </c>
      <c r="K165" s="104">
        <f t="shared" si="171"/>
        <v>0</v>
      </c>
      <c r="L165" s="104">
        <f t="shared" si="171"/>
        <v>0</v>
      </c>
      <c r="M165" s="104">
        <f t="shared" si="171"/>
        <v>0</v>
      </c>
      <c r="N165" s="104">
        <f t="shared" si="171"/>
        <v>0</v>
      </c>
      <c r="O165" s="104">
        <f t="shared" si="171"/>
        <v>0</v>
      </c>
      <c r="P165" s="104">
        <f t="shared" si="171"/>
        <v>0</v>
      </c>
      <c r="R165" s="1">
        <f t="shared" si="156"/>
        <v>0</v>
      </c>
      <c r="T165" s="1">
        <f t="shared" si="157"/>
        <v>0</v>
      </c>
      <c r="U165" s="1">
        <f t="shared" si="158"/>
        <v>0</v>
      </c>
      <c r="V165" s="1">
        <f t="shared" si="159"/>
        <v>0</v>
      </c>
      <c r="W165" s="1">
        <f t="shared" si="160"/>
        <v>0</v>
      </c>
      <c r="X165" s="1">
        <f t="shared" si="161"/>
        <v>0</v>
      </c>
      <c r="Y165" s="1">
        <f t="shared" si="162"/>
        <v>0</v>
      </c>
      <c r="Z165" s="1">
        <f t="shared" si="163"/>
        <v>0</v>
      </c>
      <c r="AA165" s="1">
        <f t="shared" si="164"/>
        <v>0</v>
      </c>
      <c r="AB165" s="1">
        <f t="shared" si="165"/>
        <v>0</v>
      </c>
      <c r="AC165" s="1">
        <f t="shared" si="166"/>
        <v>0</v>
      </c>
      <c r="AD165" s="1">
        <f t="shared" si="167"/>
        <v>0</v>
      </c>
    </row>
    <row r="166" spans="1:30" hidden="1" x14ac:dyDescent="0.2">
      <c r="A166" s="95">
        <f>'TAX Interest Rates'!A63</f>
        <v>44742</v>
      </c>
      <c r="B166" s="104">
        <f t="shared" ref="B166:P166" si="172">ROUND(-B54*B108,2)</f>
        <v>0</v>
      </c>
      <c r="C166" s="104">
        <f t="shared" si="172"/>
        <v>0</v>
      </c>
      <c r="D166" s="104">
        <f t="shared" si="172"/>
        <v>0</v>
      </c>
      <c r="E166" s="104">
        <f t="shared" si="172"/>
        <v>0</v>
      </c>
      <c r="F166" s="104">
        <f t="shared" si="172"/>
        <v>0</v>
      </c>
      <c r="G166" s="104">
        <f t="shared" si="172"/>
        <v>0</v>
      </c>
      <c r="H166" s="104">
        <f t="shared" si="172"/>
        <v>0</v>
      </c>
      <c r="I166" s="104">
        <f t="shared" si="172"/>
        <v>0</v>
      </c>
      <c r="J166" s="104">
        <f t="shared" si="172"/>
        <v>0</v>
      </c>
      <c r="K166" s="104">
        <f t="shared" si="172"/>
        <v>0</v>
      </c>
      <c r="L166" s="104">
        <f t="shared" si="172"/>
        <v>0</v>
      </c>
      <c r="M166" s="104">
        <f t="shared" si="172"/>
        <v>0</v>
      </c>
      <c r="N166" s="104">
        <f t="shared" si="172"/>
        <v>0</v>
      </c>
      <c r="O166" s="104">
        <f t="shared" si="172"/>
        <v>0</v>
      </c>
      <c r="P166" s="104">
        <f t="shared" si="172"/>
        <v>0</v>
      </c>
      <c r="R166" s="1">
        <f t="shared" si="156"/>
        <v>0</v>
      </c>
      <c r="T166" s="1">
        <f t="shared" si="157"/>
        <v>0</v>
      </c>
      <c r="U166" s="1">
        <f t="shared" si="158"/>
        <v>0</v>
      </c>
      <c r="V166" s="1">
        <f t="shared" si="159"/>
        <v>0</v>
      </c>
      <c r="W166" s="1">
        <f t="shared" si="160"/>
        <v>0</v>
      </c>
      <c r="X166" s="1">
        <f t="shared" si="161"/>
        <v>0</v>
      </c>
      <c r="Y166" s="1">
        <f t="shared" si="162"/>
        <v>0</v>
      </c>
      <c r="Z166" s="1">
        <f t="shared" si="163"/>
        <v>0</v>
      </c>
      <c r="AA166" s="1">
        <f t="shared" si="164"/>
        <v>0</v>
      </c>
      <c r="AB166" s="1">
        <f t="shared" si="165"/>
        <v>0</v>
      </c>
      <c r="AC166" s="1">
        <f t="shared" si="166"/>
        <v>0</v>
      </c>
      <c r="AD166" s="1">
        <f t="shared" si="167"/>
        <v>0</v>
      </c>
    </row>
    <row r="167" spans="1:30" hidden="1" x14ac:dyDescent="0.2">
      <c r="A167" s="95">
        <f>'TAX Interest Rates'!A64</f>
        <v>44773</v>
      </c>
      <c r="B167" s="104">
        <f t="shared" ref="B167:P167" si="173">ROUND(-B55*B109,2)</f>
        <v>0</v>
      </c>
      <c r="C167" s="104">
        <f t="shared" si="173"/>
        <v>0</v>
      </c>
      <c r="D167" s="104">
        <f t="shared" si="173"/>
        <v>0</v>
      </c>
      <c r="E167" s="104">
        <f t="shared" si="173"/>
        <v>0</v>
      </c>
      <c r="F167" s="104">
        <f t="shared" si="173"/>
        <v>0</v>
      </c>
      <c r="G167" s="104">
        <f t="shared" si="173"/>
        <v>0</v>
      </c>
      <c r="H167" s="104">
        <f t="shared" si="173"/>
        <v>0</v>
      </c>
      <c r="I167" s="104">
        <f t="shared" si="173"/>
        <v>0</v>
      </c>
      <c r="J167" s="104">
        <f t="shared" si="173"/>
        <v>0</v>
      </c>
      <c r="K167" s="104">
        <f t="shared" si="173"/>
        <v>0</v>
      </c>
      <c r="L167" s="104">
        <f t="shared" si="173"/>
        <v>0</v>
      </c>
      <c r="M167" s="104">
        <f t="shared" si="173"/>
        <v>0</v>
      </c>
      <c r="N167" s="104">
        <f t="shared" si="173"/>
        <v>0</v>
      </c>
      <c r="O167" s="104">
        <f t="shared" si="173"/>
        <v>0</v>
      </c>
      <c r="P167" s="104">
        <f t="shared" si="173"/>
        <v>0</v>
      </c>
      <c r="R167" s="1">
        <f t="shared" si="156"/>
        <v>0</v>
      </c>
      <c r="T167" s="1">
        <f t="shared" si="157"/>
        <v>0</v>
      </c>
      <c r="U167" s="1">
        <f t="shared" si="158"/>
        <v>0</v>
      </c>
      <c r="V167" s="1">
        <f t="shared" si="159"/>
        <v>0</v>
      </c>
      <c r="W167" s="1">
        <f t="shared" si="160"/>
        <v>0</v>
      </c>
      <c r="X167" s="1">
        <f t="shared" si="161"/>
        <v>0</v>
      </c>
      <c r="Y167" s="1">
        <f t="shared" si="162"/>
        <v>0</v>
      </c>
      <c r="Z167" s="1">
        <f t="shared" si="163"/>
        <v>0</v>
      </c>
      <c r="AA167" s="1">
        <f t="shared" si="164"/>
        <v>0</v>
      </c>
      <c r="AB167" s="1">
        <f t="shared" si="165"/>
        <v>0</v>
      </c>
      <c r="AC167" s="1">
        <f t="shared" si="166"/>
        <v>0</v>
      </c>
      <c r="AD167" s="1">
        <f t="shared" si="167"/>
        <v>0</v>
      </c>
    </row>
    <row r="168" spans="1:30" hidden="1" x14ac:dyDescent="0.2">
      <c r="A168" s="95">
        <f>'TAX Interest Rates'!A65</f>
        <v>44804</v>
      </c>
      <c r="B168" s="104">
        <f t="shared" ref="B168:P168" si="174">ROUND(-B56*B110,2)</f>
        <v>0</v>
      </c>
      <c r="C168" s="104">
        <f t="shared" si="174"/>
        <v>0</v>
      </c>
      <c r="D168" s="104">
        <f t="shared" si="174"/>
        <v>0</v>
      </c>
      <c r="E168" s="104">
        <f t="shared" si="174"/>
        <v>0</v>
      </c>
      <c r="F168" s="104">
        <f t="shared" si="174"/>
        <v>0</v>
      </c>
      <c r="G168" s="104">
        <f t="shared" si="174"/>
        <v>0</v>
      </c>
      <c r="H168" s="104">
        <f t="shared" si="174"/>
        <v>0</v>
      </c>
      <c r="I168" s="104">
        <f t="shared" si="174"/>
        <v>0</v>
      </c>
      <c r="J168" s="104">
        <f t="shared" si="174"/>
        <v>0</v>
      </c>
      <c r="K168" s="104">
        <f t="shared" si="174"/>
        <v>0</v>
      </c>
      <c r="L168" s="104">
        <f t="shared" si="174"/>
        <v>0</v>
      </c>
      <c r="M168" s="104">
        <f t="shared" si="174"/>
        <v>0</v>
      </c>
      <c r="N168" s="104">
        <f t="shared" si="174"/>
        <v>0</v>
      </c>
      <c r="O168" s="104">
        <f t="shared" si="174"/>
        <v>0</v>
      </c>
      <c r="P168" s="104">
        <f t="shared" si="174"/>
        <v>0</v>
      </c>
      <c r="R168" s="1">
        <f t="shared" si="156"/>
        <v>0</v>
      </c>
      <c r="T168" s="1">
        <f t="shared" si="157"/>
        <v>0</v>
      </c>
      <c r="U168" s="1">
        <f t="shared" si="158"/>
        <v>0</v>
      </c>
      <c r="V168" s="1">
        <f t="shared" si="159"/>
        <v>0</v>
      </c>
      <c r="W168" s="1">
        <f t="shared" si="160"/>
        <v>0</v>
      </c>
      <c r="X168" s="1">
        <f t="shared" si="161"/>
        <v>0</v>
      </c>
      <c r="Y168" s="1">
        <f t="shared" si="162"/>
        <v>0</v>
      </c>
      <c r="Z168" s="1">
        <f t="shared" si="163"/>
        <v>0</v>
      </c>
      <c r="AA168" s="1">
        <f t="shared" si="164"/>
        <v>0</v>
      </c>
      <c r="AB168" s="1">
        <f t="shared" si="165"/>
        <v>0</v>
      </c>
      <c r="AC168" s="1">
        <f t="shared" si="166"/>
        <v>0</v>
      </c>
      <c r="AD168" s="1">
        <f t="shared" si="167"/>
        <v>0</v>
      </c>
    </row>
    <row r="169" spans="1:30" hidden="1" x14ac:dyDescent="0.2">
      <c r="A169" s="95">
        <f>'TAX Interest Rates'!A66</f>
        <v>44834</v>
      </c>
      <c r="B169" s="104">
        <f t="shared" ref="B169:P169" si="175">ROUND(-B57*B111,2)</f>
        <v>0</v>
      </c>
      <c r="C169" s="104">
        <f t="shared" si="175"/>
        <v>0</v>
      </c>
      <c r="D169" s="104">
        <f t="shared" si="175"/>
        <v>0</v>
      </c>
      <c r="E169" s="104">
        <f t="shared" si="175"/>
        <v>0</v>
      </c>
      <c r="F169" s="104">
        <f t="shared" si="175"/>
        <v>0</v>
      </c>
      <c r="G169" s="104">
        <f t="shared" si="175"/>
        <v>0</v>
      </c>
      <c r="H169" s="104">
        <f t="shared" si="175"/>
        <v>0</v>
      </c>
      <c r="I169" s="104">
        <f t="shared" si="175"/>
        <v>0</v>
      </c>
      <c r="J169" s="104">
        <f t="shared" si="175"/>
        <v>0</v>
      </c>
      <c r="K169" s="104">
        <f t="shared" si="175"/>
        <v>0</v>
      </c>
      <c r="L169" s="104">
        <f t="shared" si="175"/>
        <v>0</v>
      </c>
      <c r="M169" s="104">
        <f t="shared" si="175"/>
        <v>0</v>
      </c>
      <c r="N169" s="104">
        <f t="shared" si="175"/>
        <v>0</v>
      </c>
      <c r="O169" s="104">
        <f t="shared" si="175"/>
        <v>0</v>
      </c>
      <c r="P169" s="104">
        <f t="shared" si="175"/>
        <v>0</v>
      </c>
      <c r="R169" s="1">
        <f t="shared" si="156"/>
        <v>0</v>
      </c>
      <c r="T169" s="1">
        <f t="shared" si="157"/>
        <v>0</v>
      </c>
      <c r="U169" s="1">
        <f t="shared" si="158"/>
        <v>0</v>
      </c>
      <c r="V169" s="1">
        <f t="shared" si="159"/>
        <v>0</v>
      </c>
      <c r="W169" s="1">
        <f t="shared" si="160"/>
        <v>0</v>
      </c>
      <c r="X169" s="1">
        <f t="shared" si="161"/>
        <v>0</v>
      </c>
      <c r="Y169" s="1">
        <f t="shared" si="162"/>
        <v>0</v>
      </c>
      <c r="Z169" s="1">
        <f t="shared" si="163"/>
        <v>0</v>
      </c>
      <c r="AA169" s="1">
        <f t="shared" si="164"/>
        <v>0</v>
      </c>
      <c r="AB169" s="1">
        <f t="shared" si="165"/>
        <v>0</v>
      </c>
      <c r="AC169" s="1">
        <f t="shared" si="166"/>
        <v>0</v>
      </c>
      <c r="AD169" s="1">
        <f t="shared" si="167"/>
        <v>0</v>
      </c>
    </row>
    <row r="170" spans="1:30" hidden="1" x14ac:dyDescent="0.2">
      <c r="A170" s="95">
        <f>'TAX Interest Rates'!A67</f>
        <v>44865</v>
      </c>
      <c r="B170" s="104">
        <f t="shared" ref="B170:P170" si="176">ROUND(-B58*B112,2)</f>
        <v>0</v>
      </c>
      <c r="C170" s="104">
        <f t="shared" si="176"/>
        <v>0</v>
      </c>
      <c r="D170" s="104">
        <f t="shared" si="176"/>
        <v>0</v>
      </c>
      <c r="E170" s="104">
        <f t="shared" si="176"/>
        <v>0</v>
      </c>
      <c r="F170" s="104">
        <f t="shared" si="176"/>
        <v>0</v>
      </c>
      <c r="G170" s="104">
        <f t="shared" si="176"/>
        <v>0</v>
      </c>
      <c r="H170" s="104">
        <f t="shared" si="176"/>
        <v>0</v>
      </c>
      <c r="I170" s="104">
        <f t="shared" si="176"/>
        <v>0</v>
      </c>
      <c r="J170" s="104">
        <f t="shared" si="176"/>
        <v>0</v>
      </c>
      <c r="K170" s="104">
        <f t="shared" si="176"/>
        <v>0</v>
      </c>
      <c r="L170" s="104">
        <f t="shared" si="176"/>
        <v>0</v>
      </c>
      <c r="M170" s="104">
        <f t="shared" si="176"/>
        <v>0</v>
      </c>
      <c r="N170" s="104">
        <f t="shared" si="176"/>
        <v>0</v>
      </c>
      <c r="O170" s="104">
        <f t="shared" si="176"/>
        <v>0</v>
      </c>
      <c r="P170" s="104">
        <f t="shared" si="176"/>
        <v>0</v>
      </c>
      <c r="R170" s="1">
        <f t="shared" si="156"/>
        <v>0</v>
      </c>
      <c r="T170" s="1">
        <f t="shared" si="157"/>
        <v>0</v>
      </c>
      <c r="U170" s="1">
        <f t="shared" si="158"/>
        <v>0</v>
      </c>
      <c r="V170" s="1">
        <f t="shared" si="159"/>
        <v>0</v>
      </c>
      <c r="W170" s="1">
        <f t="shared" si="160"/>
        <v>0</v>
      </c>
      <c r="X170" s="1">
        <f t="shared" si="161"/>
        <v>0</v>
      </c>
      <c r="Y170" s="1">
        <f t="shared" si="162"/>
        <v>0</v>
      </c>
      <c r="Z170" s="1">
        <f t="shared" si="163"/>
        <v>0</v>
      </c>
      <c r="AA170" s="1">
        <f t="shared" si="164"/>
        <v>0</v>
      </c>
      <c r="AB170" s="1">
        <f t="shared" si="165"/>
        <v>0</v>
      </c>
      <c r="AC170" s="1">
        <f t="shared" si="166"/>
        <v>0</v>
      </c>
      <c r="AD170" s="1">
        <f t="shared" si="167"/>
        <v>0</v>
      </c>
    </row>
  </sheetData>
  <mergeCells count="4">
    <mergeCell ref="C2:E2"/>
    <mergeCell ref="F2:H2"/>
    <mergeCell ref="I2:J2"/>
    <mergeCell ref="M2:P2"/>
  </mergeCells>
  <printOptions horizontalCentered="1"/>
  <pageMargins left="0.25" right="0.25" top="0.75" bottom="0.75" header="0.3" footer="0.3"/>
  <pageSetup scale="83" orientation="landscape" r:id="rId1"/>
  <headerFooter>
    <oddFooter xml:space="preserve">&amp;LWA Tax Deferral Accounts&amp;C&amp;A&amp;R47WA.2540.20482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4F6BCA26D4124898A947854461FAE8" ma:contentTypeVersion="44" ma:contentTypeDescription="" ma:contentTypeScope="" ma:versionID="04d8f703f5bd88e2dedb0ceddeacae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Exhibit - Proposed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2021-09-30T07:00:00+00:00</OpenedDate>
    <SignificantOrder xmlns="dc463f71-b30c-4ab2-9473-d307f9d35888">false</SignificantOrder>
    <Date1 xmlns="dc463f71-b30c-4ab2-9473-d307f9d35888">2022-06-02T07:00:00+00:00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210755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70541D-BA6A-4804-A993-9C5D1147BE00}"/>
</file>

<file path=customXml/itemProps2.xml><?xml version="1.0" encoding="utf-8"?>
<ds:datastoreItem xmlns:ds="http://schemas.openxmlformats.org/officeDocument/2006/customXml" ds:itemID="{693B1943-73B9-4386-992E-9098CF7B7C29}"/>
</file>

<file path=customXml/itemProps3.xml><?xml version="1.0" encoding="utf-8"?>
<ds:datastoreItem xmlns:ds="http://schemas.openxmlformats.org/officeDocument/2006/customXml" ds:itemID="{3AFE4973-2042-41E2-83B9-41A5977DDECF}"/>
</file>

<file path=customXml/itemProps4.xml><?xml version="1.0" encoding="utf-8"?>
<ds:datastoreItem xmlns:ds="http://schemas.openxmlformats.org/officeDocument/2006/customXml" ds:itemID="{6FE92745-596F-4A81-AB84-FAA403EABA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TAX Interest Rates</vt:lpstr>
      <vt:lpstr>Therm Sales Master</vt:lpstr>
      <vt:lpstr>AMORTIZATIONS</vt:lpstr>
      <vt:lpstr>2540.20481</vt:lpstr>
      <vt:lpstr>Protected EDIT Base</vt:lpstr>
      <vt:lpstr>2540.20482</vt:lpstr>
      <vt:lpstr>Protected EDIT Gross up</vt:lpstr>
      <vt:lpstr>'2540.20481'!Print_Area</vt:lpstr>
      <vt:lpstr>'2540.20482'!Print_Area</vt:lpstr>
      <vt:lpstr>'Protected EDIT Base'!Print_Area</vt:lpstr>
      <vt:lpstr>'Protected EDIT Gross up'!Print_Area</vt:lpstr>
      <vt:lpstr>'TAX Interest Rates'!Print_Area</vt:lpstr>
      <vt:lpstr>'Therm Sales Master'!Print_Area</vt:lpstr>
      <vt:lpstr>TAXINT18</vt:lpstr>
      <vt:lpstr>TAXINT19</vt:lpstr>
      <vt:lpstr>TAXINT20</vt:lpstr>
      <vt:lpstr>TAXINT21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T. Stoltz</dc:creator>
  <cp:lastModifiedBy>Parvinen, Michael</cp:lastModifiedBy>
  <cp:lastPrinted>2022-01-06T19:09:01Z</cp:lastPrinted>
  <dcterms:created xsi:type="dcterms:W3CDTF">1998-11-07T00:14:43Z</dcterms:created>
  <dcterms:modified xsi:type="dcterms:W3CDTF">2022-01-20T17:39:52Z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0x0101006E56B4D1795A2E4DB2F0B01679ED314A003E4F6BCA26D4124898A947854461FAE8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