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5.xml" ContentType="application/vnd.openxmlformats-officedocument.spreadsheetml.worksheet+xml"/>
  <Override PartName="/xl/worksheets/sheet25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0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9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2019 GRC\Data Requests\Bench Requests\Bench Request No. 011 (proforma updates)\#RevReq-Attrition-COS-Bench-Request-011(C)\"/>
    </mc:Choice>
  </mc:AlternateContent>
  <bookViews>
    <workbookView xWindow="20" yWindow="1800" windowWidth="28800" windowHeight="12860" tabRatio="831"/>
  </bookViews>
  <sheets>
    <sheet name="Combined Impacts" sheetId="66" r:id="rId1"/>
    <sheet name="Typical Res Bill Impact" sheetId="56" r:id="rId2"/>
    <sheet name="Work Papers--&gt;" sheetId="51" r:id="rId3"/>
    <sheet name="Individual Impacts--&gt;" sheetId="72" r:id="rId4"/>
    <sheet name="Average Rate Impacts" sheetId="67" r:id="rId5"/>
    <sheet name="Base Rate Impacts" sheetId="65" r:id="rId6"/>
    <sheet name="Sch. 141 Impacts" sheetId="69" r:id="rId7"/>
    <sheet name="Sch. 141X Impacts" sheetId="70" r:id="rId8"/>
    <sheet name="Sch. 149 Impacts" sheetId="71" r:id="rId9"/>
    <sheet name="Rider Revenue Calculation--&gt;" sheetId="28" r:id="rId10"/>
    <sheet name="Schedule 106 Revenue" sheetId="24" r:id="rId11"/>
    <sheet name="Schedule 120 Revenue" sheetId="25" r:id="rId12"/>
    <sheet name="Schedule 129 Revenue" sheetId="11" r:id="rId13"/>
    <sheet name="Schedule 132 Revenue" sheetId="26" r:id="rId14"/>
    <sheet name="Schedule 140 Revenue" sheetId="21" r:id="rId15"/>
    <sheet name="Schedule 141 Revenue" sheetId="18" r:id="rId16"/>
    <sheet name="Schedule 141X Revenue" sheetId="53" r:id="rId17"/>
    <sheet name="Schedule 141Y Revenue" sheetId="61" r:id="rId18"/>
    <sheet name="Sch 142 Revenue (Decoupling)" sheetId="48" r:id="rId19"/>
    <sheet name="Sch 142 Revenue (Rate Plan)" sheetId="16" r:id="rId20"/>
    <sheet name="Schedule 149 Revenue" sheetId="22" r:id="rId21"/>
    <sheet name="Data--&gt;" sheetId="36" r:id="rId22"/>
    <sheet name="Normalized Therms" sheetId="10" r:id="rId23"/>
    <sheet name="12ME Dec18 Rentals" sheetId="37" r:id="rId24"/>
    <sheet name="12ME Dec18 Data" sheetId="15" r:id="rId25"/>
    <sheet name="12ME Dec18 Bill Freq" sheetId="13" r:id="rId26"/>
    <sheet name="12ME Dec18 Norm Therms" sheetId="39" r:id="rId27"/>
    <sheet name="12ME Dec18 Cal Bill Freq" sheetId="40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BUDG6_DSCRPR">[5]Quant!$D$71:$O$71</definedName>
    <definedName name="__123Graph_ABUDG6_ESCRPR1">[5]Quant!$D$100:$O$100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 localSheetId="27">[3]BS!$T$7:$T$3582</definedName>
    <definedName name="__Dec03">[3]BS!$T$7:$T$3582</definedName>
    <definedName name="__Dec04" localSheetId="27">[1]BS!$AC$7:$AC$3580</definedName>
    <definedName name="__Dec04">[1]BS!$AC$7:$AC$3580</definedName>
    <definedName name="__Feb04" localSheetId="18">[1]BS!$S$7:$S$3582</definedName>
    <definedName name="__Feb04" localSheetId="19">[1]BS!$S$7:$S$3582</definedName>
    <definedName name="__Feb04" localSheetId="12">[1]BS!$S$7:$S$3582</definedName>
    <definedName name="__Jan04" localSheetId="18">[1]BS!$R$7:$R$3582</definedName>
    <definedName name="__Jan04" localSheetId="19">[1]BS!$R$7:$R$3582</definedName>
    <definedName name="__Jan04" localSheetId="12">[1]BS!$R$7:$R$3582</definedName>
    <definedName name="__Jul04" localSheetId="27">[1]BS!$X$7:$X$3582</definedName>
    <definedName name="__Jul04">[1]BS!$X$7:$X$3582</definedName>
    <definedName name="__Jul09" xml:space="preserve"> [2]BS!$X$7:$X$1726</definedName>
    <definedName name="__Jun04" localSheetId="27">[1]BS!$W$7:$W$3582</definedName>
    <definedName name="__Jun04">[1]BS!$W$7:$W$3582</definedName>
    <definedName name="__Jun09">" BS!$AI$7:$AI$1643"</definedName>
    <definedName name="__Mar04" localSheetId="18">[1]BS!$T$7:$T$3582</definedName>
    <definedName name="__Mar04" localSheetId="19">[1]BS!$T$7:$T$3582</definedName>
    <definedName name="__Mar04" localSheetId="12">[1]BS!$T$7:$T$3582</definedName>
    <definedName name="__May04" localSheetId="27">[1]BS!$V$7:$V$3582</definedName>
    <definedName name="__May04">[1]BS!$V$7:$V$3582</definedName>
    <definedName name="__Nov03" localSheetId="27">[3]BS!$S$7:$S$3582</definedName>
    <definedName name="__Nov03">[3]BS!$S$7:$S$3582</definedName>
    <definedName name="__Nov04" localSheetId="27">[1]BS!$AB$7:$AB$3582</definedName>
    <definedName name="__Nov04">[1]BS!$AB$7:$AB$3582</definedName>
    <definedName name="__Oct03" localSheetId="27">[3]BS!$R$7:$R$3582</definedName>
    <definedName name="__Oct03">[3]BS!$R$7:$R$3582</definedName>
    <definedName name="__Oct04" localSheetId="27">[1]BS!$AA$7:$AA$3582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 localSheetId="27">[3]BS!$Q$7:$Q$3582</definedName>
    <definedName name="__Sep03">[3]BS!$Q$7:$Q$3582</definedName>
    <definedName name="__Sep04" localSheetId="27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27">[1]BS!$U$7:$U$3582</definedName>
    <definedName name="_Apr04">[1]BS!$U$7:$U$3582</definedName>
    <definedName name="_Apr09" xml:space="preserve"> [2]BS!$U$7:$U$1726</definedName>
    <definedName name="_Aug04" localSheetId="27">[1]BS!$Y$7:$Y$3582</definedName>
    <definedName name="_Aug04">[1]BS!$Y$7:$Y$3582</definedName>
    <definedName name="_Aug09" xml:space="preserve"> [2]BS!$Y$7:$Y$1726</definedName>
    <definedName name="_Dec03" localSheetId="27">[3]BS!$T$7:$T$3582</definedName>
    <definedName name="_Dec03">[3]BS!$T$7:$T$3582</definedName>
    <definedName name="_Dec04" localSheetId="27">[1]BS!$AC$7:$AC$3580</definedName>
    <definedName name="_Dec04">[1]BS!$AC$7:$AC$3580</definedName>
    <definedName name="_Dec08" xml:space="preserve"> [2]BS!$Q$7:$Q$1726</definedName>
    <definedName name="_Feb04" localSheetId="27">[1]BS!$S$7:$S$3582</definedName>
    <definedName name="_Feb04">[1]BS!$S$7:$S$3582</definedName>
    <definedName name="_FEB09" xml:space="preserve"> [2]BS!$S$7:$S$1726</definedName>
    <definedName name="_FEDERAL_INCOME_TAX">'[6]MJS-7'!$N$21</definedName>
    <definedName name="_Jan04" localSheetId="27">[1]BS!$R$7:$R$3582</definedName>
    <definedName name="_Jan04">[1]BS!$R$7:$R$3582</definedName>
    <definedName name="_Jul04" localSheetId="27">[1]BS!$X$7:$X$3582</definedName>
    <definedName name="_Jul04">[1]BS!$X$7:$X$3582</definedName>
    <definedName name="_Jul09" xml:space="preserve"> [2]BS!$X$7:$X$1726</definedName>
    <definedName name="_Jun04" localSheetId="27">[1]BS!$W$7:$W$3582</definedName>
    <definedName name="_Jun04">[1]BS!$W$7:$W$3582</definedName>
    <definedName name="_Jun09" xml:space="preserve"> [2]BS!$W$7:$W$1726</definedName>
    <definedName name="_Mar04" localSheetId="27">[1]BS!$T$7:$T$3582</definedName>
    <definedName name="_Mar04">[1]BS!$T$7:$T$3582</definedName>
    <definedName name="_May04" localSheetId="27">[1]BS!$V$7:$V$3582</definedName>
    <definedName name="_May04">[1]BS!$V$7:$V$3582</definedName>
    <definedName name="_May09" xml:space="preserve"> [2]BS!$V$7:$V$1726</definedName>
    <definedName name="_Nov03" localSheetId="27">[3]BS!$S$7:$S$3582</definedName>
    <definedName name="_Nov03">[3]BS!$S$7:$S$3582</definedName>
    <definedName name="_Nov04" localSheetId="27">[1]BS!$AB$7:$AB$3582</definedName>
    <definedName name="_Nov04">[1]BS!$AB$7:$AB$3582</definedName>
    <definedName name="_Oct03" localSheetId="27">[3]BS!$R$7:$R$3582</definedName>
    <definedName name="_Oct03">[3]BS!$R$7:$R$3582</definedName>
    <definedName name="_Oct04" localSheetId="27">[1]BS!$AA$7:$AA$3582</definedName>
    <definedName name="_Oct04">[1]BS!$AA$7:$AA$3582</definedName>
    <definedName name="_Oct09" xml:space="preserve"> [2]BS!$AA$7:$AA$1726</definedName>
    <definedName name="_Order1" localSheetId="22">0</definedName>
    <definedName name="_Order1" localSheetId="18">255</definedName>
    <definedName name="_Order1" localSheetId="19">255</definedName>
    <definedName name="_Order1" localSheetId="12">0</definedName>
    <definedName name="_Order1" localSheetId="15">0</definedName>
    <definedName name="_Order1" localSheetId="16">0</definedName>
    <definedName name="_Order1" localSheetId="1">0</definedName>
    <definedName name="_Order1">255</definedName>
    <definedName name="_Order2" localSheetId="22">0</definedName>
    <definedName name="_Order2" localSheetId="18">255</definedName>
    <definedName name="_Order2" localSheetId="19">255</definedName>
    <definedName name="_Order2" localSheetId="12">0</definedName>
    <definedName name="_Order2" localSheetId="15">0</definedName>
    <definedName name="_Order2" localSheetId="16">0</definedName>
    <definedName name="_Order2" localSheetId="1">0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27">[3]BS!$Q$7:$Q$3582</definedName>
    <definedName name="_Sep03">[3]BS!$Q$7:$Q$3582</definedName>
    <definedName name="_Sep04" localSheetId="27">[1]BS!$Z$7:$Z$3582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 localSheetId="27">'[9]Acquisition Inputs'!$C$8</definedName>
    <definedName name="Acq1Plant">'[9]Acquisition Inputs'!$C$8</definedName>
    <definedName name="Acq2Plant" localSheetId="27">'[9]Acquisition Inputs'!$C$70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fter_Tax_Cash_Discount">'[12]Assumptions (Input)'!$D$37</definedName>
    <definedName name="afudc_flag">'[12]Assumptions (Input)'!$B$13</definedName>
    <definedName name="ANCIL">[4]EXTERNAL!$A$163:$IV$165</definedName>
    <definedName name="Apr04AMA" localSheetId="27">[1]BS!$AG$7:$AG$3582</definedName>
    <definedName name="Apr04AMA">[1]BS!$AG$7:$AG$3582</definedName>
    <definedName name="APR09AMA">[2]BS!$AN$7:$AN$1725</definedName>
    <definedName name="Apr10AMA">[2]BS!$AZ$7:$AZ$1726</definedName>
    <definedName name="aquila_lookup">'[13]Cabot Gas Replacement'!$B$8:$F$16</definedName>
    <definedName name="AS2DocOpenMode">"AS2DocumentEdit"</definedName>
    <definedName name="Assessment_Rate">'[12]Assumptions (Input)'!$B$7</definedName>
    <definedName name="Asset_Class_Switch">[14]Assumptions!$D$5</definedName>
    <definedName name="Aug04AMA" localSheetId="27">[1]BS!$AK$7:$AK$3582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>[15]LeadSht!$L$10</definedName>
    <definedName name="BOOK_LIFE">'[16]Lvl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[17]Readings!$B$2</definedName>
    <definedName name="Capital_Inflation">'[12]Assumptions (Input)'!$B$11</definedName>
    <definedName name="CASE" localSheetId="18">[18]INPUTS!$C$8</definedName>
    <definedName name="CASE" localSheetId="19">[18]INPUTS!$C$8</definedName>
    <definedName name="CASE" localSheetId="12">[18]INPUTS!$C$8</definedName>
    <definedName name="CASE">[19]INPUTS!$C$11</definedName>
    <definedName name="Case_Name">'[20]KJB-6,13 Cmn Adj'!$B$8</definedName>
    <definedName name="CaseDescription" localSheetId="27">'[9]Dispatch Cases'!$C$11</definedName>
    <definedName name="CaseDescription">'[9]Dispatch Cases'!$C$11</definedName>
    <definedName name="CBWorkbookPriority">-2060790043</definedName>
    <definedName name="CCGT_HeatRate" localSheetId="27">[9]Assumptions!$H$23</definedName>
    <definedName name="CCGT_HeatRate">[9]Assumptions!$H$23</definedName>
    <definedName name="CCGTPrice" localSheetId="27">[9]Assumptions!$H$22</definedName>
    <definedName name="CCGTPrice">[9]Assumptions!$H$22</definedName>
    <definedName name="CL_RT2">'[21]Transp Data'!$A$6:$C$81</definedName>
    <definedName name="Close_Date">'[12]Capital Projects(Input)'!$D$7:$D$53</definedName>
    <definedName name="Construction_OH">'[22]Virtual 49 Back-Up'!$E$54</definedName>
    <definedName name="ConversionFactor" localSheetId="27">[9]Assumptions!$I$65</definedName>
    <definedName name="ConversionFactor">[9]Assumptions!$I$65</definedName>
    <definedName name="COSFacVal">[7]Inputs!$R$5</definedName>
    <definedName name="CurrQtr">'[23]Inc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'[24]Mix Variance'!$B$1:$N$31</definedName>
    <definedName name="Data.Avg">'[23]Avg Amts'!$A$5:$BP$34</definedName>
    <definedName name="Data.Qtrs.Avg">'[23]Avg Amts'!$A$5:$IV$5</definedName>
    <definedName name="data1">'[25]Mix Variance'!$O$5:$T$25</definedName>
    <definedName name="DebtPerc" localSheetId="27">[9]Assumptions!$I$58</definedName>
    <definedName name="DebtPerc">[9]Assumptions!$I$58</definedName>
    <definedName name="Dec03AMA" localSheetId="27">[3]BS!$AJ$7:$AJ$3582</definedName>
    <definedName name="Dec03AMA">[3]BS!$AJ$7:$AJ$3582</definedName>
    <definedName name="Dec04AMA" localSheetId="27">[1]BS!$AO$7:$AO$3582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[26]Inputs!$D$11</definedName>
    <definedName name="DES1.T">[4]INTERNAL!$A$40:$IV$42</definedName>
    <definedName name="DES2.T">[4]INTERNAL!$A$43:$IV$45</definedName>
    <definedName name="DF_HeatRate" localSheetId="27">[9]Assumptions!$L$23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'[27]Assumptions of Purchase'!$B$45</definedName>
    <definedName name="DisFac">'[7]Func Dist Factor Table'!$A$11:$G$25</definedName>
    <definedName name="DocketNumber">'[28]JHS-4'!$AP$2</definedName>
    <definedName name="DP.T">[4]INTERNAL!$A$46:$IV$48</definedName>
    <definedName name="EBFIT.T">[4]INTERNAL!$A$88:$IV$90</definedName>
    <definedName name="EffTax" localSheetId="18">[4]INPUTS!$F$31</definedName>
    <definedName name="EffTax" localSheetId="19">[4]INPUTS!$F$31</definedName>
    <definedName name="EffTax" localSheetId="12">[4]INPUTS!$F$31</definedName>
    <definedName name="EffTax">[19]INPUTS!$F$36</definedName>
    <definedName name="Electric_Prices" localSheetId="27">'[29]Monthly Price Summary'!$B$4:$E$27</definedName>
    <definedName name="Electric_Prices">'[29]Monthly Price Summary'!$B$4:$E$27</definedName>
    <definedName name="ElRBLine" localSheetId="27">[1]BS!$AQ$7:$AQ$3303</definedName>
    <definedName name="ElRBLine">[1]BS!$AQ$7:$AQ$3303</definedName>
    <definedName name="EndDate" localSheetId="27">[9]Assumptions!$C$11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[26]Inputs!$D$12</definedName>
    <definedName name="EPIS.T">[4]INTERNAL!$A$49:$IV$51</definedName>
    <definedName name="Escalator">1.025</definedName>
    <definedName name="Exhibit_No.______MJS_4">'[6]MJS-4'!$O$3</definedName>
    <definedName name="Exhibit_No.______MJS_5">'[6]MJS-5'!$E$3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'[22]Virtual 49 Back-Up'!$B$20</definedName>
    <definedName name="Feb04AMA" localSheetId="27">[1]BS!$AE$7:$AE$3582</definedName>
    <definedName name="Feb04AMA">[1]BS!$AE$7:$AE$3582</definedName>
    <definedName name="Feb09AMA">[2]BS!$AL$7:$AL$1725</definedName>
    <definedName name="Feb10AMA">[2]BS!$AX$7:$AX$1726</definedName>
    <definedName name="Fed_Cap_Tax" localSheetId="27">[30]Inputs!$E$112</definedName>
    <definedName name="Fed_Cap_Tax">[30]Inputs!$E$112</definedName>
    <definedName name="FedTaxRate" localSheetId="27">[9]Assumptions!$C$33</definedName>
    <definedName name="FedTaxRate">[9]Assumptions!$C$33</definedName>
    <definedName name="FERC_Lookup">'[31]Map Table'!$E$2:$F$58</definedName>
    <definedName name="FIT">'[32]ROR &amp; CONV FACTOR'!$J$20</definedName>
    <definedName name="FIT_Tax_Rate">'[12]Assumptions (Input)'!$B$5</definedName>
    <definedName name="FranchiseTax">[11]Variables!$D$26</definedName>
    <definedName name="FTAX" localSheetId="18">[4]INPUTS!$F$30</definedName>
    <definedName name="FTAX" localSheetId="19">[4]INPUTS!$F$30</definedName>
    <definedName name="FTAX" localSheetId="12">[4]INPUTS!$F$30</definedName>
    <definedName name="FTAX">[19]INPUTS!$F$35</definedName>
    <definedName name="Func">'[7]Func Factor Table'!$A$10:$H$77</definedName>
    <definedName name="Function">'[7]Func Study'!$AB$250</definedName>
    <definedName name="GasRBLine" localSheetId="27">[1]BS!$AS$7:$AS$3631</definedName>
    <definedName name="GasRBLine">[1]BS!$AS$7:$AS$3631</definedName>
    <definedName name="GasWC_LineItem" localSheetId="27">[1]BS!$AR$7:$AR$3631</definedName>
    <definedName name="GasWC_LineItem">[1]BS!$AR$7:$AR$3631</definedName>
    <definedName name="GP.T">[4]INTERNAL!$A$52:$IV$54</definedName>
    <definedName name="HTML_CodePage">1252</definedName>
    <definedName name="HTML_Control" localSheetId="25">{"'Sheet1'!$A$1:$J$121"}</definedName>
    <definedName name="HTML_Control" localSheetId="27">{"'Sheet1'!$A$1:$J$121"}</definedName>
    <definedName name="HTML_Control" localSheetId="26">{"'Sheet1'!$A$1:$J$121"}</definedName>
    <definedName name="HTML_Control" localSheetId="4">{"'Sheet1'!$A$1:$J$121"}</definedName>
    <definedName name="HTML_Control" localSheetId="5">{"'Sheet1'!$A$1:$J$121"}</definedName>
    <definedName name="HTML_Control" localSheetId="0">{"'Sheet1'!$A$1:$J$121"}</definedName>
    <definedName name="HTML_Control" localSheetId="18">{"'Sheet1'!$A$1:$J$121"}</definedName>
    <definedName name="HTML_Control" localSheetId="19">{"'Sheet1'!$A$1:$J$121"}</definedName>
    <definedName name="HTML_Control" localSheetId="6">{"'Sheet1'!$A$1:$J$121"}</definedName>
    <definedName name="HTML_Control" localSheetId="7">{"'Sheet1'!$A$1:$J$121"}</definedName>
    <definedName name="HTML_Control" localSheetId="8">{"'Sheet1'!$A$1:$J$121"}</definedName>
    <definedName name="HTML_Control" localSheetId="12">{"'Sheet1'!$A$1:$J$121"}</definedName>
    <definedName name="HTML_Control" localSheetId="1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'[12]Assumptions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27">[1]BS!$AD$7:$AD$3582</definedName>
    <definedName name="Jan04AMA">[1]BS!$AD$7:$AD$3582</definedName>
    <definedName name="Jan09AMA">[2]BS!$AK$7:$AK$1743</definedName>
    <definedName name="Jan10AMA">[2]BS!$AW$7:$AW$1726</definedName>
    <definedName name="jjj">[33]Inputs!$N$18</definedName>
    <definedName name="JP_Bal">[34]ACCOUNTS!$AG$31</definedName>
    <definedName name="Jul04AMA" localSheetId="27">[1]BS!$AJ$7:$AJ$3582</definedName>
    <definedName name="Jul04AMA">[1]BS!$AJ$7:$AJ$3582</definedName>
    <definedName name="Jul09AMA">[2]BS!$AQ$7:$AQ$1726</definedName>
    <definedName name="Jun04AMA" localSheetId="27">[1]BS!$AI$7:$AI$3582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_Docket_Number">'[20]KJB-12 Sum'!$AS$2</definedName>
    <definedName name="k_FITrate">'[20]KJB-3,11 Def'!$L$20</definedName>
    <definedName name="keep_Docket_Number">'[35]KJB-3 Sum'!$AQ$2</definedName>
    <definedName name="keep_FIT">'[35]KJB-7 Def'!$L$20</definedName>
    <definedName name="keep_KJB_3_Rate_Increase">'[35]KJB-7 Def'!$C$3</definedName>
    <definedName name="keep_KJB_4_Electric_Summary">'[35]KJB-3 Sum'!$AQ$3</definedName>
    <definedName name="keep_KJB_8_Common_Adjs">'[35]KJB-5 Cmn Adj'!$L$3</definedName>
    <definedName name="keep_KJB_9_Electric_Only">'[35]KJB-5 El Adj'!$E$3</definedName>
    <definedName name="keep_PSE">'[36]Gas Summary'!$I$5</definedName>
    <definedName name="keep_TESTYEAR">'[36]Gas Detail Pages'!$A$8</definedName>
    <definedName name="kp_DOCKET">'[36]Gas Detail Pages'!$A$9</definedName>
    <definedName name="Last_Row" localSheetId="4">IF('Average Rate Impacts'!Values_Entered,Header_Row+'Average Rate Impacts'!Number_of_Payments,Header_Row)</definedName>
    <definedName name="Last_Row" localSheetId="5">IF('Base Rate Impacts'!Values_Entered,Header_Row+'Base Rate Impacts'!Number_of_Payments,Header_Row)</definedName>
    <definedName name="Last_Row" localSheetId="0">IF('Combined Impacts'!Values_Entered,Header_Row+'Combined Impacts'!Number_of_Payments,Header_Row)</definedName>
    <definedName name="Last_Row" localSheetId="18">IF('Sch 142 Revenue (Decoupling)'!Values_Entered,Header_Row+'Sch 142 Revenue (Decoupling)'!Number_of_Payments,Header_Row)</definedName>
    <definedName name="Last_Row" localSheetId="19">IF('Sch 142 Revenue (Rate Plan)'!Values_Entered,Header_Row+'Sch 142 Revenue (Rate Plan)'!Number_of_Payments,Header_Row)</definedName>
    <definedName name="Last_Row" localSheetId="6">IF('Sch. 141 Impacts'!Values_Entered,Header_Row+'Sch. 141 Impacts'!Number_of_Payments,Header_Row)</definedName>
    <definedName name="Last_Row" localSheetId="7">IF('Sch. 141X Impacts'!Values_Entered,Header_Row+'Sch. 141X Impacts'!Number_of_Payments,Header_Row)</definedName>
    <definedName name="Last_Row" localSheetId="8">IF('Sch. 149 Impacts'!Values_Entered,Header_Row+'Sch. 149 Impacts'!Number_of_Payments,Header_Row)</definedName>
    <definedName name="Last_Row" localSheetId="13">IF('Schedule 132 Revenue'!Values_Entered,Header_Row+'Schedule 132 Revenue'!Number_of_Payments,Header_Row)</definedName>
    <definedName name="Last_Row" localSheetId="14">IF('Schedule 140 Revenue'!Values_Entered,Header_Row+'Schedule 140 Revenue'!Number_of_Payments,Header_Row)</definedName>
    <definedName name="Last_Row" localSheetId="16">IF('Schedule 141X Revenue'!Values_Entered,Header_Row+'Schedule 141X Revenue'!Number_of_Payments,Header_Row)</definedName>
    <definedName name="Last_Row" localSheetId="17">IF('Schedule 141Y Revenue'!Values_Entered,Header_Row+'Schedule 141Y Revenue'!Number_of_Payments,Header_Row)</definedName>
    <definedName name="Last_Row" localSheetId="20">IF('Schedule 149 Revenue'!Values_Entered,Header_Row+'Schedule 149 Revenue'!Number_of_Payments,Header_Row)</definedName>
    <definedName name="Last_Row" localSheetId="1">IF('Typical Res Bill Impact'!Values_Entered,Header_Row+'Typical Res Bill Impact'!Number_of_Payments,Header_Row)</definedName>
    <definedName name="Last_Row">IF([0]!Values_Entered,Header_Row+[0]!Number_of_Payments,Header_Row)</definedName>
    <definedName name="Levy_Rate">'[12]Assumptions (Input)'!$B$6</definedName>
    <definedName name="limcount">1</definedName>
    <definedName name="LINE.T">[4]INTERNAL!$A$55:$IV$57</definedName>
    <definedName name="LinkCos">'[7]JAM Download'!$K$4</definedName>
    <definedName name="Load_Factor">[34]ACCOUNTS!$AG$167</definedName>
    <definedName name="LoadArray">'[37]Load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[38]M9100F4!$A$1:$V$99</definedName>
    <definedName name="MACRS">'[12]MACRS RATES'!$A$3:$AT$10</definedName>
    <definedName name="Mar04AMA" localSheetId="27">[1]BS!$AF$7:$AF$3582</definedName>
    <definedName name="Mar04AMA">[1]BS!$AF$7:$AF$3582</definedName>
    <definedName name="MAR09AMA">[2]BS!$AM$7:$AM$1725</definedName>
    <definedName name="Mar10AMA">[2]BS!$AY$7:$AY$1726</definedName>
    <definedName name="May04AMA" localSheetId="27">[1]BS!$AH$7:$AH$3582</definedName>
    <definedName name="May04AMA">[1]BS!$AH$7:$AH$3582</definedName>
    <definedName name="MAY09AMA">[2]BS!$AO$7:$AO$1726</definedName>
    <definedName name="May10AMA">[2]BS!$BA$7:$BA$1726</definedName>
    <definedName name="menu1_Button5_Click" localSheetId="4">[39]!menu1_Button5_Click</definedName>
    <definedName name="menu1_Button5_Click" localSheetId="5">[39]!menu1_Button5_Click</definedName>
    <definedName name="menu1_Button5_Click" localSheetId="0">[39]!menu1_Button5_Click</definedName>
    <definedName name="menu1_Button5_Click" localSheetId="19">[39]!menu1_Button5_Click</definedName>
    <definedName name="menu1_Button5_Click" localSheetId="6">[39]!menu1_Button5_Click</definedName>
    <definedName name="menu1_Button5_Click" localSheetId="7">[39]!menu1_Button5_Click</definedName>
    <definedName name="menu1_Button5_Click" localSheetId="8">[39]!menu1_Button5_Click</definedName>
    <definedName name="menu1_Button5_Click" localSheetId="13">[39]!menu1_Button5_Click</definedName>
    <definedName name="menu1_Button5_Click" localSheetId="14">[39]!menu1_Button5_Click</definedName>
    <definedName name="menu1_Button5_Click" localSheetId="16">[39]!menu1_Button5_Click</definedName>
    <definedName name="menu1_Button5_Click" localSheetId="17">[39]!menu1_Button5_Click</definedName>
    <definedName name="menu1_Button5_Click" localSheetId="20">[39]!menu1_Button5_Click</definedName>
    <definedName name="menu1_Button5_Click">[39]!menu1_Button5_Click</definedName>
    <definedName name="menu1_Button6_Click" localSheetId="4">[39]!menu1_Button6_Click</definedName>
    <definedName name="menu1_Button6_Click" localSheetId="5">[39]!menu1_Button6_Click</definedName>
    <definedName name="menu1_Button6_Click" localSheetId="0">[39]!menu1_Button6_Click</definedName>
    <definedName name="menu1_Button6_Click" localSheetId="19">[39]!menu1_Button6_Click</definedName>
    <definedName name="menu1_Button6_Click" localSheetId="6">[39]!menu1_Button6_Click</definedName>
    <definedName name="menu1_Button6_Click" localSheetId="7">[39]!menu1_Button6_Click</definedName>
    <definedName name="menu1_Button6_Click" localSheetId="8">[39]!menu1_Button6_Click</definedName>
    <definedName name="menu1_Button6_Click" localSheetId="13">[39]!menu1_Button6_Click</definedName>
    <definedName name="menu1_Button6_Click" localSheetId="14">[39]!menu1_Button6_Click</definedName>
    <definedName name="menu1_Button6_Click" localSheetId="16">[39]!menu1_Button6_Click</definedName>
    <definedName name="menu1_Button6_Click" localSheetId="17">[39]!menu1_Button6_Click</definedName>
    <definedName name="menu1_Button6_Click" localSheetId="20">[39]!menu1_Button6_Click</definedName>
    <definedName name="menu1_Button6_Click">[39]!menu1_Button6_Click</definedName>
    <definedName name="MERGER_COST" localSheetId="18">[40]Sheet1!$AF$3:$AJ$28</definedName>
    <definedName name="MERGER_COST" localSheetId="19">[40]Sheet1!$AF$3:$AJ$28</definedName>
    <definedName name="MERGER_COST" localSheetId="12">[40]Sheet1!$AF$3:$AJ$28</definedName>
    <definedName name="MERGER_COST">[41]Sheet1!$AF$3:$AJ$28</definedName>
    <definedName name="METER">[4]EXTERNAL!$A$34:$IV$36</definedName>
    <definedName name="Method">[10]Inputs!$C$6</definedName>
    <definedName name="monthlist">[42]Table!$R$2:$S$13</definedName>
    <definedName name="monthtotals">'[42]WA SBC'!$D$40:$O$40</definedName>
    <definedName name="MTD_Format" localSheetId="27">[43]Mthly!$B$11:$D$11,[43]Mthly!$B$32:$D$32</definedName>
    <definedName name="MTD_Format" localSheetId="18">[44]Mthly!$B$11:$D$11,[44]Mthly!$B$35:$D$35</definedName>
    <definedName name="MTD_Format" localSheetId="19">[44]Mthly!$B$11:$D$11,[44]Mthly!$B$35:$D$35</definedName>
    <definedName name="MTD_Format" localSheetId="12">[44]Mthly!$B$11:$D$11,[44]Mthly!$B$35:$D$35</definedName>
    <definedName name="MTD_Format">[43]Mthly!$B$11:$D$11,[43]Mthly!$B$32:$D$32</definedName>
    <definedName name="MTR_YR3">[45]Variables!$E$14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 localSheetId="27">[3]BS!$AI$7:$AI$3582</definedName>
    <definedName name="Nov03AMA">[3]BS!$AI$7:$AI$3582</definedName>
    <definedName name="Nov04AMA" localSheetId="27">[1]BS!$AN$7:$AN$3582</definedName>
    <definedName name="Nov04AMA">[1]BS!$AN$7:$AN$3582</definedName>
    <definedName name="Nov09AMA">[2]BS!$AU$7:$AU$1726</definedName>
    <definedName name="NPC">[46]Inputs!$N$18</definedName>
    <definedName name="NRG">[4]CLASSIFIERS!$A$5:$IV$5</definedName>
    <definedName name="Number_of_Payments" localSheetId="4">MATCH(0.01,End_Bal,-1)+1</definedName>
    <definedName name="Number_of_Payments" localSheetId="5">MATCH(0.01,End_Bal,-1)+1</definedName>
    <definedName name="Number_of_Payments" localSheetId="0">MATCH(0.01,End_Bal,-1)+1</definedName>
    <definedName name="Number_of_Payments" localSheetId="18">MATCH(0.01,End_Bal,-1)+1</definedName>
    <definedName name="Number_of_Payments" localSheetId="19">MATCH(0.01,End_Bal,-1)+1</definedName>
    <definedName name="Number_of_Payments" localSheetId="6">MATCH(0.01,End_Bal,-1)+1</definedName>
    <definedName name="Number_of_Payments" localSheetId="7">MATCH(0.01,End_Bal,-1)+1</definedName>
    <definedName name="Number_of_Payments" localSheetId="8">MATCH(0.01,End_Bal,-1)+1</definedName>
    <definedName name="Number_of_Payments" localSheetId="13">MATCH(0.01,End_Bal,-1)+1</definedName>
    <definedName name="Number_of_Payments" localSheetId="14">MATCH(0.01,End_Bal,-1)+1</definedName>
    <definedName name="Number_of_Payments" localSheetId="16">MATCH(0.01,End_Bal,-1)+1</definedName>
    <definedName name="Number_of_Payments" localSheetId="17">MATCH(0.01,End_Bal,-1)+1</definedName>
    <definedName name="Number_of_Payments" localSheetId="20">MATCH(0.01,End_Bal,-1)+1</definedName>
    <definedName name="Number_of_Payments" localSheetId="1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'[12]MiscItems(Input)'!$B$5:$AO$8,'[12]MiscItems(Input)'!$B$13:$AO$13,'[12]MiscItems(Input)'!$B$15:$B$17,'[12]MiscItems(Input)'!$B$17:$AO$17,'[12]MiscItems(Input)'!$B$15:$AO$15</definedName>
    <definedName name="O_M_Rate">'[22]Virtual 49 Back-Up'!$B$21</definedName>
    <definedName name="Oct03AMA" localSheetId="27">[3]BS!$AH$7:$AH$3582</definedName>
    <definedName name="Oct03AMA">[3]BS!$AH$7:$AH$3582</definedName>
    <definedName name="Oct04AMA" localSheetId="27">[1]BS!$AM$7:$AM$3582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'[47]Dist Misc'!$F$120</definedName>
    <definedName name="OthRCF">[18]INPUTS!$F$41</definedName>
    <definedName name="OthUnc">[4]INPUTS!$F$36</definedName>
    <definedName name="outlookdata">'[48]pivoted data'!$D$3:$Q$90</definedName>
    <definedName name="peak_new_table">'[49]2008 Extreme Peaks - 080403'!$E$5:$AD$8</definedName>
    <definedName name="peak_table">'[49]Peaks-F01'!$C$5:$E$243</definedName>
    <definedName name="PeakMethod">[10]Inputs!$T$5</definedName>
    <definedName name="Percent_debt" localSheetId="27">[30]Inputs!$E$129</definedName>
    <definedName name="Percent_debt">[30]Inputs!$E$129</definedName>
    <definedName name="Plant_Input">'[12]Plant(Input)'!$B$7:$AP$9,'[12]Plant(Input)'!$B$11,'[12]Plant(Input)'!$B$15:$AP$15,'[12]Plant(Input)'!$B$18,'[12]Plant(Input)'!$B$20:$AP$20</definedName>
    <definedName name="POWER.T">[4]INTERNAL!$A$58:$IV$60</definedName>
    <definedName name="PP.T">[4]INTERNAL!$A$61:$IV$63</definedName>
    <definedName name="PreTaxDebtCost" localSheetId="27">[9]Assumptions!$I$56</definedName>
    <definedName name="PreTaxDebtCost">[9]Assumptions!$I$56</definedName>
    <definedName name="PreTaxWACC" localSheetId="27">[9]Assumptions!$I$62</definedName>
    <definedName name="PreTaxWACC">[9]Assumptions!$I$62</definedName>
    <definedName name="Prices_Aurora" localSheetId="27">'[29]Monthly Price Summary'!$C$4:$H$63</definedName>
    <definedName name="Prices_Aurora">'[29]Monthly Price Summary'!$C$4:$H$63</definedName>
    <definedName name="_xlnm.Print_Area" localSheetId="25">'12ME Dec18 Bill Freq'!$A$1:$N$62</definedName>
    <definedName name="_xlnm.Print_Area" localSheetId="27">'12ME Dec18 Cal Bill Freq'!$A$1:$N$118</definedName>
    <definedName name="_xlnm.Print_Area" localSheetId="26">'12ME Dec18 Norm Therms'!$A$1:$N$118,'12ME Dec18 Norm Therms'!$A$123:$N$185</definedName>
    <definedName name="_xlnm.Print_Area" localSheetId="4">'Average Rate Impacts'!$B$1:$L$44</definedName>
    <definedName name="_xlnm.Print_Area" localSheetId="5">'Base Rate Impacts'!$B$1:$R$44</definedName>
    <definedName name="_xlnm.Print_Area" localSheetId="0">'Combined Impacts'!$B$1:$W$43</definedName>
    <definedName name="_xlnm.Print_Area" localSheetId="6">'Sch. 141 Impacts'!$B$1:$R$44</definedName>
    <definedName name="_xlnm.Print_Area" localSheetId="7">'Sch. 141X Impacts'!$B$1:$R$44</definedName>
    <definedName name="_xlnm.Print_Area" localSheetId="8">'Sch. 149 Impacts'!$B$1:$R$44</definedName>
    <definedName name="_xlnm.Print_Area" localSheetId="12">'Schedule 129 Revenue'!$A$1:$I$49</definedName>
    <definedName name="_xlnm.Print_Area" localSheetId="14">'Schedule 140 Revenue'!$A$1:$H$24</definedName>
    <definedName name="_xlnm.Print_Area" localSheetId="15">'Schedule 141 Revenue'!$A$1:$H$139</definedName>
    <definedName name="_xlnm.Print_Area" localSheetId="16">'Schedule 141X Revenue'!$A$1:$H$139</definedName>
    <definedName name="_xlnm.Print_Area" localSheetId="17">'Schedule 141Y Revenue'!$A$1:$H$24</definedName>
    <definedName name="_xlnm.Print_Area" localSheetId="20">'Schedule 149 Revenue'!$A$1:$H$24</definedName>
    <definedName name="_xlnm.Print_Area" localSheetId="1">'Typical Res Bill Impact'!$B$1:$T$42</definedName>
    <definedName name="_xlnm.Print_Titles" localSheetId="25">'12ME Dec18 Bill Freq'!$1:$4</definedName>
    <definedName name="_xlnm.Print_Titles" localSheetId="27">'12ME Dec18 Cal Bill Freq'!$1:$4</definedName>
    <definedName name="_xlnm.Print_Titles" localSheetId="26">'12ME Dec18 Norm Therms'!$1:$4</definedName>
    <definedName name="_xlnm.Print_Titles" localSheetId="18">'Sch 142 Revenue (Decoupling)'!$1:$8</definedName>
    <definedName name="_xlnm.Print_Titles" localSheetId="19">'Sch 142 Revenue (Rate Plan)'!$1:$8</definedName>
    <definedName name="_xlnm.Print_Titles" localSheetId="15">'Schedule 141 Revenue'!$1:$7</definedName>
    <definedName name="_xlnm.Print_Titles" localSheetId="16">'Schedule 141X Revenue'!$1:$7</definedName>
    <definedName name="Prior_Month">[50]Sch_120!$I$21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[51]Sheet1!$A$1147:$B$1887</definedName>
    <definedName name="Prov_Cap_Tax" localSheetId="27">[30]Inputs!$E$111</definedName>
    <definedName name="Prov_Cap_Tax">[30]Inputs!$E$111</definedName>
    <definedName name="PSE">'[52]4.04'!$A$6</definedName>
    <definedName name="PSE_Pre_Tax_Equity_Rate">'[27]Assumptions of Purchase'!$B$42</definedName>
    <definedName name="PTDGP.T">[4]INTERNAL!$A$64:$IV$66</definedName>
    <definedName name="PTDP.T">[4]INTERNAL!$A$67:$IV$69</definedName>
    <definedName name="QTD_Format">[44]QTD!$B$11:$D$11,[44]QTD!$B$35:$D$35</definedName>
    <definedName name="RATE2">'[21]Transp Data'!$A$8:$I$112</definedName>
    <definedName name="Rates">[53]Codes!$A$1:$C$500</definedName>
    <definedName name="RB.T">[4]INTERNAL!$A$70:$IV$72</definedName>
    <definedName name="RCF">[34]INPUTS!$F$48</definedName>
    <definedName name="Requlated_scenario">'[12]Assumptions (Input)'!$B$12</definedName>
    <definedName name="ResExchCrRate" localSheetId="18">[50]Sch_194!$M$31</definedName>
    <definedName name="ResExchCrRate" localSheetId="19">[50]Sch_194!$M$31</definedName>
    <definedName name="ResExchCrRate" localSheetId="12">[50]Sch_194!$M$31</definedName>
    <definedName name="ResExchCrRate">[54]Sch_194!$M$31</definedName>
    <definedName name="RESID">[4]EXTERNAL!$A$88:$IV$90</definedName>
    <definedName name="resource_lookup">'[55]#REF'!$B$3:$C$112</definedName>
    <definedName name="ResourceSupplier">[11]Variables!$D$28</definedName>
    <definedName name="ResRCF" localSheetId="18">[18]INPUTS!$F$39</definedName>
    <definedName name="ResRCF" localSheetId="19">[18]INPUTS!$F$39</definedName>
    <definedName name="ResRCF" localSheetId="12">[18]INPUTS!$F$39</definedName>
    <definedName name="ResRCF">[19]INPUTS!$F$44</definedName>
    <definedName name="ResUnc" localSheetId="18">[4]INPUTS!$F$34</definedName>
    <definedName name="ResUnc" localSheetId="19">[4]INPUTS!$F$34</definedName>
    <definedName name="ResUnc" localSheetId="12">[4]INPUTS!$F$34</definedName>
    <definedName name="ResUnc">[19]INPUTS!$F$39</definedName>
    <definedName name="RevClass">[53]Codes!$F$2:$G$10</definedName>
    <definedName name="revenue_flag">'[12]Assumptions (Input)'!$C$12</definedName>
    <definedName name="Revenue_Taxes">'[12]Assumptions (Input)'!$B$8</definedName>
    <definedName name="REVFAC1.T">[4]INTERNAL!$A$73:$IV$75</definedName>
    <definedName name="ROD" localSheetId="18">[56]INPUTS!$F$25</definedName>
    <definedName name="ROD" localSheetId="19">[56]INPUTS!$F$25</definedName>
    <definedName name="ROD" localSheetId="12">[56]INPUTS!$F$25</definedName>
    <definedName name="ROD">[19]INPUTS!$F$30</definedName>
    <definedName name="ROR">[19]INPUTS!$F$29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[18]INPUTS!$F$40</definedName>
    <definedName name="SbUnc">[4]INPUTS!$F$35</definedName>
    <definedName name="Sch194Rlfwd">'[57]Sch94 Rlfwd'!$B$11</definedName>
    <definedName name="Schedule">[46]Inputs!$N$14</definedName>
    <definedName name="Sep03AMA" localSheetId="27">[3]BS!$AG$7:$AG$3582</definedName>
    <definedName name="Sep03AMA">[3]BS!$AG$7:$AG$3582</definedName>
    <definedName name="Sep04AMA" localSheetId="27">[1]BS!$AL$7:$AL$3582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 localSheetId="27">[9]Assumptions!$C$9</definedName>
    <definedName name="StartDate">[9]Assumptions!$C$9</definedName>
    <definedName name="STATE_UTILITY_TAX">'[6]MJS-7'!$N$16</definedName>
    <definedName name="STAX" localSheetId="18">[4]INPUTS!$F$29</definedName>
    <definedName name="STAX" localSheetId="19">[4]INPUTS!$F$29</definedName>
    <definedName name="STAX" localSheetId="12">[4]INPUTS!$F$29</definedName>
    <definedName name="STAX">[19]INPUTS!$F$34</definedName>
    <definedName name="SW.T">[4]INTERNAL!$A$76:$IV$78</definedName>
    <definedName name="SWPTD.T">[4]INTERNAL!$A$79:$IV$81</definedName>
    <definedName name="TableName">"Dummy"</definedName>
    <definedName name="TargetROR">[10]Inputs!$G$29</definedName>
    <definedName name="TDP.T">[4]INTERNAL!$A$82:$IV$84</definedName>
    <definedName name="TestPeriod">[7]Inputs!$C$5</definedName>
    <definedName name="TESTYEAR">'[28]JHS-6'!$A$7</definedName>
    <definedName name="TFR">[4]CLASSIFIERS!$A$11:$IV$11</definedName>
    <definedName name="ThermalBookLife" localSheetId="27">[9]Assumptions!$C$25</definedName>
    <definedName name="ThermalBookLife">[9]Assumptions!$C$25</definedName>
    <definedName name="Title" localSheetId="27">[9]Assumptions!$A$1</definedName>
    <definedName name="Title">[9]Assumptions!$A$1</definedName>
    <definedName name="Total_Payment" localSheetId="4">Scheduled_Payment+Extra_Payment</definedName>
    <definedName name="Total_Payment" localSheetId="5">Scheduled_Payment+Extra_Payment</definedName>
    <definedName name="Total_Payment" localSheetId="0">Scheduled_Payment+Extra_Payment</definedName>
    <definedName name="Total_Payment" localSheetId="18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 localSheetId="8">Scheduled_Payment+Extra_Payment</definedName>
    <definedName name="Total_Payment" localSheetId="16">Scheduled_Payment+Extra_Payment</definedName>
    <definedName name="Total_Payment" localSheetId="17">Scheduled_Payment+Extra_Payment</definedName>
    <definedName name="Total_Payment" localSheetId="1">Scheduled_Payment+Extra_Payment</definedName>
    <definedName name="Total_Payment">Scheduled_Payment+Extra_Payment</definedName>
    <definedName name="TotalRateBase">'[7]G+T+D+R+M'!$H$58</definedName>
    <definedName name="TP.T">[4]INTERNAL!$A$91:$IV$93</definedName>
    <definedName name="transdb" localSheetId="27">'[58]Transp Unbilled'!$A$8:$E$174</definedName>
    <definedName name="transdb">'[58]Transp Unbilled'!$A$8:$E$174</definedName>
    <definedName name="TRANSM_2">[59]Transm2!$A$1:$M$461:'[59]10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 localSheetId="4">IF(Loan_Amount*Interest_Rate*Loan_Years*Loan_Start&gt;0,1,0)</definedName>
    <definedName name="Values_Entered" localSheetId="5">IF(Loan_Amount*Interest_Rate*Loan_Years*Loan_Start&gt;0,1,0)</definedName>
    <definedName name="Values_Entered" localSheetId="0">IF(Loan_Amount*Interest_Rate*Loan_Years*Loan_Start&gt;0,1,0)</definedName>
    <definedName name="Values_Entered" localSheetId="18">IF(Loan_Amount*Interest_Rate*Loan_Years*Loan_Start&gt;0,1,0)</definedName>
    <definedName name="Values_Entered" localSheetId="19">IF(Loan_Amount*Interest_Rate*Loan_Years*Loan_Start&gt;0,1,0)</definedName>
    <definedName name="Values_Entered" localSheetId="6">IF(Loan_Amount*Interest_Rate*Loan_Years*Loan_Start&gt;0,1,0)</definedName>
    <definedName name="Values_Entered" localSheetId="7">IF(Loan_Amount*Interest_Rate*Loan_Years*Loan_Start&gt;0,1,0)</definedName>
    <definedName name="Values_Entered" localSheetId="8">IF(Loan_Amount*Interest_Rate*Loan_Years*Loan_Start&gt;0,1,0)</definedName>
    <definedName name="Values_Entered" localSheetId="13">IF(Loan_Amount*Interest_Rate*Loan_Years*Loan_Start&gt;0,1,0)</definedName>
    <definedName name="Values_Entered" localSheetId="14">IF(Loan_Amount*Interest_Rate*Loan_Years*Loan_Start&gt;0,1,0)</definedName>
    <definedName name="Values_Entered" localSheetId="16">IF(Loan_Amount*Interest_Rate*Loan_Years*Loan_Start&gt;0,1,0)</definedName>
    <definedName name="Values_Entered" localSheetId="17">IF(Loan_Amount*Interest_Rate*Loan_Years*Loan_Start&gt;0,1,0)</definedName>
    <definedName name="Values_Entered" localSheetId="20">IF(Loan_Amount*Interest_Rate*Loan_Years*Loan_Start&gt;0,1,0)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OMEsc" localSheetId="27">[9]Assumptions!$C$21</definedName>
    <definedName name="VOMEsc">[9]Assumptions!$C$21</definedName>
    <definedName name="WACC" localSheetId="27">[9]Assumptions!$I$61</definedName>
    <definedName name="WACC">[9]Assumptions!$I$61</definedName>
    <definedName name="WaRevenueTax">[11]Variables!$D$27</definedName>
    <definedName name="Winter">'[60]Input Tab'!$B$11</definedName>
    <definedName name="WinterPeak">'[61]Load Data'!$D$9:$H$12,'[61]Load Data'!$D$20:$H$22</definedName>
    <definedName name="WUTC_Docket_No._UG_11____">'[6]MJS-6'!$F$2</definedName>
    <definedName name="WUTC_FILING_FEE">'[6]MJS-7'!$O$15</definedName>
    <definedName name="Years_evaluated">'[62]Revison Inputs'!$B$6</definedName>
    <definedName name="YEFactors">[8]Factors!$S$3:$AG$99</definedName>
    <definedName name="YTD_Format">[44]YTD!$B$13:$D$13,[44]YTD!$B$36:$D$36</definedName>
  </definedNames>
  <calcPr calcId="162913"/>
</workbook>
</file>

<file path=xl/calcChain.xml><?xml version="1.0" encoding="utf-8"?>
<calcChain xmlns="http://schemas.openxmlformats.org/spreadsheetml/2006/main">
  <c r="C110" i="40" l="1"/>
  <c r="D110" i="40"/>
  <c r="E110" i="40"/>
  <c r="F110" i="40"/>
  <c r="G110" i="40"/>
  <c r="H110" i="40"/>
  <c r="I110" i="40"/>
  <c r="J110" i="40"/>
  <c r="K110" i="40"/>
  <c r="L110" i="40"/>
  <c r="M110" i="40"/>
  <c r="C111" i="40"/>
  <c r="D111" i="40"/>
  <c r="E111" i="40"/>
  <c r="F111" i="40"/>
  <c r="G111" i="40"/>
  <c r="H111" i="40"/>
  <c r="I111" i="40"/>
  <c r="J111" i="40"/>
  <c r="K111" i="40"/>
  <c r="L111" i="40"/>
  <c r="M111" i="40"/>
  <c r="C112" i="40"/>
  <c r="D112" i="40"/>
  <c r="E112" i="40"/>
  <c r="F112" i="40"/>
  <c r="G112" i="40"/>
  <c r="H112" i="40"/>
  <c r="I112" i="40"/>
  <c r="J112" i="40"/>
  <c r="K112" i="40"/>
  <c r="L112" i="40"/>
  <c r="M112" i="40"/>
  <c r="C113" i="40"/>
  <c r="D113" i="40"/>
  <c r="E113" i="40"/>
  <c r="F113" i="40"/>
  <c r="G113" i="40"/>
  <c r="H113" i="40"/>
  <c r="I113" i="40"/>
  <c r="J113" i="40"/>
  <c r="K113" i="40"/>
  <c r="L113" i="40"/>
  <c r="M113" i="40"/>
  <c r="C114" i="40"/>
  <c r="D114" i="40"/>
  <c r="E114" i="40"/>
  <c r="F114" i="40"/>
  <c r="G114" i="40"/>
  <c r="H114" i="40"/>
  <c r="I114" i="40"/>
  <c r="J114" i="40"/>
  <c r="K114" i="40"/>
  <c r="L114" i="40"/>
  <c r="M114" i="40"/>
  <c r="C115" i="40"/>
  <c r="D115" i="40"/>
  <c r="E115" i="40"/>
  <c r="F115" i="40"/>
  <c r="G115" i="40"/>
  <c r="H115" i="40"/>
  <c r="I115" i="40"/>
  <c r="J115" i="40"/>
  <c r="K115" i="40"/>
  <c r="L115" i="40"/>
  <c r="M115" i="40"/>
  <c r="B111" i="40"/>
  <c r="B112" i="40"/>
  <c r="B113" i="40"/>
  <c r="B114" i="40"/>
  <c r="B115" i="40"/>
  <c r="B110" i="40"/>
  <c r="C100" i="40"/>
  <c r="D100" i="40"/>
  <c r="E100" i="40"/>
  <c r="F100" i="40"/>
  <c r="G100" i="40"/>
  <c r="H100" i="40"/>
  <c r="I100" i="40"/>
  <c r="J100" i="40"/>
  <c r="K100" i="40"/>
  <c r="L100" i="40"/>
  <c r="M100" i="40"/>
  <c r="C101" i="40"/>
  <c r="D101" i="40"/>
  <c r="E101" i="40"/>
  <c r="F101" i="40"/>
  <c r="G101" i="40"/>
  <c r="H101" i="40"/>
  <c r="I101" i="40"/>
  <c r="J101" i="40"/>
  <c r="K101" i="40"/>
  <c r="L101" i="40"/>
  <c r="M101" i="40"/>
  <c r="C102" i="40"/>
  <c r="D102" i="40"/>
  <c r="E102" i="40"/>
  <c r="F102" i="40"/>
  <c r="G102" i="40"/>
  <c r="H102" i="40"/>
  <c r="I102" i="40"/>
  <c r="J102" i="40"/>
  <c r="K102" i="40"/>
  <c r="L102" i="40"/>
  <c r="M102" i="40"/>
  <c r="C103" i="40"/>
  <c r="D103" i="40"/>
  <c r="E103" i="40"/>
  <c r="F103" i="40"/>
  <c r="G103" i="40"/>
  <c r="H103" i="40"/>
  <c r="I103" i="40"/>
  <c r="J103" i="40"/>
  <c r="K103" i="40"/>
  <c r="L103" i="40"/>
  <c r="M103" i="40"/>
  <c r="C104" i="40"/>
  <c r="D104" i="40"/>
  <c r="E104" i="40"/>
  <c r="F104" i="40"/>
  <c r="G104" i="40"/>
  <c r="H104" i="40"/>
  <c r="I104" i="40"/>
  <c r="J104" i="40"/>
  <c r="K104" i="40"/>
  <c r="L104" i="40"/>
  <c r="M104" i="40"/>
  <c r="C105" i="40"/>
  <c r="D105" i="40"/>
  <c r="E105" i="40"/>
  <c r="F105" i="40"/>
  <c r="G105" i="40"/>
  <c r="H105" i="40"/>
  <c r="I105" i="40"/>
  <c r="J105" i="40"/>
  <c r="K105" i="40"/>
  <c r="L105" i="40"/>
  <c r="M105" i="40"/>
  <c r="B101" i="40"/>
  <c r="B102" i="40"/>
  <c r="B103" i="40"/>
  <c r="B104" i="40"/>
  <c r="B105" i="40"/>
  <c r="B100" i="40"/>
  <c r="C80" i="40"/>
  <c r="D80" i="40"/>
  <c r="E80" i="40"/>
  <c r="F80" i="40"/>
  <c r="G80" i="40"/>
  <c r="H80" i="40"/>
  <c r="I80" i="40"/>
  <c r="J80" i="40"/>
  <c r="K80" i="40"/>
  <c r="L80" i="40"/>
  <c r="M80" i="40"/>
  <c r="C81" i="40"/>
  <c r="D81" i="40"/>
  <c r="E81" i="40"/>
  <c r="F81" i="40"/>
  <c r="G81" i="40"/>
  <c r="H81" i="40"/>
  <c r="I81" i="40"/>
  <c r="J81" i="40"/>
  <c r="K81" i="40"/>
  <c r="L81" i="40"/>
  <c r="M81" i="40"/>
  <c r="C82" i="40"/>
  <c r="D82" i="40"/>
  <c r="E82" i="40"/>
  <c r="F82" i="40"/>
  <c r="G82" i="40"/>
  <c r="H82" i="40"/>
  <c r="I82" i="40"/>
  <c r="J82" i="40"/>
  <c r="K82" i="40"/>
  <c r="L82" i="40"/>
  <c r="M82" i="40"/>
  <c r="C83" i="40"/>
  <c r="D83" i="40"/>
  <c r="E83" i="40"/>
  <c r="F83" i="40"/>
  <c r="G83" i="40"/>
  <c r="H83" i="40"/>
  <c r="I83" i="40"/>
  <c r="J83" i="40"/>
  <c r="K83" i="40"/>
  <c r="L83" i="40"/>
  <c r="M83" i="40"/>
  <c r="C84" i="40"/>
  <c r="D84" i="40"/>
  <c r="E84" i="40"/>
  <c r="F84" i="40"/>
  <c r="G84" i="40"/>
  <c r="H84" i="40"/>
  <c r="I84" i="40"/>
  <c r="J84" i="40"/>
  <c r="K84" i="40"/>
  <c r="L84" i="40"/>
  <c r="M84" i="40"/>
  <c r="C85" i="40"/>
  <c r="D85" i="40"/>
  <c r="E85" i="40"/>
  <c r="F85" i="40"/>
  <c r="G85" i="40"/>
  <c r="H85" i="40"/>
  <c r="I85" i="40"/>
  <c r="J85" i="40"/>
  <c r="K85" i="40"/>
  <c r="L85" i="40"/>
  <c r="M85" i="40"/>
  <c r="B81" i="40"/>
  <c r="B82" i="40"/>
  <c r="B83" i="40"/>
  <c r="B84" i="40"/>
  <c r="B85" i="40"/>
  <c r="B80" i="40"/>
  <c r="C74" i="40"/>
  <c r="D74" i="40"/>
  <c r="E74" i="40"/>
  <c r="F74" i="40"/>
  <c r="G74" i="40"/>
  <c r="H74" i="40"/>
  <c r="I74" i="40"/>
  <c r="J74" i="40"/>
  <c r="K74" i="40"/>
  <c r="L74" i="40"/>
  <c r="M74" i="40"/>
  <c r="C75" i="40"/>
  <c r="D75" i="40"/>
  <c r="E75" i="40"/>
  <c r="F75" i="40"/>
  <c r="G75" i="40"/>
  <c r="H75" i="40"/>
  <c r="I75" i="40"/>
  <c r="J75" i="40"/>
  <c r="K75" i="40"/>
  <c r="L75" i="40"/>
  <c r="M75" i="40"/>
  <c r="B75" i="40"/>
  <c r="B74" i="40"/>
  <c r="C68" i="40"/>
  <c r="D68" i="40"/>
  <c r="E68" i="40"/>
  <c r="F68" i="40"/>
  <c r="G68" i="40"/>
  <c r="H68" i="40"/>
  <c r="I68" i="40"/>
  <c r="J68" i="40"/>
  <c r="K68" i="40"/>
  <c r="L68" i="40"/>
  <c r="M68" i="40"/>
  <c r="C69" i="40"/>
  <c r="D69" i="40"/>
  <c r="E69" i="40"/>
  <c r="F69" i="40"/>
  <c r="G69" i="40"/>
  <c r="H69" i="40"/>
  <c r="I69" i="40"/>
  <c r="J69" i="40"/>
  <c r="K69" i="40"/>
  <c r="L69" i="40"/>
  <c r="M69" i="40"/>
  <c r="B69" i="40"/>
  <c r="B68" i="40"/>
  <c r="C62" i="40"/>
  <c r="D62" i="40"/>
  <c r="E62" i="40"/>
  <c r="F62" i="40"/>
  <c r="G62" i="40"/>
  <c r="H62" i="40"/>
  <c r="I62" i="40"/>
  <c r="J62" i="40"/>
  <c r="K62" i="40"/>
  <c r="L62" i="40"/>
  <c r="M62" i="40"/>
  <c r="C63" i="40"/>
  <c r="D63" i="40"/>
  <c r="E63" i="40"/>
  <c r="F63" i="40"/>
  <c r="G63" i="40"/>
  <c r="H63" i="40"/>
  <c r="I63" i="40"/>
  <c r="J63" i="40"/>
  <c r="K63" i="40"/>
  <c r="L63" i="40"/>
  <c r="M63" i="40"/>
  <c r="B63" i="40"/>
  <c r="B62" i="40"/>
  <c r="C55" i="40"/>
  <c r="D55" i="40"/>
  <c r="E55" i="40"/>
  <c r="F55" i="40"/>
  <c r="G55" i="40"/>
  <c r="H55" i="40"/>
  <c r="I55" i="40"/>
  <c r="J55" i="40"/>
  <c r="K55" i="40"/>
  <c r="L55" i="40"/>
  <c r="M55" i="40"/>
  <c r="C56" i="40"/>
  <c r="D56" i="40"/>
  <c r="E56" i="40"/>
  <c r="F56" i="40"/>
  <c r="G56" i="40"/>
  <c r="H56" i="40"/>
  <c r="I56" i="40"/>
  <c r="J56" i="40"/>
  <c r="K56" i="40"/>
  <c r="L56" i="40"/>
  <c r="M56" i="40"/>
  <c r="C57" i="40"/>
  <c r="D57" i="40"/>
  <c r="E57" i="40"/>
  <c r="F57" i="40"/>
  <c r="G57" i="40"/>
  <c r="H57" i="40"/>
  <c r="I57" i="40"/>
  <c r="J57" i="40"/>
  <c r="K57" i="40"/>
  <c r="L57" i="40"/>
  <c r="M57" i="40"/>
  <c r="B56" i="40"/>
  <c r="B57" i="40"/>
  <c r="B55" i="40"/>
  <c r="C48" i="40"/>
  <c r="D48" i="40"/>
  <c r="E48" i="40"/>
  <c r="F48" i="40"/>
  <c r="G48" i="40"/>
  <c r="H48" i="40"/>
  <c r="I48" i="40"/>
  <c r="J48" i="40"/>
  <c r="K48" i="40"/>
  <c r="L48" i="40"/>
  <c r="M48" i="40"/>
  <c r="C49" i="40"/>
  <c r="D49" i="40"/>
  <c r="E49" i="40"/>
  <c r="F49" i="40"/>
  <c r="G49" i="40"/>
  <c r="H49" i="40"/>
  <c r="I49" i="40"/>
  <c r="J49" i="40"/>
  <c r="K49" i="40"/>
  <c r="L49" i="40"/>
  <c r="M49" i="40"/>
  <c r="C50" i="40"/>
  <c r="D50" i="40"/>
  <c r="E50" i="40"/>
  <c r="F50" i="40"/>
  <c r="G50" i="40"/>
  <c r="H50" i="40"/>
  <c r="I50" i="40"/>
  <c r="J50" i="40"/>
  <c r="K50" i="40"/>
  <c r="L50" i="40"/>
  <c r="M50" i="40"/>
  <c r="B49" i="40"/>
  <c r="B50" i="40"/>
  <c r="B48" i="40"/>
  <c r="C41" i="40"/>
  <c r="D41" i="40"/>
  <c r="E41" i="40"/>
  <c r="F41" i="40"/>
  <c r="G41" i="40"/>
  <c r="H41" i="40"/>
  <c r="I41" i="40"/>
  <c r="J41" i="40"/>
  <c r="K41" i="40"/>
  <c r="L41" i="40"/>
  <c r="M41" i="40"/>
  <c r="C42" i="40"/>
  <c r="D42" i="40"/>
  <c r="E42" i="40"/>
  <c r="F42" i="40"/>
  <c r="G42" i="40"/>
  <c r="H42" i="40"/>
  <c r="I42" i="40"/>
  <c r="J42" i="40"/>
  <c r="K42" i="40"/>
  <c r="L42" i="40"/>
  <c r="M42" i="40"/>
  <c r="C43" i="40"/>
  <c r="D43" i="40"/>
  <c r="E43" i="40"/>
  <c r="F43" i="40"/>
  <c r="G43" i="40"/>
  <c r="H43" i="40"/>
  <c r="I43" i="40"/>
  <c r="J43" i="40"/>
  <c r="K43" i="40"/>
  <c r="L43" i="40"/>
  <c r="M43" i="40"/>
  <c r="B42" i="40"/>
  <c r="B43" i="40"/>
  <c r="B41" i="40"/>
  <c r="C34" i="40"/>
  <c r="D34" i="40"/>
  <c r="E34" i="40"/>
  <c r="F34" i="40"/>
  <c r="G34" i="40"/>
  <c r="H34" i="40"/>
  <c r="I34" i="40"/>
  <c r="J34" i="40"/>
  <c r="K34" i="40"/>
  <c r="L34" i="40"/>
  <c r="M34" i="40"/>
  <c r="C35" i="40"/>
  <c r="D35" i="40"/>
  <c r="E35" i="40"/>
  <c r="F35" i="40"/>
  <c r="G35" i="40"/>
  <c r="H35" i="40"/>
  <c r="I35" i="40"/>
  <c r="J35" i="40"/>
  <c r="K35" i="40"/>
  <c r="L35" i="40"/>
  <c r="M35" i="40"/>
  <c r="C36" i="40"/>
  <c r="D36" i="40"/>
  <c r="E36" i="40"/>
  <c r="F36" i="40"/>
  <c r="G36" i="40"/>
  <c r="H36" i="40"/>
  <c r="I36" i="40"/>
  <c r="J36" i="40"/>
  <c r="K36" i="40"/>
  <c r="L36" i="40"/>
  <c r="M36" i="40"/>
  <c r="B35" i="40"/>
  <c r="B36" i="40"/>
  <c r="B34" i="40"/>
  <c r="C27" i="40"/>
  <c r="D27" i="40"/>
  <c r="E27" i="40"/>
  <c r="F27" i="40"/>
  <c r="G27" i="40"/>
  <c r="H27" i="40"/>
  <c r="I27" i="40"/>
  <c r="J27" i="40"/>
  <c r="K27" i="40"/>
  <c r="L27" i="40"/>
  <c r="M27" i="40"/>
  <c r="C28" i="40"/>
  <c r="D28" i="40"/>
  <c r="E28" i="40"/>
  <c r="F28" i="40"/>
  <c r="G28" i="40"/>
  <c r="H28" i="40"/>
  <c r="I28" i="40"/>
  <c r="J28" i="40"/>
  <c r="K28" i="40"/>
  <c r="L28" i="40"/>
  <c r="M28" i="40"/>
  <c r="C29" i="40"/>
  <c r="D29" i="40"/>
  <c r="E29" i="40"/>
  <c r="F29" i="40"/>
  <c r="G29" i="40"/>
  <c r="H29" i="40"/>
  <c r="I29" i="40"/>
  <c r="J29" i="40"/>
  <c r="K29" i="40"/>
  <c r="L29" i="40"/>
  <c r="M29" i="40"/>
  <c r="B28" i="40"/>
  <c r="B29" i="40"/>
  <c r="B27" i="40"/>
  <c r="C20" i="40"/>
  <c r="D20" i="40"/>
  <c r="E20" i="40"/>
  <c r="F20" i="40"/>
  <c r="G20" i="40"/>
  <c r="H20" i="40"/>
  <c r="I20" i="40"/>
  <c r="J20" i="40"/>
  <c r="K20" i="40"/>
  <c r="L20" i="40"/>
  <c r="M20" i="40"/>
  <c r="C21" i="40"/>
  <c r="D21" i="40"/>
  <c r="E21" i="40"/>
  <c r="F21" i="40"/>
  <c r="G21" i="40"/>
  <c r="H21" i="40"/>
  <c r="I21" i="40"/>
  <c r="J21" i="40"/>
  <c r="K21" i="40"/>
  <c r="L21" i="40"/>
  <c r="M21" i="40"/>
  <c r="C22" i="40"/>
  <c r="D22" i="40"/>
  <c r="E22" i="40"/>
  <c r="F22" i="40"/>
  <c r="G22" i="40"/>
  <c r="H22" i="40"/>
  <c r="I22" i="40"/>
  <c r="J22" i="40"/>
  <c r="K22" i="40"/>
  <c r="L22" i="40"/>
  <c r="M22" i="40"/>
  <c r="B21" i="40"/>
  <c r="B22" i="40"/>
  <c r="B20" i="40"/>
  <c r="C13" i="40"/>
  <c r="D13" i="40"/>
  <c r="E13" i="40"/>
  <c r="F13" i="40"/>
  <c r="G13" i="40"/>
  <c r="H13" i="40"/>
  <c r="I13" i="40"/>
  <c r="J13" i="40"/>
  <c r="K13" i="40"/>
  <c r="L13" i="40"/>
  <c r="M13" i="40"/>
  <c r="C14" i="40"/>
  <c r="D14" i="40"/>
  <c r="E14" i="40"/>
  <c r="F14" i="40"/>
  <c r="G14" i="40"/>
  <c r="H14" i="40"/>
  <c r="I14" i="40"/>
  <c r="J14" i="40"/>
  <c r="K14" i="40"/>
  <c r="L14" i="40"/>
  <c r="M14" i="40"/>
  <c r="C15" i="40"/>
  <c r="D15" i="40"/>
  <c r="E15" i="40"/>
  <c r="F15" i="40"/>
  <c r="G15" i="40"/>
  <c r="H15" i="40"/>
  <c r="I15" i="40"/>
  <c r="J15" i="40"/>
  <c r="K15" i="40"/>
  <c r="L15" i="40"/>
  <c r="M15" i="40"/>
  <c r="B14" i="40"/>
  <c r="B15" i="40"/>
  <c r="B13" i="40"/>
  <c r="B116" i="40" l="1"/>
  <c r="C6" i="40"/>
  <c r="D6" i="40"/>
  <c r="E6" i="40"/>
  <c r="F6" i="40"/>
  <c r="G6" i="40"/>
  <c r="H6" i="40"/>
  <c r="I6" i="40"/>
  <c r="J6" i="40"/>
  <c r="K6" i="40"/>
  <c r="L6" i="40"/>
  <c r="M6" i="40"/>
  <c r="C7" i="40"/>
  <c r="D7" i="40"/>
  <c r="E7" i="40"/>
  <c r="F7" i="40"/>
  <c r="G7" i="40"/>
  <c r="H7" i="40"/>
  <c r="I7" i="40"/>
  <c r="J7" i="40"/>
  <c r="K7" i="40"/>
  <c r="L7" i="40"/>
  <c r="M7" i="40"/>
  <c r="C8" i="40"/>
  <c r="D8" i="40"/>
  <c r="E8" i="40"/>
  <c r="F8" i="40"/>
  <c r="G8" i="40"/>
  <c r="H8" i="40"/>
  <c r="I8" i="40"/>
  <c r="J8" i="40"/>
  <c r="K8" i="40"/>
  <c r="L8" i="40"/>
  <c r="M8" i="40"/>
  <c r="B7" i="40"/>
  <c r="B8" i="40"/>
  <c r="B6" i="40"/>
  <c r="C116" i="39"/>
  <c r="D116" i="39"/>
  <c r="E116" i="39"/>
  <c r="F116" i="39"/>
  <c r="G116" i="39"/>
  <c r="H116" i="39"/>
  <c r="I116" i="39"/>
  <c r="J116" i="39"/>
  <c r="K116" i="39"/>
  <c r="L116" i="39"/>
  <c r="M116" i="39"/>
  <c r="C106" i="39"/>
  <c r="D106" i="39"/>
  <c r="E106" i="39"/>
  <c r="F106" i="39"/>
  <c r="G106" i="39"/>
  <c r="H106" i="39"/>
  <c r="I106" i="39"/>
  <c r="J106" i="39"/>
  <c r="K106" i="39"/>
  <c r="L106" i="39"/>
  <c r="M106" i="39"/>
  <c r="C96" i="39"/>
  <c r="D96" i="39"/>
  <c r="E96" i="39"/>
  <c r="F96" i="39"/>
  <c r="G96" i="39"/>
  <c r="H96" i="39"/>
  <c r="I96" i="39"/>
  <c r="J96" i="39"/>
  <c r="K96" i="39"/>
  <c r="L96" i="39"/>
  <c r="M96" i="39"/>
  <c r="C90" i="39"/>
  <c r="D90" i="39"/>
  <c r="E90" i="39"/>
  <c r="F90" i="39"/>
  <c r="G90" i="39"/>
  <c r="H90" i="39"/>
  <c r="I90" i="39"/>
  <c r="J90" i="39"/>
  <c r="K90" i="39"/>
  <c r="L90" i="39"/>
  <c r="M90" i="39"/>
  <c r="C83" i="39"/>
  <c r="D83" i="39"/>
  <c r="E83" i="39"/>
  <c r="F83" i="39"/>
  <c r="G83" i="39"/>
  <c r="H83" i="39"/>
  <c r="I83" i="39"/>
  <c r="J83" i="39"/>
  <c r="K83" i="39"/>
  <c r="L83" i="39"/>
  <c r="M83" i="39"/>
  <c r="C76" i="39"/>
  <c r="D76" i="39"/>
  <c r="E76" i="39"/>
  <c r="F76" i="39"/>
  <c r="G76" i="39"/>
  <c r="H76" i="39"/>
  <c r="I76" i="39"/>
  <c r="J76" i="39"/>
  <c r="K76" i="39"/>
  <c r="L76" i="39"/>
  <c r="M76" i="39"/>
  <c r="C69" i="39"/>
  <c r="D69" i="39"/>
  <c r="E69" i="39"/>
  <c r="F69" i="39"/>
  <c r="G69" i="39"/>
  <c r="H69" i="39"/>
  <c r="I69" i="39"/>
  <c r="J69" i="39"/>
  <c r="K69" i="39"/>
  <c r="L69" i="39"/>
  <c r="M69" i="39"/>
  <c r="C52" i="39"/>
  <c r="D52" i="39"/>
  <c r="E52" i="39"/>
  <c r="F52" i="39"/>
  <c r="G52" i="39"/>
  <c r="H52" i="39"/>
  <c r="I52" i="39"/>
  <c r="J52" i="39"/>
  <c r="K52" i="39"/>
  <c r="L52" i="39"/>
  <c r="M52" i="39"/>
  <c r="C42" i="39"/>
  <c r="D42" i="39"/>
  <c r="E42" i="39"/>
  <c r="F42" i="39"/>
  <c r="G42" i="39"/>
  <c r="H42" i="39"/>
  <c r="I42" i="39"/>
  <c r="J42" i="39"/>
  <c r="K42" i="39"/>
  <c r="L42" i="39"/>
  <c r="M42" i="39"/>
  <c r="C36" i="39"/>
  <c r="D36" i="39"/>
  <c r="E36" i="39"/>
  <c r="F36" i="39"/>
  <c r="G36" i="39"/>
  <c r="H36" i="39"/>
  <c r="I36" i="39"/>
  <c r="J36" i="39"/>
  <c r="K36" i="39"/>
  <c r="L36" i="39"/>
  <c r="M36" i="39"/>
  <c r="C30" i="39"/>
  <c r="D30" i="39"/>
  <c r="E30" i="39"/>
  <c r="F30" i="39"/>
  <c r="G30" i="39"/>
  <c r="H30" i="39"/>
  <c r="I30" i="39"/>
  <c r="J30" i="39"/>
  <c r="K30" i="39"/>
  <c r="L30" i="39"/>
  <c r="M30" i="39"/>
  <c r="C23" i="39"/>
  <c r="D23" i="39"/>
  <c r="E23" i="39"/>
  <c r="F23" i="39"/>
  <c r="G23" i="39"/>
  <c r="H23" i="39"/>
  <c r="I23" i="39"/>
  <c r="J23" i="39"/>
  <c r="K23" i="39"/>
  <c r="L23" i="39"/>
  <c r="M23" i="39"/>
  <c r="C16" i="39"/>
  <c r="D16" i="39"/>
  <c r="E16" i="39"/>
  <c r="F16" i="39"/>
  <c r="G16" i="39"/>
  <c r="H16" i="39"/>
  <c r="I16" i="39"/>
  <c r="J16" i="39"/>
  <c r="K16" i="39"/>
  <c r="L16" i="39"/>
  <c r="M16" i="39"/>
  <c r="C9" i="39"/>
  <c r="D9" i="39"/>
  <c r="E9" i="39"/>
  <c r="F9" i="39"/>
  <c r="G9" i="39"/>
  <c r="H9" i="39"/>
  <c r="I9" i="39"/>
  <c r="J9" i="39"/>
  <c r="K9" i="39"/>
  <c r="L9" i="39"/>
  <c r="M9" i="39"/>
  <c r="B116" i="39"/>
  <c r="B106" i="39"/>
  <c r="B96" i="39"/>
  <c r="B90" i="39"/>
  <c r="B83" i="39"/>
  <c r="B76" i="39"/>
  <c r="B69" i="39"/>
  <c r="B52" i="39"/>
  <c r="B42" i="39"/>
  <c r="B36" i="39"/>
  <c r="B30" i="39"/>
  <c r="B23" i="39"/>
  <c r="B16" i="39"/>
  <c r="B9" i="39"/>
  <c r="E9" i="10"/>
  <c r="F9" i="10"/>
  <c r="G9" i="10"/>
  <c r="H9" i="10"/>
  <c r="I9" i="10"/>
  <c r="J9" i="10"/>
  <c r="K9" i="10"/>
  <c r="L9" i="10"/>
  <c r="M9" i="10"/>
  <c r="N9" i="10"/>
  <c r="O9" i="10"/>
  <c r="E10" i="10"/>
  <c r="F10" i="10"/>
  <c r="G10" i="10"/>
  <c r="H10" i="10"/>
  <c r="I10" i="10"/>
  <c r="J10" i="10"/>
  <c r="K10" i="10"/>
  <c r="L10" i="10"/>
  <c r="M10" i="10"/>
  <c r="N10" i="10"/>
  <c r="O10" i="10"/>
  <c r="E11" i="10"/>
  <c r="F11" i="10"/>
  <c r="G11" i="10"/>
  <c r="H11" i="10"/>
  <c r="I11" i="10"/>
  <c r="J11" i="10"/>
  <c r="K11" i="10"/>
  <c r="L11" i="10"/>
  <c r="M11" i="10"/>
  <c r="N11" i="10"/>
  <c r="O11" i="10"/>
  <c r="E12" i="10"/>
  <c r="F12" i="10"/>
  <c r="G12" i="10"/>
  <c r="H12" i="10"/>
  <c r="I12" i="10"/>
  <c r="J12" i="10"/>
  <c r="K12" i="10"/>
  <c r="L12" i="10"/>
  <c r="M12" i="10"/>
  <c r="N12" i="10"/>
  <c r="O12" i="10"/>
  <c r="E13" i="10"/>
  <c r="F13" i="10"/>
  <c r="G13" i="10"/>
  <c r="H13" i="10"/>
  <c r="I13" i="10"/>
  <c r="J13" i="10"/>
  <c r="K13" i="10"/>
  <c r="L13" i="10"/>
  <c r="M13" i="10"/>
  <c r="N13" i="10"/>
  <c r="O13" i="10"/>
  <c r="E14" i="10"/>
  <c r="F14" i="10"/>
  <c r="G14" i="10"/>
  <c r="H14" i="10"/>
  <c r="I14" i="10"/>
  <c r="J14" i="10"/>
  <c r="K14" i="10"/>
  <c r="L14" i="10"/>
  <c r="M14" i="10"/>
  <c r="N14" i="10"/>
  <c r="O14" i="10"/>
  <c r="E15" i="10"/>
  <c r="F15" i="10"/>
  <c r="G15" i="10"/>
  <c r="H15" i="10"/>
  <c r="I15" i="10"/>
  <c r="J15" i="10"/>
  <c r="K15" i="10"/>
  <c r="L15" i="10"/>
  <c r="M15" i="10"/>
  <c r="N15" i="10"/>
  <c r="O15" i="10"/>
  <c r="E16" i="10"/>
  <c r="F16" i="10"/>
  <c r="G16" i="10"/>
  <c r="H16" i="10"/>
  <c r="I16" i="10"/>
  <c r="J16" i="10"/>
  <c r="K16" i="10"/>
  <c r="L16" i="10"/>
  <c r="M16" i="10"/>
  <c r="N16" i="10"/>
  <c r="O16" i="10"/>
  <c r="E17" i="10"/>
  <c r="F17" i="10"/>
  <c r="G17" i="10"/>
  <c r="H17" i="10"/>
  <c r="I17" i="10"/>
  <c r="J17" i="10"/>
  <c r="K17" i="10"/>
  <c r="L17" i="10"/>
  <c r="M17" i="10"/>
  <c r="N17" i="10"/>
  <c r="O17" i="10"/>
  <c r="E18" i="10"/>
  <c r="F18" i="10"/>
  <c r="G18" i="10"/>
  <c r="H18" i="10"/>
  <c r="I18" i="10"/>
  <c r="J18" i="10"/>
  <c r="K18" i="10"/>
  <c r="L18" i="10"/>
  <c r="M18" i="10"/>
  <c r="N18" i="10"/>
  <c r="O18" i="10"/>
  <c r="E19" i="10"/>
  <c r="F19" i="10"/>
  <c r="G19" i="10"/>
  <c r="H19" i="10"/>
  <c r="I19" i="10"/>
  <c r="J19" i="10"/>
  <c r="K19" i="10"/>
  <c r="L19" i="10"/>
  <c r="M19" i="10"/>
  <c r="N19" i="10"/>
  <c r="O19" i="10"/>
  <c r="E20" i="10"/>
  <c r="F20" i="10"/>
  <c r="G20" i="10"/>
  <c r="H20" i="10"/>
  <c r="I20" i="10"/>
  <c r="J20" i="10"/>
  <c r="K20" i="10"/>
  <c r="L20" i="10"/>
  <c r="M20" i="10"/>
  <c r="N20" i="10"/>
  <c r="O20" i="10"/>
  <c r="E21" i="10"/>
  <c r="F21" i="10"/>
  <c r="G21" i="10"/>
  <c r="H21" i="10"/>
  <c r="I21" i="10"/>
  <c r="J21" i="10"/>
  <c r="K21" i="10"/>
  <c r="L21" i="10"/>
  <c r="M21" i="10"/>
  <c r="N21" i="10"/>
  <c r="O21" i="10"/>
  <c r="E22" i="10"/>
  <c r="F22" i="10"/>
  <c r="G22" i="10"/>
  <c r="H22" i="10"/>
  <c r="I22" i="10"/>
  <c r="J22" i="10"/>
  <c r="K22" i="10"/>
  <c r="L22" i="10"/>
  <c r="M22" i="10"/>
  <c r="N22" i="10"/>
  <c r="O22" i="10"/>
  <c r="D18" i="10"/>
  <c r="D19" i="10"/>
  <c r="D20" i="10"/>
  <c r="D21" i="10"/>
  <c r="D22" i="10"/>
  <c r="D17" i="10"/>
  <c r="D15" i="10"/>
  <c r="D16" i="10"/>
  <c r="D14" i="10"/>
  <c r="D13" i="10"/>
  <c r="D12" i="10"/>
  <c r="D11" i="10"/>
  <c r="D10" i="10"/>
  <c r="D9" i="10"/>
  <c r="Q25" i="65" l="1"/>
  <c r="Q22" i="65"/>
  <c r="Q21" i="65"/>
  <c r="Q20" i="65"/>
  <c r="Q19" i="65"/>
  <c r="Q16" i="65"/>
  <c r="Q15" i="65"/>
  <c r="Q14" i="65"/>
  <c r="Q18" i="65"/>
  <c r="Q17" i="65"/>
  <c r="Q13" i="65"/>
  <c r="Q12" i="65"/>
  <c r="Q11" i="65"/>
  <c r="Q10" i="65"/>
  <c r="S17" i="56"/>
  <c r="G17" i="56"/>
  <c r="S11" i="56"/>
  <c r="G11" i="56"/>
  <c r="E25" i="71"/>
  <c r="E25" i="70"/>
  <c r="E25" i="69"/>
  <c r="E25" i="65"/>
  <c r="E22" i="71"/>
  <c r="F21" i="71"/>
  <c r="E21" i="71"/>
  <c r="F20" i="71"/>
  <c r="E20" i="71"/>
  <c r="F19" i="71"/>
  <c r="E19" i="71"/>
  <c r="F18" i="71"/>
  <c r="E18" i="71"/>
  <c r="F17" i="71"/>
  <c r="E17" i="71"/>
  <c r="F16" i="71"/>
  <c r="E16" i="71"/>
  <c r="F15" i="71"/>
  <c r="E15" i="71"/>
  <c r="F14" i="71"/>
  <c r="E14" i="71"/>
  <c r="F13" i="71"/>
  <c r="E13" i="71"/>
  <c r="F12" i="71"/>
  <c r="E12" i="71"/>
  <c r="F11" i="71"/>
  <c r="E11" i="71"/>
  <c r="F10" i="71"/>
  <c r="E10" i="71"/>
  <c r="E22" i="70"/>
  <c r="F21" i="70"/>
  <c r="E21" i="70"/>
  <c r="F20" i="70"/>
  <c r="E20" i="70"/>
  <c r="F19" i="70"/>
  <c r="E19" i="70"/>
  <c r="F18" i="70"/>
  <c r="E18" i="70"/>
  <c r="F17" i="70"/>
  <c r="E17" i="70"/>
  <c r="F16" i="70"/>
  <c r="E16" i="70"/>
  <c r="F15" i="70"/>
  <c r="E15" i="70"/>
  <c r="F14" i="70"/>
  <c r="E14" i="70"/>
  <c r="F13" i="70"/>
  <c r="E13" i="70"/>
  <c r="F12" i="70"/>
  <c r="E12" i="70"/>
  <c r="F11" i="70"/>
  <c r="E11" i="70"/>
  <c r="F10" i="70"/>
  <c r="E10" i="70"/>
  <c r="E22" i="69"/>
  <c r="F21" i="69"/>
  <c r="E21" i="69"/>
  <c r="F20" i="69"/>
  <c r="E20" i="69"/>
  <c r="F19" i="69"/>
  <c r="E19" i="69"/>
  <c r="F18" i="69"/>
  <c r="E18" i="69"/>
  <c r="F17" i="69"/>
  <c r="E17" i="69"/>
  <c r="F16" i="69"/>
  <c r="E16" i="69"/>
  <c r="F15" i="69"/>
  <c r="E15" i="69"/>
  <c r="F14" i="69"/>
  <c r="E14" i="69"/>
  <c r="F13" i="69"/>
  <c r="E13" i="69"/>
  <c r="F12" i="69"/>
  <c r="E12" i="69"/>
  <c r="F11" i="69"/>
  <c r="E11" i="69"/>
  <c r="F10" i="69"/>
  <c r="E10" i="69"/>
  <c r="E22" i="65"/>
  <c r="F21" i="65"/>
  <c r="E21" i="65"/>
  <c r="F20" i="65"/>
  <c r="E20" i="65"/>
  <c r="F19" i="65"/>
  <c r="E19" i="65"/>
  <c r="F18" i="65"/>
  <c r="E18" i="65"/>
  <c r="F17" i="65"/>
  <c r="E17" i="65"/>
  <c r="F16" i="65"/>
  <c r="E16" i="65"/>
  <c r="F15" i="65"/>
  <c r="E15" i="65"/>
  <c r="F14" i="65"/>
  <c r="E14" i="65"/>
  <c r="F13" i="65"/>
  <c r="E13" i="65"/>
  <c r="F12" i="65"/>
  <c r="E12" i="65"/>
  <c r="F11" i="65"/>
  <c r="E11" i="65"/>
  <c r="F10" i="65"/>
  <c r="E10" i="65"/>
  <c r="S24" i="56" l="1"/>
  <c r="S21" i="56"/>
  <c r="S20" i="56"/>
  <c r="S13" i="56"/>
  <c r="S12" i="56"/>
  <c r="S32" i="56"/>
  <c r="S27" i="56"/>
  <c r="S23" i="56"/>
  <c r="S22" i="56"/>
  <c r="S19" i="56"/>
  <c r="P24" i="56"/>
  <c r="P22" i="56"/>
  <c r="J12" i="56"/>
  <c r="J20" i="56"/>
  <c r="M21" i="56"/>
  <c r="M13" i="56"/>
  <c r="M19" i="56"/>
  <c r="Q22" i="69"/>
  <c r="L22" i="71"/>
  <c r="L22" i="70"/>
  <c r="L22" i="69"/>
  <c r="K22" i="71"/>
  <c r="K22" i="70"/>
  <c r="K22" i="69"/>
  <c r="H139" i="53"/>
  <c r="Q22" i="70" s="1"/>
  <c r="H139" i="18"/>
  <c r="J27" i="56"/>
  <c r="G32" i="56"/>
  <c r="L23" i="66" l="1"/>
  <c r="I23" i="66"/>
  <c r="Q39" i="71"/>
  <c r="E31" i="71"/>
  <c r="E39" i="71"/>
  <c r="E35" i="71"/>
  <c r="E32" i="71"/>
  <c r="F23" i="71"/>
  <c r="F26" i="71" s="1"/>
  <c r="Q36" i="70"/>
  <c r="E36" i="70"/>
  <c r="E35" i="70"/>
  <c r="E33" i="70"/>
  <c r="E39" i="69"/>
  <c r="E36" i="69"/>
  <c r="E33" i="69"/>
  <c r="E36" i="71" l="1"/>
  <c r="F23" i="69"/>
  <c r="F26" i="69" s="1"/>
  <c r="E35" i="69"/>
  <c r="F23" i="70"/>
  <c r="F26" i="70" s="1"/>
  <c r="E30" i="71"/>
  <c r="E34" i="71"/>
  <c r="E33" i="71"/>
  <c r="E39" i="70"/>
  <c r="E32" i="69"/>
  <c r="E32" i="70"/>
  <c r="E23" i="71"/>
  <c r="E26" i="71" s="1"/>
  <c r="E30" i="70"/>
  <c r="E34" i="70"/>
  <c r="E23" i="70"/>
  <c r="E26" i="70" s="1"/>
  <c r="E31" i="70"/>
  <c r="E30" i="69"/>
  <c r="E34" i="69"/>
  <c r="Q36" i="69"/>
  <c r="E23" i="69"/>
  <c r="E26" i="69" s="1"/>
  <c r="E31" i="69"/>
  <c r="E37" i="71" l="1"/>
  <c r="E40" i="71" s="1"/>
  <c r="E37" i="70"/>
  <c r="E40" i="70" s="1"/>
  <c r="E37" i="69"/>
  <c r="E40" i="69" s="1"/>
  <c r="N61" i="39" l="1"/>
  <c r="N60" i="39"/>
  <c r="N59" i="39"/>
  <c r="N58" i="39"/>
  <c r="N57" i="39"/>
  <c r="N56" i="39"/>
  <c r="N62" i="39" l="1"/>
  <c r="J30" i="37" l="1"/>
  <c r="D28" i="37"/>
  <c r="E28" i="37"/>
  <c r="F28" i="37"/>
  <c r="G28" i="37"/>
  <c r="H28" i="37"/>
  <c r="I28" i="37"/>
  <c r="J28" i="37"/>
  <c r="K28" i="37"/>
  <c r="L28" i="37"/>
  <c r="M28" i="37"/>
  <c r="N28" i="37"/>
  <c r="C28" i="37"/>
  <c r="D21" i="37"/>
  <c r="E21" i="37"/>
  <c r="F21" i="37"/>
  <c r="F30" i="37" s="1"/>
  <c r="G21" i="37"/>
  <c r="G30" i="37" s="1"/>
  <c r="H21" i="37"/>
  <c r="H30" i="37" s="1"/>
  <c r="I21" i="37"/>
  <c r="I30" i="37" s="1"/>
  <c r="J21" i="37"/>
  <c r="K21" i="37"/>
  <c r="L21" i="37"/>
  <c r="M21" i="37"/>
  <c r="N21" i="37"/>
  <c r="N30" i="37" s="1"/>
  <c r="C21" i="37"/>
  <c r="C30" i="37" s="1"/>
  <c r="D11" i="37"/>
  <c r="D30" i="37" s="1"/>
  <c r="E11" i="37"/>
  <c r="E30" i="37" s="1"/>
  <c r="F11" i="37"/>
  <c r="G11" i="37"/>
  <c r="H11" i="37"/>
  <c r="I11" i="37"/>
  <c r="J11" i="37"/>
  <c r="K11" i="37"/>
  <c r="K30" i="37" s="1"/>
  <c r="L11" i="37"/>
  <c r="L30" i="37" s="1"/>
  <c r="M11" i="37"/>
  <c r="M30" i="37" s="1"/>
  <c r="N11" i="37"/>
  <c r="C11" i="37"/>
  <c r="O30" i="37" l="1"/>
  <c r="C7" i="22"/>
  <c r="D8" i="16"/>
  <c r="D8" i="48"/>
  <c r="C7" i="61"/>
  <c r="D7" i="53"/>
  <c r="D7" i="18"/>
  <c r="C7" i="21"/>
  <c r="C7" i="26"/>
  <c r="D7" i="11"/>
  <c r="C7" i="25"/>
  <c r="C7" i="24"/>
  <c r="D25" i="70" l="1"/>
  <c r="D25" i="69"/>
  <c r="D25" i="71"/>
  <c r="T27" i="56"/>
  <c r="K27" i="56"/>
  <c r="S31" i="56"/>
  <c r="S29" i="56"/>
  <c r="T29" i="56" s="1"/>
  <c r="S18" i="56"/>
  <c r="T13" i="56"/>
  <c r="T12" i="56"/>
  <c r="P32" i="56"/>
  <c r="P31" i="56"/>
  <c r="P29" i="56"/>
  <c r="Q29" i="56" s="1"/>
  <c r="P27" i="56"/>
  <c r="Q27" i="56" s="1"/>
  <c r="P23" i="56"/>
  <c r="P21" i="56"/>
  <c r="P20" i="56"/>
  <c r="P19" i="56"/>
  <c r="P18" i="56"/>
  <c r="P17" i="56"/>
  <c r="P13" i="56"/>
  <c r="Q13" i="56" s="1"/>
  <c r="P12" i="56"/>
  <c r="Q12" i="56" s="1"/>
  <c r="P11" i="56"/>
  <c r="M32" i="56"/>
  <c r="M31" i="56"/>
  <c r="M29" i="56"/>
  <c r="N29" i="56" s="1"/>
  <c r="M27" i="56"/>
  <c r="N27" i="56" s="1"/>
  <c r="M24" i="56"/>
  <c r="M22" i="56"/>
  <c r="M23" i="56"/>
  <c r="M20" i="56"/>
  <c r="M18" i="56"/>
  <c r="M17" i="56"/>
  <c r="N13" i="56"/>
  <c r="M12" i="56"/>
  <c r="M11" i="56"/>
  <c r="N11" i="56" s="1"/>
  <c r="J32" i="56"/>
  <c r="J31" i="56"/>
  <c r="J29" i="56"/>
  <c r="K29" i="56" s="1"/>
  <c r="J24" i="56"/>
  <c r="J22" i="56"/>
  <c r="J23" i="56"/>
  <c r="J21" i="56"/>
  <c r="J19" i="56"/>
  <c r="J18" i="56"/>
  <c r="J17" i="56"/>
  <c r="J13" i="56"/>
  <c r="K13" i="56" s="1"/>
  <c r="K12" i="56"/>
  <c r="J11" i="56"/>
  <c r="G31" i="56"/>
  <c r="G29" i="56"/>
  <c r="G27" i="56"/>
  <c r="G24" i="56"/>
  <c r="G22" i="56"/>
  <c r="G23" i="56"/>
  <c r="G21" i="56"/>
  <c r="G20" i="56"/>
  <c r="G19" i="56"/>
  <c r="G18" i="56"/>
  <c r="G13" i="56"/>
  <c r="G12" i="56"/>
  <c r="J33" i="56" l="1"/>
  <c r="K33" i="56" s="1"/>
  <c r="G33" i="56"/>
  <c r="M33" i="56"/>
  <c r="N33" i="56" s="1"/>
  <c r="S33" i="56"/>
  <c r="T33" i="56" s="1"/>
  <c r="M14" i="56"/>
  <c r="P14" i="56"/>
  <c r="S14" i="56"/>
  <c r="J14" i="56"/>
  <c r="P33" i="56"/>
  <c r="Q33" i="56" s="1"/>
  <c r="J25" i="56"/>
  <c r="J40" i="56" s="1"/>
  <c r="M25" i="56"/>
  <c r="N25" i="56" s="1"/>
  <c r="P25" i="56"/>
  <c r="Q25" i="56" s="1"/>
  <c r="T11" i="56"/>
  <c r="T14" i="56" s="1"/>
  <c r="Q11" i="56"/>
  <c r="Q14" i="56" s="1"/>
  <c r="N12" i="56"/>
  <c r="N14" i="56" s="1"/>
  <c r="K11" i="56"/>
  <c r="K14" i="56" s="1"/>
  <c r="N34" i="56" l="1"/>
  <c r="N36" i="56" s="1"/>
  <c r="Q34" i="56"/>
  <c r="Q36" i="56" s="1"/>
  <c r="M34" i="56"/>
  <c r="M40" i="56"/>
  <c r="K25" i="56"/>
  <c r="K34" i="56" s="1"/>
  <c r="K36" i="56" s="1"/>
  <c r="J34" i="56"/>
  <c r="P40" i="56"/>
  <c r="P34" i="56"/>
  <c r="I37" i="66" l="1"/>
  <c r="L22" i="65" l="1"/>
  <c r="K22" i="65"/>
  <c r="E39" i="65" l="1"/>
  <c r="D33" i="56" l="1"/>
  <c r="E33" i="56" s="1"/>
  <c r="H33" i="56"/>
  <c r="H29" i="56"/>
  <c r="E29" i="56"/>
  <c r="H27" i="56"/>
  <c r="E27" i="56"/>
  <c r="D25" i="56"/>
  <c r="D40" i="56" s="1"/>
  <c r="D14" i="56"/>
  <c r="H13" i="56"/>
  <c r="E13" i="56"/>
  <c r="H12" i="56"/>
  <c r="E12" i="56"/>
  <c r="H11" i="56"/>
  <c r="G14" i="56"/>
  <c r="E11" i="56"/>
  <c r="E14" i="56" l="1"/>
  <c r="H14" i="56"/>
  <c r="E25" i="56"/>
  <c r="E34" i="56" s="1"/>
  <c r="D34" i="56"/>
  <c r="E36" i="56" l="1"/>
  <c r="Q37" i="56" l="1"/>
  <c r="Q38" i="56" s="1"/>
  <c r="N37" i="56"/>
  <c r="N38" i="56" s="1"/>
  <c r="K37" i="56"/>
  <c r="K38" i="56" s="1"/>
  <c r="H29" i="53" l="1"/>
  <c r="G29" i="53"/>
  <c r="B4" i="39" l="1"/>
  <c r="C4" i="40" l="1"/>
  <c r="D4" i="40" s="1"/>
  <c r="E4" i="40" s="1"/>
  <c r="F4" i="40" s="1"/>
  <c r="G4" i="40" s="1"/>
  <c r="H4" i="40" s="1"/>
  <c r="I4" i="40" s="1"/>
  <c r="J4" i="40" s="1"/>
  <c r="K4" i="40" s="1"/>
  <c r="L4" i="40" s="1"/>
  <c r="M4" i="40" s="1"/>
  <c r="O6" i="37" l="1"/>
  <c r="D118" i="53" s="1"/>
  <c r="O7" i="37"/>
  <c r="D119" i="53" s="1"/>
  <c r="O8" i="37"/>
  <c r="D120" i="53" s="1"/>
  <c r="O9" i="37"/>
  <c r="D121" i="53" s="1"/>
  <c r="O10" i="37"/>
  <c r="D122" i="53" s="1"/>
  <c r="O14" i="37"/>
  <c r="O15" i="37"/>
  <c r="D126" i="53" s="1"/>
  <c r="O16" i="37"/>
  <c r="D127" i="53" s="1"/>
  <c r="O17" i="37"/>
  <c r="D128" i="53" s="1"/>
  <c r="O18" i="37"/>
  <c r="D129" i="53" s="1"/>
  <c r="O19" i="37"/>
  <c r="D130" i="53" s="1"/>
  <c r="O20" i="37"/>
  <c r="D131" i="53" s="1"/>
  <c r="O24" i="37"/>
  <c r="O25" i="37"/>
  <c r="D135" i="53" s="1"/>
  <c r="O26" i="37"/>
  <c r="D136" i="53" s="1"/>
  <c r="O27" i="37"/>
  <c r="D137" i="53" s="1"/>
  <c r="O5" i="37"/>
  <c r="D3" i="37"/>
  <c r="E3" i="37" s="1"/>
  <c r="F3" i="37" s="1"/>
  <c r="G3" i="37" s="1"/>
  <c r="H3" i="37" s="1"/>
  <c r="I3" i="37" s="1"/>
  <c r="J3" i="37" s="1"/>
  <c r="K3" i="37" s="1"/>
  <c r="L3" i="37" s="1"/>
  <c r="M3" i="37" s="1"/>
  <c r="N3" i="37" s="1"/>
  <c r="M96" i="40"/>
  <c r="L96" i="40"/>
  <c r="K96" i="40"/>
  <c r="J96" i="40"/>
  <c r="I96" i="40"/>
  <c r="H96" i="40"/>
  <c r="G96" i="40"/>
  <c r="F96" i="40"/>
  <c r="E96" i="40"/>
  <c r="D96" i="40"/>
  <c r="C96" i="40"/>
  <c r="B96" i="40"/>
  <c r="N95" i="40"/>
  <c r="N94" i="40"/>
  <c r="N93" i="40"/>
  <c r="N92" i="40"/>
  <c r="N91" i="40"/>
  <c r="N90" i="40"/>
  <c r="M86" i="40"/>
  <c r="L86" i="40"/>
  <c r="K86" i="40"/>
  <c r="J86" i="40"/>
  <c r="I86" i="40"/>
  <c r="H86" i="40"/>
  <c r="G86" i="40"/>
  <c r="F86" i="40"/>
  <c r="E86" i="40"/>
  <c r="D86" i="40"/>
  <c r="C86" i="40"/>
  <c r="B86" i="40"/>
  <c r="N85" i="40"/>
  <c r="N84" i="40"/>
  <c r="N83" i="40"/>
  <c r="N82" i="40"/>
  <c r="N81" i="40"/>
  <c r="N80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N43" i="40"/>
  <c r="N42" i="40"/>
  <c r="N41" i="40"/>
  <c r="M37" i="40"/>
  <c r="L37" i="40"/>
  <c r="K37" i="40"/>
  <c r="J37" i="40"/>
  <c r="I37" i="40"/>
  <c r="H37" i="40"/>
  <c r="G37" i="40"/>
  <c r="F37" i="40"/>
  <c r="E37" i="40"/>
  <c r="D37" i="40"/>
  <c r="C37" i="40"/>
  <c r="B37" i="40"/>
  <c r="N36" i="40"/>
  <c r="N35" i="40"/>
  <c r="N34" i="40"/>
  <c r="M116" i="40"/>
  <c r="L116" i="40"/>
  <c r="K116" i="40"/>
  <c r="J116" i="40"/>
  <c r="I116" i="40"/>
  <c r="H116" i="40"/>
  <c r="G116" i="40"/>
  <c r="F116" i="40"/>
  <c r="E116" i="40"/>
  <c r="D116" i="40"/>
  <c r="C116" i="40"/>
  <c r="N115" i="40"/>
  <c r="N114" i="40"/>
  <c r="N113" i="40"/>
  <c r="N112" i="40"/>
  <c r="N111" i="40"/>
  <c r="N110" i="40"/>
  <c r="M106" i="40"/>
  <c r="L106" i="40"/>
  <c r="K106" i="40"/>
  <c r="J106" i="40"/>
  <c r="I106" i="40"/>
  <c r="H106" i="40"/>
  <c r="G106" i="40"/>
  <c r="F106" i="40"/>
  <c r="E106" i="40"/>
  <c r="D106" i="40"/>
  <c r="C106" i="40"/>
  <c r="B106" i="40"/>
  <c r="N105" i="40"/>
  <c r="N104" i="40"/>
  <c r="N103" i="40"/>
  <c r="N102" i="40"/>
  <c r="N101" i="40"/>
  <c r="N100" i="40"/>
  <c r="M58" i="40"/>
  <c r="L58" i="40"/>
  <c r="K58" i="40"/>
  <c r="J58" i="40"/>
  <c r="I58" i="40"/>
  <c r="H58" i="40"/>
  <c r="G58" i="40"/>
  <c r="F58" i="40"/>
  <c r="E58" i="40"/>
  <c r="D58" i="40"/>
  <c r="C58" i="40"/>
  <c r="B58" i="40"/>
  <c r="N57" i="40"/>
  <c r="N56" i="40"/>
  <c r="N55" i="40"/>
  <c r="M51" i="40"/>
  <c r="L51" i="40"/>
  <c r="K51" i="40"/>
  <c r="J51" i="40"/>
  <c r="I51" i="40"/>
  <c r="H51" i="40"/>
  <c r="G51" i="40"/>
  <c r="F51" i="40"/>
  <c r="E51" i="40"/>
  <c r="D51" i="40"/>
  <c r="C51" i="40"/>
  <c r="B51" i="40"/>
  <c r="N50" i="40"/>
  <c r="N49" i="40"/>
  <c r="N48" i="40"/>
  <c r="M70" i="40"/>
  <c r="L70" i="40"/>
  <c r="K70" i="40"/>
  <c r="J70" i="40"/>
  <c r="I70" i="40"/>
  <c r="H70" i="40"/>
  <c r="G70" i="40"/>
  <c r="F70" i="40"/>
  <c r="E70" i="40"/>
  <c r="D70" i="40"/>
  <c r="C70" i="40"/>
  <c r="B70" i="40"/>
  <c r="N69" i="40"/>
  <c r="N68" i="40"/>
  <c r="M64" i="40"/>
  <c r="L64" i="40"/>
  <c r="K64" i="40"/>
  <c r="J64" i="40"/>
  <c r="I64" i="40"/>
  <c r="H64" i="40"/>
  <c r="G64" i="40"/>
  <c r="F64" i="40"/>
  <c r="E64" i="40"/>
  <c r="D64" i="40"/>
  <c r="C64" i="40"/>
  <c r="B64" i="40"/>
  <c r="N63" i="40"/>
  <c r="N62" i="40"/>
  <c r="M16" i="40"/>
  <c r="L16" i="40"/>
  <c r="K16" i="40"/>
  <c r="J16" i="40"/>
  <c r="I16" i="40"/>
  <c r="H16" i="40"/>
  <c r="G16" i="40"/>
  <c r="F16" i="40"/>
  <c r="E16" i="40"/>
  <c r="D16" i="40"/>
  <c r="C16" i="40"/>
  <c r="B16" i="40"/>
  <c r="N15" i="40"/>
  <c r="N14" i="40"/>
  <c r="N13" i="40"/>
  <c r="M9" i="40"/>
  <c r="L9" i="40"/>
  <c r="K9" i="40"/>
  <c r="J9" i="40"/>
  <c r="I9" i="40"/>
  <c r="H9" i="40"/>
  <c r="G9" i="40"/>
  <c r="F9" i="40"/>
  <c r="E9" i="40"/>
  <c r="D9" i="40"/>
  <c r="C9" i="40"/>
  <c r="B9" i="40"/>
  <c r="N8" i="40"/>
  <c r="N7" i="40"/>
  <c r="N6" i="40"/>
  <c r="M76" i="40"/>
  <c r="L76" i="40"/>
  <c r="K76" i="40"/>
  <c r="J76" i="40"/>
  <c r="I76" i="40"/>
  <c r="H76" i="40"/>
  <c r="G76" i="40"/>
  <c r="F76" i="40"/>
  <c r="E76" i="40"/>
  <c r="D76" i="40"/>
  <c r="C76" i="40"/>
  <c r="B76" i="40"/>
  <c r="N75" i="40"/>
  <c r="N74" i="40"/>
  <c r="M30" i="40"/>
  <c r="L30" i="40"/>
  <c r="K30" i="40"/>
  <c r="J30" i="40"/>
  <c r="I30" i="40"/>
  <c r="H30" i="40"/>
  <c r="G30" i="40"/>
  <c r="F30" i="40"/>
  <c r="E30" i="40"/>
  <c r="D30" i="40"/>
  <c r="C30" i="40"/>
  <c r="B30" i="40"/>
  <c r="N29" i="40"/>
  <c r="N28" i="40"/>
  <c r="N27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N22" i="40"/>
  <c r="N21" i="40"/>
  <c r="N20" i="40"/>
  <c r="M62" i="39"/>
  <c r="L62" i="39"/>
  <c r="K62" i="39"/>
  <c r="J62" i="39"/>
  <c r="I62" i="39"/>
  <c r="H62" i="39"/>
  <c r="G62" i="39"/>
  <c r="F62" i="39"/>
  <c r="E62" i="39"/>
  <c r="D62" i="39"/>
  <c r="C62" i="39"/>
  <c r="B62" i="39"/>
  <c r="M50" i="39"/>
  <c r="M151" i="39" s="1"/>
  <c r="L50" i="39"/>
  <c r="L151" i="39" s="1"/>
  <c r="K50" i="39"/>
  <c r="K151" i="39" s="1"/>
  <c r="J50" i="39"/>
  <c r="J151" i="39" s="1"/>
  <c r="I50" i="39"/>
  <c r="I151" i="39" s="1"/>
  <c r="H50" i="39"/>
  <c r="H151" i="39" s="1"/>
  <c r="G50" i="39"/>
  <c r="G151" i="39" s="1"/>
  <c r="F50" i="39"/>
  <c r="F151" i="39" s="1"/>
  <c r="E50" i="39"/>
  <c r="E151" i="39" s="1"/>
  <c r="D50" i="39"/>
  <c r="D151" i="39" s="1"/>
  <c r="C50" i="39"/>
  <c r="C151" i="39" s="1"/>
  <c r="B50" i="39"/>
  <c r="M49" i="39"/>
  <c r="M150" i="39" s="1"/>
  <c r="L49" i="39"/>
  <c r="L150" i="39" s="1"/>
  <c r="K49" i="39"/>
  <c r="K150" i="39" s="1"/>
  <c r="J49" i="39"/>
  <c r="J150" i="39" s="1"/>
  <c r="I49" i="39"/>
  <c r="I150" i="39" s="1"/>
  <c r="H49" i="39"/>
  <c r="H150" i="39" s="1"/>
  <c r="G49" i="39"/>
  <c r="G150" i="39" s="1"/>
  <c r="F49" i="39"/>
  <c r="F150" i="39" s="1"/>
  <c r="E49" i="39"/>
  <c r="E150" i="39" s="1"/>
  <c r="D49" i="39"/>
  <c r="D150" i="39" s="1"/>
  <c r="C49" i="39"/>
  <c r="C150" i="39" s="1"/>
  <c r="B49" i="39"/>
  <c r="M48" i="39"/>
  <c r="M149" i="39" s="1"/>
  <c r="L48" i="39"/>
  <c r="L149" i="39" s="1"/>
  <c r="K48" i="39"/>
  <c r="K149" i="39" s="1"/>
  <c r="J48" i="39"/>
  <c r="J149" i="39" s="1"/>
  <c r="I48" i="39"/>
  <c r="I149" i="39" s="1"/>
  <c r="H48" i="39"/>
  <c r="H149" i="39" s="1"/>
  <c r="G48" i="39"/>
  <c r="G149" i="39" s="1"/>
  <c r="F48" i="39"/>
  <c r="F149" i="39" s="1"/>
  <c r="E48" i="39"/>
  <c r="E149" i="39" s="1"/>
  <c r="D48" i="39"/>
  <c r="D149" i="39" s="1"/>
  <c r="C48" i="39"/>
  <c r="C149" i="39" s="1"/>
  <c r="B48" i="39"/>
  <c r="M47" i="39"/>
  <c r="M148" i="39" s="1"/>
  <c r="L47" i="39"/>
  <c r="L148" i="39" s="1"/>
  <c r="K47" i="39"/>
  <c r="K148" i="39" s="1"/>
  <c r="J47" i="39"/>
  <c r="J148" i="39" s="1"/>
  <c r="I47" i="39"/>
  <c r="I148" i="39" s="1"/>
  <c r="H47" i="39"/>
  <c r="H148" i="39" s="1"/>
  <c r="G47" i="39"/>
  <c r="G148" i="39" s="1"/>
  <c r="F47" i="39"/>
  <c r="F148" i="39" s="1"/>
  <c r="E47" i="39"/>
  <c r="E148" i="39" s="1"/>
  <c r="D47" i="39"/>
  <c r="D148" i="39" s="1"/>
  <c r="C47" i="39"/>
  <c r="C148" i="39" s="1"/>
  <c r="B47" i="39"/>
  <c r="M46" i="39"/>
  <c r="M147" i="39" s="1"/>
  <c r="L46" i="39"/>
  <c r="K46" i="39"/>
  <c r="K147" i="39" s="1"/>
  <c r="J46" i="39"/>
  <c r="J147" i="39" s="1"/>
  <c r="I46" i="39"/>
  <c r="I147" i="39" s="1"/>
  <c r="H46" i="39"/>
  <c r="H147" i="39" s="1"/>
  <c r="G46" i="39"/>
  <c r="G147" i="39" s="1"/>
  <c r="F46" i="39"/>
  <c r="F147" i="39" s="1"/>
  <c r="E46" i="39"/>
  <c r="E147" i="39" s="1"/>
  <c r="D46" i="39"/>
  <c r="D147" i="39" s="1"/>
  <c r="C46" i="39"/>
  <c r="C147" i="39" s="1"/>
  <c r="B46" i="39"/>
  <c r="M40" i="39"/>
  <c r="M41" i="39" s="1"/>
  <c r="L40" i="39"/>
  <c r="K40" i="39"/>
  <c r="K41" i="39" s="1"/>
  <c r="J40" i="39"/>
  <c r="J41" i="39" s="1"/>
  <c r="I40" i="39"/>
  <c r="I41" i="39" s="1"/>
  <c r="H40" i="39"/>
  <c r="G40" i="39"/>
  <c r="F40" i="39"/>
  <c r="E40" i="39"/>
  <c r="E41" i="39" s="1"/>
  <c r="D40" i="39"/>
  <c r="C40" i="39"/>
  <c r="C41" i="39" s="1"/>
  <c r="B40" i="39"/>
  <c r="M34" i="39"/>
  <c r="L34" i="39"/>
  <c r="K34" i="39"/>
  <c r="J34" i="39"/>
  <c r="I34" i="39"/>
  <c r="I141" i="39" s="1"/>
  <c r="H34" i="39"/>
  <c r="H141" i="39" s="1"/>
  <c r="G34" i="39"/>
  <c r="F34" i="39"/>
  <c r="F141" i="39" s="1"/>
  <c r="E34" i="39"/>
  <c r="D34" i="39"/>
  <c r="C34" i="39"/>
  <c r="B34" i="39"/>
  <c r="M28" i="39"/>
  <c r="L28" i="39"/>
  <c r="K28" i="39"/>
  <c r="J28" i="39"/>
  <c r="I28" i="39"/>
  <c r="H28" i="39"/>
  <c r="G28" i="39"/>
  <c r="F28" i="39"/>
  <c r="E28" i="39"/>
  <c r="D28" i="39"/>
  <c r="C28" i="39"/>
  <c r="B28" i="39"/>
  <c r="M27" i="39"/>
  <c r="L27" i="39"/>
  <c r="K27" i="39"/>
  <c r="J27" i="39"/>
  <c r="I27" i="39"/>
  <c r="H27" i="39"/>
  <c r="H29" i="39" s="1"/>
  <c r="G27" i="39"/>
  <c r="G29" i="39" s="1"/>
  <c r="F27" i="39"/>
  <c r="E27" i="39"/>
  <c r="D27" i="39"/>
  <c r="C27" i="39"/>
  <c r="B27" i="39"/>
  <c r="M21" i="39"/>
  <c r="M135" i="39" s="1"/>
  <c r="L21" i="39"/>
  <c r="L135" i="39" s="1"/>
  <c r="K21" i="39"/>
  <c r="K135" i="39" s="1"/>
  <c r="J21" i="39"/>
  <c r="J135" i="39" s="1"/>
  <c r="I21" i="39"/>
  <c r="H21" i="39"/>
  <c r="H135" i="39" s="1"/>
  <c r="G21" i="39"/>
  <c r="G135" i="39" s="1"/>
  <c r="F21" i="39"/>
  <c r="F135" i="39" s="1"/>
  <c r="E21" i="39"/>
  <c r="D21" i="39"/>
  <c r="D135" i="39" s="1"/>
  <c r="C21" i="39"/>
  <c r="C135" i="39" s="1"/>
  <c r="B21" i="39"/>
  <c r="M20" i="39"/>
  <c r="L20" i="39"/>
  <c r="L134" i="39" s="1"/>
  <c r="K20" i="39"/>
  <c r="K134" i="39" s="1"/>
  <c r="J20" i="39"/>
  <c r="I20" i="39"/>
  <c r="H20" i="39"/>
  <c r="H134" i="39" s="1"/>
  <c r="G20" i="39"/>
  <c r="G134" i="39" s="1"/>
  <c r="F20" i="39"/>
  <c r="E20" i="39"/>
  <c r="D20" i="39"/>
  <c r="D134" i="39" s="1"/>
  <c r="C20" i="39"/>
  <c r="C134" i="39" s="1"/>
  <c r="B20" i="39"/>
  <c r="M14" i="39"/>
  <c r="L14" i="39"/>
  <c r="K14" i="39"/>
  <c r="J14" i="39"/>
  <c r="I14" i="39"/>
  <c r="H14" i="39"/>
  <c r="G14" i="39"/>
  <c r="F14" i="39"/>
  <c r="E14" i="39"/>
  <c r="D14" i="39"/>
  <c r="C14" i="39"/>
  <c r="B14" i="39"/>
  <c r="M13" i="39"/>
  <c r="L13" i="39"/>
  <c r="K13" i="39"/>
  <c r="J13" i="39"/>
  <c r="I13" i="39"/>
  <c r="H13" i="39"/>
  <c r="G13" i="39"/>
  <c r="F13" i="39"/>
  <c r="E13" i="39"/>
  <c r="D13" i="39"/>
  <c r="C13" i="39"/>
  <c r="B13" i="39"/>
  <c r="M7" i="39"/>
  <c r="L7" i="39"/>
  <c r="L128" i="39" s="1"/>
  <c r="K7" i="39"/>
  <c r="K128" i="39" s="1"/>
  <c r="J7" i="39"/>
  <c r="J128" i="39" s="1"/>
  <c r="I7" i="39"/>
  <c r="H7" i="39"/>
  <c r="H128" i="39" s="1"/>
  <c r="G7" i="39"/>
  <c r="G128" i="39" s="1"/>
  <c r="F7" i="39"/>
  <c r="E7" i="39"/>
  <c r="D7" i="39"/>
  <c r="D128" i="39" s="1"/>
  <c r="C7" i="39"/>
  <c r="B7" i="39"/>
  <c r="M6" i="39"/>
  <c r="L6" i="39"/>
  <c r="K6" i="39"/>
  <c r="J6" i="39"/>
  <c r="I6" i="39"/>
  <c r="H6" i="39"/>
  <c r="G6" i="39"/>
  <c r="F6" i="39"/>
  <c r="E6" i="39"/>
  <c r="D6" i="39"/>
  <c r="C6" i="39"/>
  <c r="B6" i="39"/>
  <c r="L147" i="39"/>
  <c r="M114" i="39"/>
  <c r="L114" i="39"/>
  <c r="K114" i="39"/>
  <c r="J114" i="39"/>
  <c r="I114" i="39"/>
  <c r="H114" i="39"/>
  <c r="G114" i="39"/>
  <c r="F114" i="39"/>
  <c r="E114" i="39"/>
  <c r="D114" i="39"/>
  <c r="C114" i="39"/>
  <c r="B114" i="39"/>
  <c r="M113" i="39"/>
  <c r="L113" i="39"/>
  <c r="K113" i="39"/>
  <c r="J113" i="39"/>
  <c r="I113" i="39"/>
  <c r="H113" i="39"/>
  <c r="G113" i="39"/>
  <c r="F113" i="39"/>
  <c r="E113" i="39"/>
  <c r="D113" i="39"/>
  <c r="C113" i="39"/>
  <c r="B113" i="39"/>
  <c r="M112" i="39"/>
  <c r="L112" i="39"/>
  <c r="K112" i="39"/>
  <c r="J112" i="39"/>
  <c r="I112" i="39"/>
  <c r="H112" i="39"/>
  <c r="G112" i="39"/>
  <c r="F112" i="39"/>
  <c r="E112" i="39"/>
  <c r="D112" i="39"/>
  <c r="C112" i="39"/>
  <c r="B112" i="39"/>
  <c r="M111" i="39"/>
  <c r="L111" i="39"/>
  <c r="K111" i="39"/>
  <c r="J111" i="39"/>
  <c r="I111" i="39"/>
  <c r="H111" i="39"/>
  <c r="G111" i="39"/>
  <c r="F111" i="39"/>
  <c r="E111" i="39"/>
  <c r="D111" i="39"/>
  <c r="C111" i="39"/>
  <c r="B111" i="39"/>
  <c r="M110" i="39"/>
  <c r="L110" i="39"/>
  <c r="K110" i="39"/>
  <c r="J110" i="39"/>
  <c r="I110" i="39"/>
  <c r="H110" i="39"/>
  <c r="G110" i="39"/>
  <c r="F110" i="39"/>
  <c r="E110" i="39"/>
  <c r="D110" i="39"/>
  <c r="C110" i="39"/>
  <c r="B110" i="39"/>
  <c r="M104" i="39"/>
  <c r="L104" i="39"/>
  <c r="K104" i="39"/>
  <c r="J104" i="39"/>
  <c r="I104" i="39"/>
  <c r="H104" i="39"/>
  <c r="G104" i="39"/>
  <c r="F104" i="39"/>
  <c r="E104" i="39"/>
  <c r="D104" i="39"/>
  <c r="C104" i="39"/>
  <c r="B104" i="39"/>
  <c r="M103" i="39"/>
  <c r="L103" i="39"/>
  <c r="K103" i="39"/>
  <c r="J103" i="39"/>
  <c r="I103" i="39"/>
  <c r="H103" i="39"/>
  <c r="G103" i="39"/>
  <c r="F103" i="39"/>
  <c r="E103" i="39"/>
  <c r="D103" i="39"/>
  <c r="C103" i="39"/>
  <c r="B103" i="39"/>
  <c r="M102" i="39"/>
  <c r="L102" i="39"/>
  <c r="K102" i="39"/>
  <c r="J102" i="39"/>
  <c r="I102" i="39"/>
  <c r="H102" i="39"/>
  <c r="G102" i="39"/>
  <c r="F102" i="39"/>
  <c r="E102" i="39"/>
  <c r="D102" i="39"/>
  <c r="C102" i="39"/>
  <c r="B102" i="39"/>
  <c r="M101" i="39"/>
  <c r="L101" i="39"/>
  <c r="K101" i="39"/>
  <c r="J101" i="39"/>
  <c r="I101" i="39"/>
  <c r="H101" i="39"/>
  <c r="G101" i="39"/>
  <c r="F101" i="39"/>
  <c r="E101" i="39"/>
  <c r="D101" i="39"/>
  <c r="C101" i="39"/>
  <c r="B101" i="39"/>
  <c r="M100" i="39"/>
  <c r="L100" i="39"/>
  <c r="K100" i="39"/>
  <c r="J100" i="39"/>
  <c r="I100" i="39"/>
  <c r="H100" i="39"/>
  <c r="G100" i="39"/>
  <c r="F100" i="39"/>
  <c r="E100" i="39"/>
  <c r="D100" i="39"/>
  <c r="C100" i="39"/>
  <c r="B100" i="39"/>
  <c r="M94" i="39"/>
  <c r="M171" i="39" s="1"/>
  <c r="L94" i="39"/>
  <c r="L95" i="39" s="1"/>
  <c r="L172" i="39" s="1"/>
  <c r="K94" i="39"/>
  <c r="K95" i="39" s="1"/>
  <c r="K172" i="39" s="1"/>
  <c r="J94" i="39"/>
  <c r="J171" i="39" s="1"/>
  <c r="I94" i="39"/>
  <c r="I171" i="39" s="1"/>
  <c r="H94" i="39"/>
  <c r="H95" i="39" s="1"/>
  <c r="H172" i="39" s="1"/>
  <c r="G94" i="39"/>
  <c r="G95" i="39" s="1"/>
  <c r="G172" i="39" s="1"/>
  <c r="F94" i="39"/>
  <c r="F171" i="39" s="1"/>
  <c r="E94" i="39"/>
  <c r="E171" i="39" s="1"/>
  <c r="D94" i="39"/>
  <c r="D95" i="39" s="1"/>
  <c r="D172" i="39" s="1"/>
  <c r="C94" i="39"/>
  <c r="C95" i="39" s="1"/>
  <c r="C172" i="39" s="1"/>
  <c r="B94" i="39"/>
  <c r="M88" i="39"/>
  <c r="L88" i="39"/>
  <c r="K88" i="39"/>
  <c r="J88" i="39"/>
  <c r="I88" i="39"/>
  <c r="H88" i="39"/>
  <c r="G88" i="39"/>
  <c r="F88" i="39"/>
  <c r="E88" i="39"/>
  <c r="D88" i="39"/>
  <c r="C88" i="39"/>
  <c r="B88" i="39"/>
  <c r="M87" i="39"/>
  <c r="L87" i="39"/>
  <c r="K87" i="39"/>
  <c r="J87" i="39"/>
  <c r="I87" i="39"/>
  <c r="H87" i="39"/>
  <c r="G87" i="39"/>
  <c r="F87" i="39"/>
  <c r="E87" i="39"/>
  <c r="D87" i="39"/>
  <c r="C87" i="39"/>
  <c r="B87" i="39"/>
  <c r="M81" i="39"/>
  <c r="L81" i="39"/>
  <c r="K81" i="39"/>
  <c r="J81" i="39"/>
  <c r="I81" i="39"/>
  <c r="H81" i="39"/>
  <c r="G81" i="39"/>
  <c r="F81" i="39"/>
  <c r="E81" i="39"/>
  <c r="D81" i="39"/>
  <c r="C81" i="39"/>
  <c r="B81" i="39"/>
  <c r="M80" i="39"/>
  <c r="L80" i="39"/>
  <c r="K80" i="39"/>
  <c r="J80" i="39"/>
  <c r="I80" i="39"/>
  <c r="H80" i="39"/>
  <c r="G80" i="39"/>
  <c r="F80" i="39"/>
  <c r="E80" i="39"/>
  <c r="D80" i="39"/>
  <c r="C80" i="39"/>
  <c r="B80" i="39"/>
  <c r="M74" i="39"/>
  <c r="L74" i="39"/>
  <c r="K74" i="39"/>
  <c r="J74" i="39"/>
  <c r="I74" i="39"/>
  <c r="H74" i="39"/>
  <c r="G74" i="39"/>
  <c r="F74" i="39"/>
  <c r="E74" i="39"/>
  <c r="D74" i="39"/>
  <c r="C74" i="39"/>
  <c r="B74" i="39"/>
  <c r="M73" i="39"/>
  <c r="L73" i="39"/>
  <c r="K73" i="39"/>
  <c r="J73" i="39"/>
  <c r="I73" i="39"/>
  <c r="H73" i="39"/>
  <c r="G73" i="39"/>
  <c r="F73" i="39"/>
  <c r="E73" i="39"/>
  <c r="D73" i="39"/>
  <c r="C73" i="39"/>
  <c r="B73" i="39"/>
  <c r="M67" i="39"/>
  <c r="L67" i="39"/>
  <c r="K67" i="39"/>
  <c r="J67" i="39"/>
  <c r="I67" i="39"/>
  <c r="H67" i="39"/>
  <c r="G67" i="39"/>
  <c r="F67" i="39"/>
  <c r="E67" i="39"/>
  <c r="D67" i="39"/>
  <c r="C67" i="39"/>
  <c r="B67" i="39"/>
  <c r="M66" i="39"/>
  <c r="L66" i="39"/>
  <c r="K66" i="39"/>
  <c r="K157" i="39" s="1"/>
  <c r="J66" i="39"/>
  <c r="I66" i="39"/>
  <c r="H66" i="39"/>
  <c r="G66" i="39"/>
  <c r="G157" i="39" s="1"/>
  <c r="F66" i="39"/>
  <c r="E66" i="39"/>
  <c r="D66" i="39"/>
  <c r="C66" i="39"/>
  <c r="C157" i="39" s="1"/>
  <c r="B66" i="39"/>
  <c r="M4" i="39"/>
  <c r="M125" i="39" s="1"/>
  <c r="L4" i="39"/>
  <c r="L125" i="39" s="1"/>
  <c r="K4" i="39"/>
  <c r="K125" i="39" s="1"/>
  <c r="J4" i="39"/>
  <c r="J125" i="39" s="1"/>
  <c r="I4" i="39"/>
  <c r="I125" i="39" s="1"/>
  <c r="H4" i="39"/>
  <c r="H125" i="39" s="1"/>
  <c r="G4" i="39"/>
  <c r="G125" i="39" s="1"/>
  <c r="F4" i="39"/>
  <c r="F125" i="39" s="1"/>
  <c r="E4" i="39"/>
  <c r="E125" i="39" s="1"/>
  <c r="D4" i="39"/>
  <c r="D125" i="39" s="1"/>
  <c r="C4" i="39"/>
  <c r="C125" i="39" s="1"/>
  <c r="B125" i="39"/>
  <c r="N14" i="39" l="1"/>
  <c r="N40" i="39"/>
  <c r="G118" i="40"/>
  <c r="N7" i="39"/>
  <c r="H118" i="40"/>
  <c r="C128" i="39"/>
  <c r="I118" i="40"/>
  <c r="D125" i="53"/>
  <c r="O21" i="37"/>
  <c r="B118" i="40"/>
  <c r="J118" i="40"/>
  <c r="D134" i="53"/>
  <c r="H134" i="53" s="1"/>
  <c r="O28" i="37"/>
  <c r="K177" i="39"/>
  <c r="N6" i="39"/>
  <c r="N13" i="39"/>
  <c r="N20" i="39"/>
  <c r="J29" i="39"/>
  <c r="J141" i="39"/>
  <c r="C118" i="40"/>
  <c r="K118" i="40"/>
  <c r="K141" i="39"/>
  <c r="D118" i="40"/>
  <c r="L118" i="40"/>
  <c r="D29" i="39"/>
  <c r="L29" i="39"/>
  <c r="D141" i="39"/>
  <c r="L141" i="39"/>
  <c r="E118" i="40"/>
  <c r="M118" i="40"/>
  <c r="E141" i="39"/>
  <c r="M141" i="39"/>
  <c r="F118" i="40"/>
  <c r="O11" i="37"/>
  <c r="N28" i="39"/>
  <c r="B135" i="39"/>
  <c r="N21" i="39"/>
  <c r="B149" i="39"/>
  <c r="N149" i="39" s="1"/>
  <c r="N48" i="39"/>
  <c r="B118" i="39"/>
  <c r="B119" i="39" s="1"/>
  <c r="F118" i="39"/>
  <c r="F119" i="39" s="1"/>
  <c r="C118" i="39"/>
  <c r="C119" i="39" s="1"/>
  <c r="G118" i="39"/>
  <c r="G119" i="39" s="1"/>
  <c r="K118" i="39"/>
  <c r="K119" i="39" s="1"/>
  <c r="B141" i="39"/>
  <c r="N34" i="39"/>
  <c r="B147" i="39"/>
  <c r="N147" i="39" s="1"/>
  <c r="N46" i="39"/>
  <c r="B148" i="39"/>
  <c r="N148" i="39" s="1"/>
  <c r="N47" i="39"/>
  <c r="B150" i="39"/>
  <c r="N150" i="39" s="1"/>
  <c r="N49" i="39"/>
  <c r="N66" i="39"/>
  <c r="N67" i="39"/>
  <c r="N73" i="39"/>
  <c r="N74" i="39"/>
  <c r="N80" i="39"/>
  <c r="N81" i="39"/>
  <c r="N87" i="39"/>
  <c r="N88" i="39"/>
  <c r="B171" i="39"/>
  <c r="N94" i="39"/>
  <c r="N100" i="39"/>
  <c r="B178" i="39"/>
  <c r="N101" i="39"/>
  <c r="N102" i="39"/>
  <c r="N103" i="39"/>
  <c r="N104" i="39"/>
  <c r="N110" i="39"/>
  <c r="N111" i="39"/>
  <c r="N112" i="39"/>
  <c r="N113" i="39"/>
  <c r="N114" i="39"/>
  <c r="D118" i="39"/>
  <c r="D119" i="39" s="1"/>
  <c r="H118" i="39"/>
  <c r="H119" i="39" s="1"/>
  <c r="L118" i="39"/>
  <c r="L119" i="39" s="1"/>
  <c r="B29" i="39"/>
  <c r="N27" i="39"/>
  <c r="B151" i="39"/>
  <c r="N151" i="39" s="1"/>
  <c r="N50" i="39"/>
  <c r="J118" i="39"/>
  <c r="J119" i="39" s="1"/>
  <c r="E118" i="39"/>
  <c r="E119" i="39" s="1"/>
  <c r="I118" i="39"/>
  <c r="I119" i="39" s="1"/>
  <c r="M118" i="39"/>
  <c r="M119" i="39" s="1"/>
  <c r="G134" i="53"/>
  <c r="G137" i="53"/>
  <c r="H137" i="53"/>
  <c r="G135" i="53"/>
  <c r="H135" i="53"/>
  <c r="G136" i="53"/>
  <c r="H136" i="53"/>
  <c r="G129" i="53"/>
  <c r="H129" i="53"/>
  <c r="G128" i="53"/>
  <c r="H128" i="53"/>
  <c r="H125" i="53"/>
  <c r="G125" i="53"/>
  <c r="G131" i="53"/>
  <c r="H131" i="53"/>
  <c r="H127" i="53"/>
  <c r="G127" i="53"/>
  <c r="G130" i="53"/>
  <c r="H130" i="53"/>
  <c r="G126" i="53"/>
  <c r="H126" i="53"/>
  <c r="D117" i="18"/>
  <c r="D117" i="53"/>
  <c r="G122" i="53"/>
  <c r="H122" i="53"/>
  <c r="G118" i="53"/>
  <c r="H118" i="53"/>
  <c r="H121" i="53"/>
  <c r="G121" i="53"/>
  <c r="G119" i="53"/>
  <c r="H119" i="53"/>
  <c r="G120" i="53"/>
  <c r="H120" i="53"/>
  <c r="N51" i="40"/>
  <c r="I127" i="39"/>
  <c r="D178" i="39"/>
  <c r="H178" i="39"/>
  <c r="L178" i="39"/>
  <c r="D179" i="39"/>
  <c r="H179" i="39"/>
  <c r="L179" i="39"/>
  <c r="D181" i="39"/>
  <c r="H181" i="39"/>
  <c r="L181" i="39"/>
  <c r="E127" i="39"/>
  <c r="M127" i="39"/>
  <c r="F29" i="39"/>
  <c r="J178" i="39"/>
  <c r="C179" i="39"/>
  <c r="N64" i="40"/>
  <c r="L127" i="39"/>
  <c r="N86" i="40"/>
  <c r="N96" i="40"/>
  <c r="H171" i="39"/>
  <c r="N116" i="40"/>
  <c r="B164" i="39"/>
  <c r="F164" i="39"/>
  <c r="J164" i="39"/>
  <c r="L164" i="39"/>
  <c r="C181" i="39"/>
  <c r="G181" i="39"/>
  <c r="K181" i="39"/>
  <c r="N58" i="40"/>
  <c r="N44" i="40"/>
  <c r="N37" i="40"/>
  <c r="E164" i="39"/>
  <c r="I164" i="39"/>
  <c r="M164" i="39"/>
  <c r="B127" i="39"/>
  <c r="B177" i="39"/>
  <c r="F177" i="39"/>
  <c r="J177" i="39"/>
  <c r="G171" i="39"/>
  <c r="C165" i="39"/>
  <c r="G165" i="39"/>
  <c r="K165" i="39"/>
  <c r="C127" i="39"/>
  <c r="K127" i="39"/>
  <c r="F178" i="39"/>
  <c r="B179" i="39"/>
  <c r="F179" i="39"/>
  <c r="J179" i="39"/>
  <c r="B180" i="39"/>
  <c r="F180" i="39"/>
  <c r="J180" i="39"/>
  <c r="M75" i="39"/>
  <c r="K171" i="39"/>
  <c r="I165" i="39"/>
  <c r="G177" i="39"/>
  <c r="G178" i="39"/>
  <c r="G179" i="39"/>
  <c r="G180" i="39"/>
  <c r="D115" i="39"/>
  <c r="H115" i="39"/>
  <c r="L115" i="39"/>
  <c r="I115" i="39"/>
  <c r="E180" i="39"/>
  <c r="F158" i="39"/>
  <c r="J158" i="39"/>
  <c r="F75" i="39"/>
  <c r="D177" i="39"/>
  <c r="C178" i="39"/>
  <c r="K178" i="39"/>
  <c r="K179" i="39"/>
  <c r="C180" i="39"/>
  <c r="K180" i="39"/>
  <c r="G127" i="39"/>
  <c r="D157" i="39"/>
  <c r="L157" i="39"/>
  <c r="E181" i="39"/>
  <c r="I181" i="39"/>
  <c r="M181" i="39"/>
  <c r="C177" i="39"/>
  <c r="B41" i="39"/>
  <c r="C158" i="39"/>
  <c r="G158" i="39"/>
  <c r="K158" i="39"/>
  <c r="C171" i="39"/>
  <c r="B165" i="39"/>
  <c r="F165" i="39"/>
  <c r="J165" i="39"/>
  <c r="D164" i="39"/>
  <c r="H164" i="39"/>
  <c r="E165" i="39"/>
  <c r="M89" i="39"/>
  <c r="C29" i="39"/>
  <c r="K29" i="39"/>
  <c r="N76" i="40"/>
  <c r="C75" i="39"/>
  <c r="G75" i="39"/>
  <c r="K75" i="39"/>
  <c r="B157" i="39"/>
  <c r="F157" i="39"/>
  <c r="J157" i="39"/>
  <c r="E75" i="39"/>
  <c r="D165" i="39"/>
  <c r="H165" i="39"/>
  <c r="L165" i="39"/>
  <c r="B89" i="39"/>
  <c r="J89" i="39"/>
  <c r="E177" i="39"/>
  <c r="I177" i="39"/>
  <c r="M177" i="39"/>
  <c r="I89" i="39"/>
  <c r="E89" i="39"/>
  <c r="I75" i="39"/>
  <c r="D171" i="39"/>
  <c r="B158" i="39"/>
  <c r="M165" i="39"/>
  <c r="H157" i="39"/>
  <c r="L171" i="39"/>
  <c r="E157" i="39"/>
  <c r="I157" i="39"/>
  <c r="M157" i="39"/>
  <c r="D158" i="39"/>
  <c r="H158" i="39"/>
  <c r="L158" i="39"/>
  <c r="H177" i="39"/>
  <c r="C164" i="39"/>
  <c r="G164" i="39"/>
  <c r="K164" i="39"/>
  <c r="L177" i="39"/>
  <c r="E178" i="39"/>
  <c r="I178" i="39"/>
  <c r="M178" i="39"/>
  <c r="E179" i="39"/>
  <c r="I179" i="39"/>
  <c r="M179" i="39"/>
  <c r="I180" i="39"/>
  <c r="M180" i="39"/>
  <c r="B181" i="39"/>
  <c r="F181" i="39"/>
  <c r="J181" i="39"/>
  <c r="F95" i="39"/>
  <c r="F172" i="39" s="1"/>
  <c r="B128" i="39"/>
  <c r="F128" i="39"/>
  <c r="H41" i="39"/>
  <c r="E158" i="39"/>
  <c r="I158" i="39"/>
  <c r="M158" i="39"/>
  <c r="B75" i="39"/>
  <c r="J75" i="39"/>
  <c r="F89" i="39"/>
  <c r="D180" i="39"/>
  <c r="H180" i="39"/>
  <c r="L180" i="39"/>
  <c r="B115" i="39"/>
  <c r="F115" i="39"/>
  <c r="J115" i="39"/>
  <c r="D127" i="39"/>
  <c r="H127" i="39"/>
  <c r="F41" i="39"/>
  <c r="I29" i="39"/>
  <c r="I134" i="39"/>
  <c r="G89" i="39"/>
  <c r="I95" i="39"/>
  <c r="I172" i="39" s="1"/>
  <c r="I173" i="39" s="1"/>
  <c r="I50" i="13" s="1"/>
  <c r="D75" i="39"/>
  <c r="H75" i="39"/>
  <c r="L75" i="39"/>
  <c r="D89" i="39"/>
  <c r="H89" i="39"/>
  <c r="L89" i="39"/>
  <c r="B95" i="39"/>
  <c r="J95" i="39"/>
  <c r="J172" i="39" s="1"/>
  <c r="E29" i="39"/>
  <c r="E134" i="39"/>
  <c r="M29" i="39"/>
  <c r="M134" i="39"/>
  <c r="C89" i="39"/>
  <c r="K89" i="39"/>
  <c r="E95" i="39"/>
  <c r="E172" i="39" s="1"/>
  <c r="M95" i="39"/>
  <c r="M172" i="39" s="1"/>
  <c r="E115" i="39"/>
  <c r="M115" i="39"/>
  <c r="C141" i="39"/>
  <c r="G141" i="39"/>
  <c r="G41" i="39"/>
  <c r="N70" i="40"/>
  <c r="F127" i="39"/>
  <c r="J127" i="39"/>
  <c r="E135" i="39"/>
  <c r="I135" i="39"/>
  <c r="N30" i="40"/>
  <c r="N16" i="40"/>
  <c r="N106" i="40"/>
  <c r="D41" i="39"/>
  <c r="L41" i="39"/>
  <c r="C115" i="39"/>
  <c r="G115" i="39"/>
  <c r="K115" i="39"/>
  <c r="E128" i="39"/>
  <c r="I128" i="39"/>
  <c r="M128" i="39"/>
  <c r="B134" i="39"/>
  <c r="F134" i="39"/>
  <c r="J134" i="39"/>
  <c r="N23" i="40"/>
  <c r="N9" i="40"/>
  <c r="N118" i="40" l="1"/>
  <c r="E173" i="39"/>
  <c r="E50" i="13" s="1"/>
  <c r="N41" i="39"/>
  <c r="N42" i="39" s="1"/>
  <c r="H173" i="39"/>
  <c r="H51" i="13" s="1"/>
  <c r="F173" i="39"/>
  <c r="F50" i="13" s="1"/>
  <c r="I51" i="13"/>
  <c r="N75" i="39"/>
  <c r="N76" i="39" s="1"/>
  <c r="L173" i="39"/>
  <c r="L51" i="13" s="1"/>
  <c r="D173" i="39"/>
  <c r="D51" i="13" s="1"/>
  <c r="N89" i="39"/>
  <c r="N90" i="39" s="1"/>
  <c r="K173" i="39"/>
  <c r="K51" i="13" s="1"/>
  <c r="B172" i="39"/>
  <c r="B173" i="39" s="1"/>
  <c r="B50" i="13" s="1"/>
  <c r="N95" i="39"/>
  <c r="N96" i="39" s="1"/>
  <c r="C173" i="39"/>
  <c r="C51" i="13" s="1"/>
  <c r="N115" i="39"/>
  <c r="N116" i="39" s="1"/>
  <c r="G173" i="39"/>
  <c r="G51" i="13" s="1"/>
  <c r="N29" i="39"/>
  <c r="N30" i="39" s="1"/>
  <c r="J173" i="39"/>
  <c r="J50" i="13" s="1"/>
  <c r="M173" i="39"/>
  <c r="M50" i="13" s="1"/>
  <c r="C23" i="61"/>
  <c r="C23" i="21"/>
  <c r="G23" i="21" s="1"/>
  <c r="C23" i="26"/>
  <c r="C23" i="22"/>
  <c r="D25" i="65"/>
  <c r="H117" i="53"/>
  <c r="Q25" i="70" s="1"/>
  <c r="G117" i="53"/>
  <c r="N171" i="39"/>
  <c r="N141" i="39"/>
  <c r="N177" i="39"/>
  <c r="N181" i="39"/>
  <c r="N157" i="39"/>
  <c r="N178" i="39"/>
  <c r="N128" i="39"/>
  <c r="N135" i="39"/>
  <c r="N127" i="39"/>
  <c r="N180" i="39"/>
  <c r="N158" i="39"/>
  <c r="N179" i="39"/>
  <c r="N164" i="39"/>
  <c r="N165" i="39"/>
  <c r="J15" i="39"/>
  <c r="K15" i="39"/>
  <c r="N134" i="39"/>
  <c r="C15" i="39"/>
  <c r="G15" i="39"/>
  <c r="Q39" i="70" l="1"/>
  <c r="L26" i="66"/>
  <c r="L40" i="66" s="1"/>
  <c r="L25" i="71"/>
  <c r="L25" i="70"/>
  <c r="L25" i="69"/>
  <c r="M51" i="13"/>
  <c r="E51" i="13"/>
  <c r="K50" i="13"/>
  <c r="L50" i="13"/>
  <c r="G50" i="13"/>
  <c r="N172" i="39"/>
  <c r="N173" i="39" s="1"/>
  <c r="N51" i="13" s="1"/>
  <c r="H50" i="13"/>
  <c r="C50" i="13"/>
  <c r="D50" i="13"/>
  <c r="B51" i="13"/>
  <c r="J51" i="13"/>
  <c r="F51" i="13"/>
  <c r="H29" i="67"/>
  <c r="H43" i="67" s="1"/>
  <c r="D29" i="67"/>
  <c r="D43" i="67" s="1"/>
  <c r="F23" i="61"/>
  <c r="G23" i="61"/>
  <c r="L25" i="65"/>
  <c r="L15" i="39"/>
  <c r="L35" i="39"/>
  <c r="L142" i="39" s="1"/>
  <c r="L143" i="39" s="1"/>
  <c r="L20" i="13" s="1"/>
  <c r="I22" i="39"/>
  <c r="I136" i="39" s="1"/>
  <c r="I137" i="39" s="1"/>
  <c r="J8" i="39"/>
  <c r="J129" i="39" s="1"/>
  <c r="J130" i="39" s="1"/>
  <c r="H15" i="39"/>
  <c r="I15" i="39"/>
  <c r="E68" i="39"/>
  <c r="E159" i="39" s="1"/>
  <c r="E160" i="39" s="1"/>
  <c r="G8" i="39"/>
  <c r="G129" i="39" s="1"/>
  <c r="G130" i="39" s="1"/>
  <c r="M15" i="39"/>
  <c r="K8" i="39"/>
  <c r="K129" i="39" s="1"/>
  <c r="K130" i="39" s="1"/>
  <c r="C8" i="39"/>
  <c r="C129" i="39" s="1"/>
  <c r="C130" i="39" s="1"/>
  <c r="F35" i="39"/>
  <c r="F142" i="39" s="1"/>
  <c r="F143" i="39" s="1"/>
  <c r="F20" i="13" s="1"/>
  <c r="E15" i="39"/>
  <c r="M82" i="39"/>
  <c r="M166" i="39" s="1"/>
  <c r="M167" i="39" s="1"/>
  <c r="F15" i="39"/>
  <c r="M25" i="71" l="1"/>
  <c r="M25" i="69"/>
  <c r="M25" i="70"/>
  <c r="N50" i="13"/>
  <c r="O40" i="66"/>
  <c r="M25" i="65"/>
  <c r="C8" i="13"/>
  <c r="I15" i="13"/>
  <c r="K8" i="13"/>
  <c r="F21" i="13"/>
  <c r="L21" i="13"/>
  <c r="I13" i="13"/>
  <c r="I14" i="13"/>
  <c r="J7" i="13"/>
  <c r="J6" i="13"/>
  <c r="C7" i="13"/>
  <c r="C6" i="13"/>
  <c r="K7" i="13"/>
  <c r="K6" i="13"/>
  <c r="G8" i="13"/>
  <c r="J8" i="13"/>
  <c r="G7" i="13"/>
  <c r="G6" i="13"/>
  <c r="M44" i="13"/>
  <c r="M43" i="13"/>
  <c r="M45" i="13"/>
  <c r="E38" i="13"/>
  <c r="E36" i="13"/>
  <c r="E37" i="13"/>
  <c r="D51" i="39"/>
  <c r="D152" i="39" s="1"/>
  <c r="D153" i="39" s="1"/>
  <c r="C35" i="39"/>
  <c r="C142" i="39" s="1"/>
  <c r="I35" i="39"/>
  <c r="I142" i="39" s="1"/>
  <c r="I143" i="39" s="1"/>
  <c r="I20" i="13" s="1"/>
  <c r="D22" i="39"/>
  <c r="D136" i="39" s="1"/>
  <c r="D137" i="39" s="1"/>
  <c r="E35" i="39"/>
  <c r="E142" i="39" s="1"/>
  <c r="E143" i="39" s="1"/>
  <c r="E20" i="13" s="1"/>
  <c r="F105" i="39"/>
  <c r="F182" i="39" s="1"/>
  <c r="F183" i="39" s="1"/>
  <c r="H35" i="39"/>
  <c r="H142" i="39" s="1"/>
  <c r="H143" i="39" s="1"/>
  <c r="H20" i="13" s="1"/>
  <c r="H8" i="39"/>
  <c r="H129" i="39" s="1"/>
  <c r="E51" i="39"/>
  <c r="E152" i="39" s="1"/>
  <c r="E153" i="39" s="1"/>
  <c r="L68" i="39"/>
  <c r="L159" i="39" s="1"/>
  <c r="L160" i="39" s="1"/>
  <c r="H51" i="39"/>
  <c r="H152" i="39" s="1"/>
  <c r="H153" i="39" s="1"/>
  <c r="M8" i="39"/>
  <c r="M129" i="39" s="1"/>
  <c r="M130" i="39" s="1"/>
  <c r="F51" i="39"/>
  <c r="F152" i="39" s="1"/>
  <c r="F153" i="39" s="1"/>
  <c r="D82" i="39"/>
  <c r="D166" i="39" s="1"/>
  <c r="D167" i="39" s="1"/>
  <c r="F8" i="39"/>
  <c r="F129" i="39" s="1"/>
  <c r="F130" i="39" s="1"/>
  <c r="H22" i="39"/>
  <c r="H136" i="39" s="1"/>
  <c r="H137" i="39" s="1"/>
  <c r="M68" i="39"/>
  <c r="M159" i="39" s="1"/>
  <c r="M160" i="39" s="1"/>
  <c r="M22" i="39"/>
  <c r="M136" i="39" s="1"/>
  <c r="M137" i="39" s="1"/>
  <c r="L22" i="39"/>
  <c r="L136" i="39" s="1"/>
  <c r="L137" i="39" s="1"/>
  <c r="G82" i="39"/>
  <c r="G166" i="39" s="1"/>
  <c r="J51" i="39"/>
  <c r="J152" i="39" s="1"/>
  <c r="J153" i="39" s="1"/>
  <c r="M35" i="39"/>
  <c r="M142" i="39" s="1"/>
  <c r="M143" i="39" s="1"/>
  <c r="M20" i="13" s="1"/>
  <c r="H105" i="39"/>
  <c r="H182" i="39" s="1"/>
  <c r="H183" i="39" s="1"/>
  <c r="L105" i="39"/>
  <c r="L182" i="39" s="1"/>
  <c r="L183" i="39" s="1"/>
  <c r="J68" i="39"/>
  <c r="J159" i="39" s="1"/>
  <c r="J160" i="39" s="1"/>
  <c r="H68" i="39"/>
  <c r="H159" i="39" s="1"/>
  <c r="H160" i="39" s="1"/>
  <c r="I105" i="39"/>
  <c r="I182" i="39" s="1"/>
  <c r="I183" i="39" s="1"/>
  <c r="J105" i="39"/>
  <c r="J182" i="39" s="1"/>
  <c r="J183" i="39" s="1"/>
  <c r="C51" i="39"/>
  <c r="C152" i="39" s="1"/>
  <c r="C153" i="39" s="1"/>
  <c r="I82" i="39"/>
  <c r="I166" i="39" s="1"/>
  <c r="I167" i="39" s="1"/>
  <c r="F82" i="39"/>
  <c r="F166" i="39" s="1"/>
  <c r="F167" i="39" s="1"/>
  <c r="E22" i="39"/>
  <c r="E136" i="39" s="1"/>
  <c r="E137" i="39" s="1"/>
  <c r="D68" i="39"/>
  <c r="D159" i="39" s="1"/>
  <c r="D160" i="39" s="1"/>
  <c r="G105" i="39"/>
  <c r="G182" i="39" s="1"/>
  <c r="G183" i="39" s="1"/>
  <c r="D105" i="39"/>
  <c r="D182" i="39" s="1"/>
  <c r="D183" i="39" s="1"/>
  <c r="J35" i="39"/>
  <c r="J142" i="39" s="1"/>
  <c r="J143" i="39" s="1"/>
  <c r="J20" i="13" s="1"/>
  <c r="I68" i="39"/>
  <c r="I159" i="39" s="1"/>
  <c r="I160" i="39" s="1"/>
  <c r="E8" i="39"/>
  <c r="E129" i="39" s="1"/>
  <c r="E130" i="39" s="1"/>
  <c r="H82" i="39"/>
  <c r="H166" i="39" s="1"/>
  <c r="H167" i="39" s="1"/>
  <c r="G68" i="39"/>
  <c r="G159" i="39" s="1"/>
  <c r="G160" i="39" s="1"/>
  <c r="I8" i="39"/>
  <c r="I129" i="39" s="1"/>
  <c r="I130" i="39" s="1"/>
  <c r="L51" i="39"/>
  <c r="L152" i="39" s="1"/>
  <c r="L153" i="39" s="1"/>
  <c r="M51" i="39"/>
  <c r="M152" i="39" s="1"/>
  <c r="M153" i="39" s="1"/>
  <c r="L82" i="39"/>
  <c r="L166" i="39" s="1"/>
  <c r="L167" i="39" s="1"/>
  <c r="K51" i="39"/>
  <c r="K152" i="39" s="1"/>
  <c r="K153" i="39" s="1"/>
  <c r="M105" i="39"/>
  <c r="M182" i="39" s="1"/>
  <c r="M183" i="39" s="1"/>
  <c r="C22" i="39"/>
  <c r="C136" i="39" s="1"/>
  <c r="C137" i="39" s="1"/>
  <c r="F68" i="39"/>
  <c r="F159" i="39" s="1"/>
  <c r="F160" i="39" s="1"/>
  <c r="D15" i="39"/>
  <c r="L8" i="39"/>
  <c r="L129" i="39" s="1"/>
  <c r="L130" i="39" s="1"/>
  <c r="G35" i="39"/>
  <c r="G142" i="39" s="1"/>
  <c r="G143" i="39" s="1"/>
  <c r="G20" i="13" s="1"/>
  <c r="G51" i="39"/>
  <c r="G152" i="39" s="1"/>
  <c r="G153" i="39" s="1"/>
  <c r="J82" i="39"/>
  <c r="J166" i="39" s="1"/>
  <c r="J167" i="39" s="1"/>
  <c r="E82" i="39"/>
  <c r="E166" i="39" s="1"/>
  <c r="E167" i="39" s="1"/>
  <c r="K22" i="39"/>
  <c r="K136" i="39" s="1"/>
  <c r="K137" i="39" s="1"/>
  <c r="E105" i="39"/>
  <c r="E182" i="39" s="1"/>
  <c r="E183" i="39" s="1"/>
  <c r="G22" i="39"/>
  <c r="G136" i="39" s="1"/>
  <c r="G137" i="39" s="1"/>
  <c r="F22" i="39"/>
  <c r="F136" i="39" s="1"/>
  <c r="F137" i="39" s="1"/>
  <c r="I51" i="39"/>
  <c r="I152" i="39" s="1"/>
  <c r="I153" i="39" s="1"/>
  <c r="K35" i="39"/>
  <c r="K142" i="39" s="1"/>
  <c r="K143" i="39" s="1"/>
  <c r="K20" i="13" s="1"/>
  <c r="J22" i="39"/>
  <c r="J136" i="39" s="1"/>
  <c r="J137" i="39" s="1"/>
  <c r="J185" i="39" l="1"/>
  <c r="J186" i="39" s="1"/>
  <c r="E185" i="39"/>
  <c r="E186" i="39" s="1"/>
  <c r="G167" i="39"/>
  <c r="G45" i="13" s="1"/>
  <c r="H130" i="39"/>
  <c r="H185" i="39" s="1"/>
  <c r="H186" i="39" s="1"/>
  <c r="I185" i="39"/>
  <c r="I186" i="39" s="1"/>
  <c r="F185" i="39"/>
  <c r="F186" i="39" s="1"/>
  <c r="C143" i="39"/>
  <c r="C20" i="13" s="1"/>
  <c r="L185" i="39"/>
  <c r="L186" i="39" s="1"/>
  <c r="M185" i="39"/>
  <c r="M186" i="39" s="1"/>
  <c r="I31" i="13"/>
  <c r="E61" i="13"/>
  <c r="G31" i="13"/>
  <c r="F45" i="13"/>
  <c r="F38" i="13"/>
  <c r="G38" i="13"/>
  <c r="I45" i="13"/>
  <c r="C15" i="13"/>
  <c r="M8" i="13"/>
  <c r="F61" i="13"/>
  <c r="J15" i="13"/>
  <c r="G15" i="13"/>
  <c r="K15" i="13"/>
  <c r="I8" i="13"/>
  <c r="J38" i="13"/>
  <c r="F8" i="13"/>
  <c r="F31" i="13"/>
  <c r="D26" i="13"/>
  <c r="D30" i="13"/>
  <c r="D29" i="13"/>
  <c r="D27" i="13"/>
  <c r="D28" i="13"/>
  <c r="K31" i="13"/>
  <c r="C27" i="13"/>
  <c r="C28" i="13"/>
  <c r="C30" i="13"/>
  <c r="C29" i="13"/>
  <c r="C26" i="13"/>
  <c r="J26" i="13"/>
  <c r="J30" i="13"/>
  <c r="J28" i="13"/>
  <c r="J27" i="13"/>
  <c r="J29" i="13"/>
  <c r="F26" i="13"/>
  <c r="F28" i="13"/>
  <c r="F29" i="13"/>
  <c r="F27" i="13"/>
  <c r="F30" i="13"/>
  <c r="H29" i="13"/>
  <c r="H28" i="13"/>
  <c r="H27" i="13"/>
  <c r="H26" i="13"/>
  <c r="H30" i="13"/>
  <c r="E27" i="13"/>
  <c r="E30" i="13"/>
  <c r="E28" i="13"/>
  <c r="E26" i="13"/>
  <c r="E29" i="13"/>
  <c r="L26" i="13"/>
  <c r="L28" i="13"/>
  <c r="L27" i="13"/>
  <c r="L30" i="13"/>
  <c r="L29" i="13"/>
  <c r="K30" i="13"/>
  <c r="K29" i="13"/>
  <c r="K28" i="13"/>
  <c r="K27" i="13"/>
  <c r="K26" i="13"/>
  <c r="M26" i="13"/>
  <c r="M29" i="13"/>
  <c r="M27" i="13"/>
  <c r="M30" i="13"/>
  <c r="M28" i="13"/>
  <c r="L31" i="13"/>
  <c r="D31" i="13"/>
  <c r="M31" i="13"/>
  <c r="I29" i="13"/>
  <c r="I28" i="13"/>
  <c r="I26" i="13"/>
  <c r="I30" i="13"/>
  <c r="I27" i="13"/>
  <c r="G29" i="13"/>
  <c r="G26" i="13"/>
  <c r="G27" i="13"/>
  <c r="G28" i="13"/>
  <c r="G30" i="13"/>
  <c r="C31" i="13"/>
  <c r="J31" i="13"/>
  <c r="H31" i="13"/>
  <c r="E31" i="13"/>
  <c r="H21" i="13"/>
  <c r="E21" i="13"/>
  <c r="M21" i="13"/>
  <c r="I21" i="13"/>
  <c r="K21" i="13"/>
  <c r="G21" i="13"/>
  <c r="J21" i="13"/>
  <c r="F14" i="13"/>
  <c r="F13" i="13"/>
  <c r="K14" i="13"/>
  <c r="K13" i="13"/>
  <c r="L15" i="13"/>
  <c r="M14" i="13"/>
  <c r="M13" i="13"/>
  <c r="L13" i="13"/>
  <c r="L14" i="13"/>
  <c r="H13" i="13"/>
  <c r="H14" i="13"/>
  <c r="D14" i="13"/>
  <c r="D13" i="13"/>
  <c r="J14" i="13"/>
  <c r="J13" i="13"/>
  <c r="H15" i="13"/>
  <c r="D15" i="13"/>
  <c r="G13" i="13"/>
  <c r="G14" i="13"/>
  <c r="E13" i="13"/>
  <c r="E14" i="13"/>
  <c r="F15" i="13"/>
  <c r="C13" i="13"/>
  <c r="C14" i="13"/>
  <c r="E15" i="13"/>
  <c r="M15" i="13"/>
  <c r="E6" i="13"/>
  <c r="E7" i="13"/>
  <c r="F6" i="13"/>
  <c r="F7" i="13"/>
  <c r="L8" i="13"/>
  <c r="E8" i="13"/>
  <c r="L7" i="13"/>
  <c r="L6" i="13"/>
  <c r="I6" i="13"/>
  <c r="I7" i="13"/>
  <c r="M6" i="13"/>
  <c r="M7" i="13"/>
  <c r="D61" i="13"/>
  <c r="I61" i="13"/>
  <c r="J56" i="13"/>
  <c r="J58" i="13"/>
  <c r="J57" i="13"/>
  <c r="J60" i="13"/>
  <c r="J59" i="13"/>
  <c r="L58" i="13"/>
  <c r="L57" i="13"/>
  <c r="L60" i="13"/>
  <c r="L59" i="13"/>
  <c r="L56" i="13"/>
  <c r="J61" i="13"/>
  <c r="L61" i="13"/>
  <c r="G61" i="13"/>
  <c r="M57" i="13"/>
  <c r="M60" i="13"/>
  <c r="M58" i="13"/>
  <c r="M56" i="13"/>
  <c r="M59" i="13"/>
  <c r="H58" i="13"/>
  <c r="H60" i="13"/>
  <c r="H57" i="13"/>
  <c r="H59" i="13"/>
  <c r="H56" i="13"/>
  <c r="G59" i="13"/>
  <c r="G57" i="13"/>
  <c r="G58" i="13"/>
  <c r="G56" i="13"/>
  <c r="G60" i="13"/>
  <c r="I60" i="13"/>
  <c r="I57" i="13"/>
  <c r="I58" i="13"/>
  <c r="I56" i="13"/>
  <c r="I59" i="13"/>
  <c r="H61" i="13"/>
  <c r="E58" i="13"/>
  <c r="E59" i="13"/>
  <c r="E56" i="13"/>
  <c r="E57" i="13"/>
  <c r="E60" i="13"/>
  <c r="M61" i="13"/>
  <c r="D60" i="13"/>
  <c r="D58" i="13"/>
  <c r="D57" i="13"/>
  <c r="D56" i="13"/>
  <c r="D59" i="13"/>
  <c r="F56" i="13"/>
  <c r="F60" i="13"/>
  <c r="F59" i="13"/>
  <c r="F57" i="13"/>
  <c r="F58" i="13"/>
  <c r="L43" i="13"/>
  <c r="L44" i="13"/>
  <c r="E43" i="13"/>
  <c r="E44" i="13"/>
  <c r="H45" i="13"/>
  <c r="D45" i="13"/>
  <c r="I43" i="13"/>
  <c r="I44" i="13"/>
  <c r="J44" i="13"/>
  <c r="J43" i="13"/>
  <c r="H43" i="13"/>
  <c r="H44" i="13"/>
  <c r="D44" i="13"/>
  <c r="D43" i="13"/>
  <c r="L45" i="13"/>
  <c r="E45" i="13"/>
  <c r="J45" i="13"/>
  <c r="F43" i="13"/>
  <c r="F44" i="13"/>
  <c r="I36" i="13"/>
  <c r="I37" i="13"/>
  <c r="G36" i="13"/>
  <c r="G37" i="13"/>
  <c r="J36" i="13"/>
  <c r="J37" i="13"/>
  <c r="M37" i="13"/>
  <c r="M36" i="13"/>
  <c r="D37" i="13"/>
  <c r="D36" i="13"/>
  <c r="H36" i="13"/>
  <c r="H37" i="13"/>
  <c r="I38" i="13"/>
  <c r="D38" i="13"/>
  <c r="H38" i="13"/>
  <c r="L38" i="13"/>
  <c r="F37" i="13"/>
  <c r="F36" i="13"/>
  <c r="M38" i="13"/>
  <c r="L37" i="13"/>
  <c r="L36" i="13"/>
  <c r="C105" i="39"/>
  <c r="C182" i="39" s="1"/>
  <c r="C183" i="39" s="1"/>
  <c r="C82" i="39"/>
  <c r="C166" i="39" s="1"/>
  <c r="C167" i="39" s="1"/>
  <c r="K68" i="39"/>
  <c r="K159" i="39" s="1"/>
  <c r="K160" i="39" s="1"/>
  <c r="D8" i="39"/>
  <c r="D129" i="39" s="1"/>
  <c r="D130" i="39" s="1"/>
  <c r="C68" i="39"/>
  <c r="C159" i="39" s="1"/>
  <c r="C160" i="39" s="1"/>
  <c r="K105" i="39"/>
  <c r="K182" i="39" s="1"/>
  <c r="K183" i="39" s="1"/>
  <c r="K82" i="39"/>
  <c r="K166" i="39" s="1"/>
  <c r="K167" i="39" s="1"/>
  <c r="D35" i="39"/>
  <c r="D142" i="39" s="1"/>
  <c r="D143" i="39" s="1"/>
  <c r="D20" i="13" s="1"/>
  <c r="G185" i="39" l="1"/>
  <c r="G186" i="39" s="1"/>
  <c r="K185" i="39"/>
  <c r="K186" i="39" s="1"/>
  <c r="G43" i="13"/>
  <c r="D185" i="39"/>
  <c r="D186" i="39" s="1"/>
  <c r="H6" i="13"/>
  <c r="C21" i="13"/>
  <c r="H8" i="13"/>
  <c r="H7" i="13"/>
  <c r="C185" i="39"/>
  <c r="C186" i="39" s="1"/>
  <c r="G44" i="13"/>
  <c r="K45" i="13"/>
  <c r="C38" i="13"/>
  <c r="K38" i="13"/>
  <c r="D21" i="13"/>
  <c r="D7" i="13"/>
  <c r="D6" i="13"/>
  <c r="D8" i="13"/>
  <c r="C61" i="13"/>
  <c r="K56" i="13"/>
  <c r="K59" i="13"/>
  <c r="K60" i="13"/>
  <c r="K58" i="13"/>
  <c r="K57" i="13"/>
  <c r="K61" i="13"/>
  <c r="C59" i="13"/>
  <c r="C60" i="13"/>
  <c r="C57" i="13"/>
  <c r="C56" i="13"/>
  <c r="C58" i="13"/>
  <c r="C43" i="13"/>
  <c r="C44" i="13"/>
  <c r="C45" i="13"/>
  <c r="K43" i="13"/>
  <c r="K44" i="13"/>
  <c r="K36" i="13"/>
  <c r="K37" i="13"/>
  <c r="C36" i="13"/>
  <c r="C37" i="13"/>
  <c r="B15" i="39"/>
  <c r="N15" i="39" s="1"/>
  <c r="N16" i="39" s="1"/>
  <c r="B51" i="39"/>
  <c r="B22" i="39"/>
  <c r="B35" i="39"/>
  <c r="B82" i="39"/>
  <c r="B68" i="39"/>
  <c r="B105" i="39"/>
  <c r="B159" i="39" l="1"/>
  <c r="B160" i="39" s="1"/>
  <c r="B37" i="13" s="1"/>
  <c r="N68" i="39"/>
  <c r="N69" i="39" s="1"/>
  <c r="B152" i="39"/>
  <c r="B153" i="39" s="1"/>
  <c r="B26" i="13" s="1"/>
  <c r="N51" i="39"/>
  <c r="N52" i="39" s="1"/>
  <c r="B166" i="39"/>
  <c r="B167" i="39" s="1"/>
  <c r="B44" i="13" s="1"/>
  <c r="N82" i="39"/>
  <c r="N83" i="39" s="1"/>
  <c r="B142" i="39"/>
  <c r="B143" i="39" s="1"/>
  <c r="B20" i="13" s="1"/>
  <c r="N35" i="39"/>
  <c r="N36" i="39" s="1"/>
  <c r="B182" i="39"/>
  <c r="B183" i="39" s="1"/>
  <c r="B58" i="13" s="1"/>
  <c r="N105" i="39"/>
  <c r="N106" i="39" s="1"/>
  <c r="B136" i="39"/>
  <c r="B137" i="39" s="1"/>
  <c r="B14" i="13" s="1"/>
  <c r="N22" i="39"/>
  <c r="N23" i="39" s="1"/>
  <c r="B8" i="39"/>
  <c r="B60" i="13" l="1"/>
  <c r="N152" i="39"/>
  <c r="N153" i="39" s="1"/>
  <c r="N27" i="13" s="1"/>
  <c r="B15" i="13"/>
  <c r="B13" i="13"/>
  <c r="N136" i="39"/>
  <c r="N137" i="39" s="1"/>
  <c r="N14" i="13" s="1"/>
  <c r="N142" i="39"/>
  <c r="N143" i="39" s="1"/>
  <c r="N20" i="13" s="1"/>
  <c r="B28" i="13"/>
  <c r="B30" i="13"/>
  <c r="N182" i="39"/>
  <c r="N183" i="39" s="1"/>
  <c r="N60" i="13" s="1"/>
  <c r="B36" i="13"/>
  <c r="B29" i="13"/>
  <c r="B27" i="13"/>
  <c r="B45" i="13"/>
  <c r="B38" i="13"/>
  <c r="B43" i="13"/>
  <c r="B56" i="13"/>
  <c r="B129" i="39"/>
  <c r="B130" i="39" s="1"/>
  <c r="B185" i="39" s="1"/>
  <c r="B186" i="39" s="1"/>
  <c r="N8" i="39"/>
  <c r="N166" i="39"/>
  <c r="N167" i="39" s="1"/>
  <c r="N44" i="13" s="1"/>
  <c r="N159" i="39"/>
  <c r="N160" i="39" s="1"/>
  <c r="N37" i="13" s="1"/>
  <c r="B59" i="13"/>
  <c r="B31" i="13"/>
  <c r="B21" i="13"/>
  <c r="B61" i="13"/>
  <c r="B57" i="13"/>
  <c r="N31" i="13"/>
  <c r="N26" i="13"/>
  <c r="N29" i="13"/>
  <c r="N13" i="13" l="1"/>
  <c r="N30" i="13"/>
  <c r="N28" i="13"/>
  <c r="N56" i="13"/>
  <c r="N57" i="13"/>
  <c r="N59" i="13"/>
  <c r="N15" i="13"/>
  <c r="N21" i="13"/>
  <c r="N9" i="39"/>
  <c r="N118" i="39" s="1"/>
  <c r="N119" i="39" s="1"/>
  <c r="B8" i="13"/>
  <c r="B6" i="13"/>
  <c r="N58" i="13"/>
  <c r="N61" i="13"/>
  <c r="N45" i="13"/>
  <c r="N43" i="13"/>
  <c r="N36" i="13"/>
  <c r="N38" i="13"/>
  <c r="N129" i="39"/>
  <c r="N130" i="39" s="1"/>
  <c r="N185" i="39" s="1"/>
  <c r="B7" i="13"/>
  <c r="N186" i="39" l="1"/>
  <c r="N8" i="13"/>
  <c r="N6" i="13"/>
  <c r="N7" i="13"/>
  <c r="C3" i="15"/>
  <c r="D3" i="15" s="1"/>
  <c r="E3" i="15" s="1"/>
  <c r="F3" i="15" s="1"/>
  <c r="G3" i="15" s="1"/>
  <c r="H3" i="15" s="1"/>
  <c r="I3" i="15" s="1"/>
  <c r="J3" i="15" s="1"/>
  <c r="K3" i="15" s="1"/>
  <c r="L3" i="15" s="1"/>
  <c r="M3" i="15" s="1"/>
  <c r="C35" i="15"/>
  <c r="D35" i="15"/>
  <c r="E35" i="15"/>
  <c r="F35" i="15"/>
  <c r="G35" i="15"/>
  <c r="H35" i="15"/>
  <c r="I35" i="15"/>
  <c r="J35" i="15"/>
  <c r="K35" i="15"/>
  <c r="L35" i="15"/>
  <c r="M35" i="15"/>
  <c r="B35" i="15"/>
  <c r="N22" i="15"/>
  <c r="C17" i="15"/>
  <c r="D17" i="15"/>
  <c r="E17" i="15"/>
  <c r="F17" i="15"/>
  <c r="G17" i="15"/>
  <c r="H17" i="15"/>
  <c r="I17" i="15"/>
  <c r="J17" i="15"/>
  <c r="K17" i="15"/>
  <c r="L17" i="15"/>
  <c r="M17" i="15"/>
  <c r="B17" i="15"/>
  <c r="N52" i="13" l="1"/>
  <c r="C62" i="13"/>
  <c r="D62" i="13"/>
  <c r="E62" i="13"/>
  <c r="F62" i="13"/>
  <c r="G62" i="13"/>
  <c r="H62" i="13"/>
  <c r="I62" i="13"/>
  <c r="J62" i="13"/>
  <c r="K62" i="13"/>
  <c r="L62" i="13"/>
  <c r="M62" i="13"/>
  <c r="N62" i="13"/>
  <c r="B62" i="13"/>
  <c r="E7" i="10" l="1"/>
  <c r="F7" i="10" s="1"/>
  <c r="G7" i="10" s="1"/>
  <c r="H7" i="10" s="1"/>
  <c r="I7" i="10" s="1"/>
  <c r="J7" i="10" s="1"/>
  <c r="K7" i="10" s="1"/>
  <c r="L7" i="10" s="1"/>
  <c r="M7" i="10" s="1"/>
  <c r="N7" i="10" s="1"/>
  <c r="O7" i="10" s="1"/>
  <c r="C4" i="13" l="1"/>
  <c r="D4" i="13" s="1"/>
  <c r="E4" i="13" s="1"/>
  <c r="F4" i="13" s="1"/>
  <c r="G4" i="13" s="1"/>
  <c r="H4" i="13" s="1"/>
  <c r="I4" i="13" s="1"/>
  <c r="J4" i="13" s="1"/>
  <c r="K4" i="13" s="1"/>
  <c r="L4" i="13" s="1"/>
  <c r="M4" i="13" s="1"/>
  <c r="N34" i="15"/>
  <c r="D104" i="53" s="1"/>
  <c r="N33" i="15"/>
  <c r="D91" i="53" s="1"/>
  <c r="N32" i="15"/>
  <c r="D82" i="53" s="1"/>
  <c r="N31" i="15"/>
  <c r="D73" i="53" s="1"/>
  <c r="N30" i="15"/>
  <c r="D64" i="53" s="1"/>
  <c r="N29" i="15"/>
  <c r="D54" i="53" s="1"/>
  <c r="N26" i="15"/>
  <c r="D25" i="53" s="1"/>
  <c r="N28" i="15"/>
  <c r="N27" i="15"/>
  <c r="N25" i="15"/>
  <c r="D20" i="53" s="1"/>
  <c r="N24" i="15"/>
  <c r="D13" i="53" s="1"/>
  <c r="N23" i="15"/>
  <c r="D9" i="53" s="1"/>
  <c r="M21" i="15"/>
  <c r="L21" i="15"/>
  <c r="K21" i="15"/>
  <c r="J21" i="15"/>
  <c r="I21" i="15"/>
  <c r="H21" i="15"/>
  <c r="G21" i="15"/>
  <c r="F21" i="15"/>
  <c r="E21" i="15"/>
  <c r="D21" i="15"/>
  <c r="C21" i="15"/>
  <c r="B21" i="15"/>
  <c r="N16" i="15"/>
  <c r="D105" i="53" s="1"/>
  <c r="N15" i="15"/>
  <c r="D92" i="53" s="1"/>
  <c r="N14" i="15"/>
  <c r="N13" i="15"/>
  <c r="N12" i="15"/>
  <c r="D65" i="53" s="1"/>
  <c r="N11" i="15"/>
  <c r="N8" i="15"/>
  <c r="N9" i="15"/>
  <c r="N7" i="15"/>
  <c r="N6" i="15"/>
  <c r="N5" i="15"/>
  <c r="N4" i="15"/>
  <c r="G92" i="53" l="1"/>
  <c r="H92" i="53"/>
  <c r="H104" i="53"/>
  <c r="G104" i="53"/>
  <c r="H91" i="53"/>
  <c r="G91" i="53"/>
  <c r="G82" i="53"/>
  <c r="H82" i="53"/>
  <c r="G73" i="53"/>
  <c r="H73" i="53"/>
  <c r="G64" i="53"/>
  <c r="H64" i="53"/>
  <c r="H54" i="53"/>
  <c r="G54" i="53"/>
  <c r="D44" i="53"/>
  <c r="D45" i="53"/>
  <c r="D32" i="53"/>
  <c r="D33" i="53"/>
  <c r="G25" i="53"/>
  <c r="H25" i="53"/>
  <c r="H20" i="53"/>
  <c r="G20" i="53"/>
  <c r="H9" i="53"/>
  <c r="G9" i="53"/>
  <c r="G13" i="53"/>
  <c r="H13" i="53"/>
  <c r="H105" i="53"/>
  <c r="G105" i="53"/>
  <c r="D49" i="48"/>
  <c r="G49" i="48" s="1"/>
  <c r="D83" i="53"/>
  <c r="D41" i="48"/>
  <c r="H41" i="48" s="1"/>
  <c r="D74" i="53"/>
  <c r="G65" i="53"/>
  <c r="H65" i="53"/>
  <c r="D55" i="53"/>
  <c r="D23" i="48"/>
  <c r="H23" i="48" s="1"/>
  <c r="D34" i="53"/>
  <c r="D33" i="18"/>
  <c r="D32" i="18"/>
  <c r="D45" i="18"/>
  <c r="D44" i="18"/>
  <c r="N35" i="15"/>
  <c r="N10" i="15"/>
  <c r="D46" i="53" s="1"/>
  <c r="G41" i="48" l="1"/>
  <c r="H49" i="48"/>
  <c r="G45" i="53"/>
  <c r="H45" i="53"/>
  <c r="G44" i="53"/>
  <c r="H44" i="53"/>
  <c r="G32" i="53"/>
  <c r="H32" i="53"/>
  <c r="D144" i="53"/>
  <c r="D149" i="53"/>
  <c r="G33" i="53"/>
  <c r="H33" i="53"/>
  <c r="G83" i="53"/>
  <c r="H83" i="53"/>
  <c r="H74" i="53"/>
  <c r="G74" i="53"/>
  <c r="H55" i="53"/>
  <c r="G55" i="53"/>
  <c r="G46" i="53"/>
  <c r="H46" i="53"/>
  <c r="G23" i="48"/>
  <c r="G34" i="53"/>
  <c r="D143" i="53"/>
  <c r="H34" i="53"/>
  <c r="D148" i="53"/>
  <c r="N17" i="15"/>
  <c r="D31" i="48"/>
  <c r="D58" i="48" s="1"/>
  <c r="H31" i="48" l="1"/>
  <c r="G31" i="48"/>
  <c r="P10" i="10" l="1"/>
  <c r="D11" i="69" l="1"/>
  <c r="D11" i="70"/>
  <c r="D11" i="71"/>
  <c r="D11" i="65"/>
  <c r="C9" i="61"/>
  <c r="D17" i="53"/>
  <c r="D10" i="16"/>
  <c r="C9" i="25"/>
  <c r="D17" i="18"/>
  <c r="C9" i="26"/>
  <c r="C9" i="24"/>
  <c r="C9" i="21"/>
  <c r="C9" i="22"/>
  <c r="G9" i="61" l="1"/>
  <c r="F9" i="61"/>
  <c r="H12" i="67"/>
  <c r="D12" i="67"/>
  <c r="G17" i="53"/>
  <c r="H17" i="53"/>
  <c r="Q11" i="70" s="1"/>
  <c r="L12" i="66" s="1"/>
  <c r="G9" i="26"/>
  <c r="F9" i="26"/>
  <c r="G9" i="25"/>
  <c r="F9" i="25"/>
  <c r="G9" i="24"/>
  <c r="F9" i="24"/>
  <c r="G9" i="22"/>
  <c r="Q11" i="71" s="1"/>
  <c r="O12" i="66" s="1"/>
  <c r="F9" i="22"/>
  <c r="H88" i="16"/>
  <c r="H86" i="16"/>
  <c r="H58" i="16"/>
  <c r="H48" i="16"/>
  <c r="H35" i="16"/>
  <c r="H31" i="16"/>
  <c r="H24" i="16"/>
  <c r="H45" i="18"/>
  <c r="H29" i="18"/>
  <c r="H33" i="18"/>
  <c r="F9" i="21"/>
  <c r="O11" i="71" l="1"/>
  <c r="O11" i="69"/>
  <c r="O11" i="70"/>
  <c r="G11" i="69"/>
  <c r="G11" i="70"/>
  <c r="G11" i="71"/>
  <c r="L11" i="69"/>
  <c r="L11" i="70"/>
  <c r="L11" i="71"/>
  <c r="H11" i="70"/>
  <c r="H11" i="69"/>
  <c r="H11" i="71"/>
  <c r="M11" i="70"/>
  <c r="M11" i="71"/>
  <c r="M11" i="69"/>
  <c r="J11" i="70"/>
  <c r="J11" i="71"/>
  <c r="J11" i="69"/>
  <c r="L11" i="65"/>
  <c r="M11" i="65"/>
  <c r="O11" i="65"/>
  <c r="J11" i="65"/>
  <c r="H11" i="65"/>
  <c r="G11" i="65"/>
  <c r="H9" i="24"/>
  <c r="H9" i="26"/>
  <c r="H9" i="25"/>
  <c r="G9" i="21"/>
  <c r="H9" i="22"/>
  <c r="G17" i="18"/>
  <c r="G45" i="18"/>
  <c r="G33" i="18"/>
  <c r="G29" i="18"/>
  <c r="K11" i="70" l="1"/>
  <c r="K11" i="71"/>
  <c r="K11" i="69"/>
  <c r="P11" i="69" s="1"/>
  <c r="P11" i="71"/>
  <c r="R11" i="71" s="1"/>
  <c r="P11" i="70"/>
  <c r="R11" i="70" s="1"/>
  <c r="K11" i="65"/>
  <c r="P11" i="65" s="1"/>
  <c r="E12" i="67" s="1"/>
  <c r="F12" i="67" s="1"/>
  <c r="H9" i="21"/>
  <c r="H17" i="18"/>
  <c r="Q11" i="69" s="1"/>
  <c r="D105" i="18"/>
  <c r="D92" i="18"/>
  <c r="D83" i="18"/>
  <c r="D74" i="18"/>
  <c r="D65" i="18"/>
  <c r="D55" i="18"/>
  <c r="D46" i="18"/>
  <c r="D34" i="18"/>
  <c r="D104" i="18"/>
  <c r="D91" i="18"/>
  <c r="D82" i="18"/>
  <c r="D73" i="18"/>
  <c r="D64" i="18"/>
  <c r="D54" i="18"/>
  <c r="D25" i="18"/>
  <c r="D20" i="18"/>
  <c r="D13" i="18"/>
  <c r="D9" i="18"/>
  <c r="I12" i="66" l="1"/>
  <c r="R12" i="66" s="1"/>
  <c r="R11" i="69"/>
  <c r="D144" i="18"/>
  <c r="H9" i="18"/>
  <c r="H34" i="18"/>
  <c r="D143" i="18"/>
  <c r="D12" i="66"/>
  <c r="G9" i="18"/>
  <c r="G32" i="18"/>
  <c r="H32" i="18"/>
  <c r="G73" i="18"/>
  <c r="H73" i="18"/>
  <c r="G13" i="18"/>
  <c r="H13" i="18"/>
  <c r="G44" i="18"/>
  <c r="H44" i="18"/>
  <c r="G82" i="18"/>
  <c r="H82" i="18"/>
  <c r="G20" i="18"/>
  <c r="H20" i="18"/>
  <c r="G54" i="18"/>
  <c r="H54" i="18"/>
  <c r="G91" i="18"/>
  <c r="H91" i="18"/>
  <c r="G25" i="18"/>
  <c r="H25" i="18"/>
  <c r="G64" i="18"/>
  <c r="H64" i="18"/>
  <c r="G104" i="18"/>
  <c r="H104" i="18"/>
  <c r="G46" i="18"/>
  <c r="H46" i="18"/>
  <c r="G83" i="18"/>
  <c r="H83" i="18"/>
  <c r="G55" i="18"/>
  <c r="H55" i="18"/>
  <c r="G92" i="18"/>
  <c r="H92" i="18"/>
  <c r="G65" i="18"/>
  <c r="H65" i="18"/>
  <c r="G105" i="18"/>
  <c r="H105" i="18"/>
  <c r="G74" i="18"/>
  <c r="H74" i="18"/>
  <c r="G34" i="18"/>
  <c r="D148" i="18"/>
  <c r="D149" i="18"/>
  <c r="S12" i="66" l="1"/>
  <c r="J12" i="66"/>
  <c r="P12" i="66"/>
  <c r="M12" i="66"/>
  <c r="G48" i="16"/>
  <c r="D47" i="16"/>
  <c r="H47" i="16" s="1"/>
  <c r="G35" i="16"/>
  <c r="D34" i="16"/>
  <c r="H34" i="16" s="1"/>
  <c r="G24" i="16"/>
  <c r="D23" i="16"/>
  <c r="H23" i="16" s="1"/>
  <c r="D13" i="16"/>
  <c r="H13" i="16" s="1"/>
  <c r="H10" i="16"/>
  <c r="G23" i="16" l="1"/>
  <c r="G10" i="16"/>
  <c r="G34" i="16"/>
  <c r="G47" i="16"/>
  <c r="G13" i="16"/>
  <c r="D120" i="18" l="1"/>
  <c r="D64" i="16"/>
  <c r="D127" i="18"/>
  <c r="D72" i="16"/>
  <c r="D131" i="18"/>
  <c r="D76" i="16"/>
  <c r="D136" i="18"/>
  <c r="D82" i="16"/>
  <c r="D121" i="18"/>
  <c r="D65" i="16"/>
  <c r="D128" i="18"/>
  <c r="D73" i="16"/>
  <c r="D137" i="18"/>
  <c r="D83" i="16"/>
  <c r="D118" i="18"/>
  <c r="D62" i="16"/>
  <c r="D122" i="18"/>
  <c r="D66" i="16"/>
  <c r="D125" i="18"/>
  <c r="D70" i="16"/>
  <c r="D129" i="18"/>
  <c r="D74" i="16"/>
  <c r="D134" i="18"/>
  <c r="D80" i="16"/>
  <c r="D119" i="18"/>
  <c r="D63" i="16"/>
  <c r="D126" i="18"/>
  <c r="D71" i="16"/>
  <c r="D130" i="18"/>
  <c r="D75" i="16"/>
  <c r="D135" i="18"/>
  <c r="D81" i="16"/>
  <c r="F23" i="21"/>
  <c r="F23" i="26"/>
  <c r="D61" i="16"/>
  <c r="H22" i="13"/>
  <c r="D22" i="13"/>
  <c r="L52" i="13"/>
  <c r="K52" i="13"/>
  <c r="J52" i="13"/>
  <c r="I52" i="13"/>
  <c r="F52" i="13"/>
  <c r="D52" i="13"/>
  <c r="C52" i="13"/>
  <c r="L46" i="13"/>
  <c r="I46" i="13"/>
  <c r="H46" i="13"/>
  <c r="G46" i="13"/>
  <c r="D46" i="13"/>
  <c r="J25" i="69" l="1"/>
  <c r="J25" i="71"/>
  <c r="J25" i="70"/>
  <c r="J25" i="65"/>
  <c r="F23" i="22"/>
  <c r="G23" i="22"/>
  <c r="D32" i="13"/>
  <c r="H52" i="13"/>
  <c r="F39" i="13"/>
  <c r="M52" i="13"/>
  <c r="F9" i="13"/>
  <c r="G119" i="18"/>
  <c r="H119" i="18"/>
  <c r="G131" i="18"/>
  <c r="H131" i="18"/>
  <c r="H71" i="16"/>
  <c r="G71" i="16"/>
  <c r="H82" i="16"/>
  <c r="G82" i="16"/>
  <c r="G135" i="18"/>
  <c r="H135" i="18"/>
  <c r="G126" i="18"/>
  <c r="H126" i="18"/>
  <c r="G134" i="18"/>
  <c r="H134" i="18"/>
  <c r="G125" i="18"/>
  <c r="H125" i="18"/>
  <c r="G118" i="18"/>
  <c r="H118" i="18"/>
  <c r="G128" i="18"/>
  <c r="H128" i="18"/>
  <c r="G136" i="18"/>
  <c r="H136" i="18"/>
  <c r="G127" i="18"/>
  <c r="H127" i="18"/>
  <c r="G130" i="18"/>
  <c r="H130" i="18"/>
  <c r="G129" i="18"/>
  <c r="H129" i="18"/>
  <c r="G122" i="18"/>
  <c r="H122" i="18"/>
  <c r="G137" i="18"/>
  <c r="H137" i="18"/>
  <c r="G121" i="18"/>
  <c r="H121" i="18"/>
  <c r="G120" i="18"/>
  <c r="H120" i="18"/>
  <c r="H81" i="16"/>
  <c r="G81" i="16"/>
  <c r="H80" i="16"/>
  <c r="G80" i="16"/>
  <c r="H70" i="16"/>
  <c r="G70" i="16"/>
  <c r="H62" i="16"/>
  <c r="G62" i="16"/>
  <c r="H73" i="16"/>
  <c r="G73" i="16"/>
  <c r="H72" i="16"/>
  <c r="G72" i="16"/>
  <c r="H75" i="16"/>
  <c r="G75" i="16"/>
  <c r="H63" i="16"/>
  <c r="G63" i="16"/>
  <c r="H74" i="16"/>
  <c r="G74" i="16"/>
  <c r="H66" i="16"/>
  <c r="G66" i="16"/>
  <c r="H83" i="16"/>
  <c r="G83" i="16"/>
  <c r="H65" i="16"/>
  <c r="G65" i="16"/>
  <c r="H76" i="16"/>
  <c r="G76" i="16"/>
  <c r="H64" i="16"/>
  <c r="G64" i="16"/>
  <c r="H23" i="26"/>
  <c r="G117" i="18"/>
  <c r="H117" i="18"/>
  <c r="Q25" i="69" s="1"/>
  <c r="H61" i="16"/>
  <c r="G61" i="16"/>
  <c r="H23" i="21"/>
  <c r="J39" i="13"/>
  <c r="J9" i="13"/>
  <c r="H39" i="13"/>
  <c r="E39" i="13"/>
  <c r="K9" i="13"/>
  <c r="D16" i="13"/>
  <c r="H16" i="13"/>
  <c r="L16" i="13"/>
  <c r="E16" i="13"/>
  <c r="G22" i="13"/>
  <c r="I39" i="13"/>
  <c r="M39" i="13"/>
  <c r="E46" i="13"/>
  <c r="M46" i="13"/>
  <c r="C9" i="13"/>
  <c r="G9" i="13"/>
  <c r="L22" i="13"/>
  <c r="D39" i="13"/>
  <c r="L39" i="13"/>
  <c r="C39" i="13"/>
  <c r="G39" i="13"/>
  <c r="K39" i="13"/>
  <c r="D9" i="13"/>
  <c r="H9" i="13"/>
  <c r="L9" i="13"/>
  <c r="E9" i="13"/>
  <c r="I9" i="13"/>
  <c r="M9" i="13"/>
  <c r="I16" i="13"/>
  <c r="M16" i="13"/>
  <c r="F16" i="13"/>
  <c r="J16" i="13"/>
  <c r="E22" i="13"/>
  <c r="I22" i="13"/>
  <c r="M22" i="13"/>
  <c r="C32" i="13"/>
  <c r="G32" i="13"/>
  <c r="B9" i="13"/>
  <c r="K25" i="71" l="1"/>
  <c r="K25" i="70"/>
  <c r="P25" i="70" s="1"/>
  <c r="K25" i="69"/>
  <c r="P25" i="69" s="1"/>
  <c r="P25" i="71"/>
  <c r="I26" i="66"/>
  <c r="Q39" i="69"/>
  <c r="K25" i="65"/>
  <c r="P25" i="65" s="1"/>
  <c r="P39" i="65" s="1"/>
  <c r="H67" i="16"/>
  <c r="G84" i="16"/>
  <c r="H32" i="13"/>
  <c r="B16" i="13"/>
  <c r="C22" i="13"/>
  <c r="J22" i="13"/>
  <c r="E52" i="13"/>
  <c r="J46" i="13"/>
  <c r="G52" i="13"/>
  <c r="N16" i="13"/>
  <c r="F22" i="13"/>
  <c r="K46" i="13"/>
  <c r="F46" i="13"/>
  <c r="M32" i="13"/>
  <c r="K22" i="13"/>
  <c r="K16" i="13"/>
  <c r="C46" i="13"/>
  <c r="H84" i="16"/>
  <c r="G67" i="16"/>
  <c r="G77" i="16"/>
  <c r="H77" i="16"/>
  <c r="J32" i="13"/>
  <c r="I32" i="13"/>
  <c r="B32" i="13"/>
  <c r="B52" i="13"/>
  <c r="G16" i="13"/>
  <c r="F32" i="13"/>
  <c r="N39" i="13"/>
  <c r="B46" i="13"/>
  <c r="E32" i="13"/>
  <c r="N46" i="13"/>
  <c r="L32" i="13"/>
  <c r="C16" i="13"/>
  <c r="N22" i="13"/>
  <c r="B22" i="13"/>
  <c r="B39" i="13"/>
  <c r="K32" i="13"/>
  <c r="P39" i="70" l="1"/>
  <c r="R39" i="70" s="1"/>
  <c r="R25" i="70"/>
  <c r="P39" i="69"/>
  <c r="R39" i="69" s="1"/>
  <c r="R25" i="69"/>
  <c r="R26" i="66"/>
  <c r="R40" i="66" s="1"/>
  <c r="I40" i="66"/>
  <c r="P39" i="71"/>
  <c r="R39" i="71" s="1"/>
  <c r="R25" i="71"/>
  <c r="D26" i="66"/>
  <c r="E29" i="67"/>
  <c r="E43" i="67" s="1"/>
  <c r="F43" i="67" s="1"/>
  <c r="G86" i="16"/>
  <c r="N32" i="13"/>
  <c r="N9" i="13"/>
  <c r="S26" i="66" l="1"/>
  <c r="P26" i="66"/>
  <c r="M26" i="66"/>
  <c r="D40" i="66"/>
  <c r="J26" i="66"/>
  <c r="F29" i="67"/>
  <c r="O40" i="10"/>
  <c r="N40" i="10"/>
  <c r="M40" i="10"/>
  <c r="L40" i="10"/>
  <c r="K40" i="10"/>
  <c r="J40" i="10"/>
  <c r="I40" i="10"/>
  <c r="H40" i="10"/>
  <c r="G40" i="10"/>
  <c r="F40" i="10"/>
  <c r="E40" i="10"/>
  <c r="D40" i="10"/>
  <c r="O29" i="10"/>
  <c r="N29" i="10"/>
  <c r="M29" i="10"/>
  <c r="L29" i="10"/>
  <c r="K29" i="10"/>
  <c r="J29" i="10"/>
  <c r="I29" i="10"/>
  <c r="H29" i="10"/>
  <c r="G29" i="10"/>
  <c r="D2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N37" i="10"/>
  <c r="L37" i="10"/>
  <c r="J37" i="10"/>
  <c r="H37" i="10"/>
  <c r="F37" i="10"/>
  <c r="D37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P40" i="66" l="1"/>
  <c r="S40" i="66"/>
  <c r="M40" i="66"/>
  <c r="J40" i="66"/>
  <c r="H25" i="10"/>
  <c r="H34" i="10"/>
  <c r="E23" i="10"/>
  <c r="E34" i="10"/>
  <c r="M23" i="10"/>
  <c r="M34" i="10"/>
  <c r="E26" i="10"/>
  <c r="E37" i="10"/>
  <c r="M26" i="10"/>
  <c r="M37" i="10"/>
  <c r="F25" i="10"/>
  <c r="F34" i="10"/>
  <c r="J25" i="10"/>
  <c r="J34" i="10"/>
  <c r="N25" i="10"/>
  <c r="N34" i="10"/>
  <c r="D25" i="10"/>
  <c r="D34" i="10"/>
  <c r="L25" i="10"/>
  <c r="L34" i="10"/>
  <c r="I23" i="10"/>
  <c r="I34" i="10"/>
  <c r="I26" i="10"/>
  <c r="I37" i="10"/>
  <c r="G25" i="10"/>
  <c r="G34" i="10"/>
  <c r="K25" i="10"/>
  <c r="K34" i="10"/>
  <c r="O25" i="10"/>
  <c r="O34" i="10"/>
  <c r="G26" i="10"/>
  <c r="G37" i="10"/>
  <c r="K26" i="10"/>
  <c r="K37" i="10"/>
  <c r="O26" i="10"/>
  <c r="O37" i="10"/>
  <c r="F29" i="10"/>
  <c r="E29" i="10"/>
  <c r="D23" i="10"/>
  <c r="H23" i="10"/>
  <c r="L23" i="10"/>
  <c r="P12" i="10"/>
  <c r="P13" i="10"/>
  <c r="P14" i="10"/>
  <c r="P15" i="10"/>
  <c r="H26" i="10"/>
  <c r="L26" i="10"/>
  <c r="P16" i="10"/>
  <c r="P18" i="10"/>
  <c r="P19" i="10"/>
  <c r="P20" i="10"/>
  <c r="P21" i="10"/>
  <c r="P22" i="10"/>
  <c r="F23" i="10"/>
  <c r="J23" i="10"/>
  <c r="N23" i="10"/>
  <c r="F26" i="10"/>
  <c r="J26" i="10"/>
  <c r="N26" i="10"/>
  <c r="N27" i="10" s="1"/>
  <c r="N30" i="10" s="1"/>
  <c r="P17" i="10"/>
  <c r="E25" i="10"/>
  <c r="I25" i="10"/>
  <c r="M25" i="10"/>
  <c r="D26" i="10"/>
  <c r="P9" i="10"/>
  <c r="G23" i="10"/>
  <c r="K23" i="10"/>
  <c r="O23" i="10"/>
  <c r="P11" i="10"/>
  <c r="D17" i="70" l="1"/>
  <c r="D17" i="69"/>
  <c r="D17" i="71"/>
  <c r="D20" i="70"/>
  <c r="D20" i="69"/>
  <c r="D20" i="71"/>
  <c r="D12" i="69"/>
  <c r="D12" i="71"/>
  <c r="D31" i="71" s="1"/>
  <c r="D12" i="70"/>
  <c r="D31" i="70" s="1"/>
  <c r="D19" i="69"/>
  <c r="D19" i="71"/>
  <c r="D19" i="70"/>
  <c r="D10" i="69"/>
  <c r="D10" i="70"/>
  <c r="D10" i="71"/>
  <c r="D18" i="70"/>
  <c r="D18" i="71"/>
  <c r="D18" i="69"/>
  <c r="D16" i="71"/>
  <c r="D35" i="71" s="1"/>
  <c r="D16" i="70"/>
  <c r="D16" i="69"/>
  <c r="D21" i="71"/>
  <c r="D21" i="70"/>
  <c r="D21" i="69"/>
  <c r="D13" i="69"/>
  <c r="D13" i="71"/>
  <c r="D32" i="71" s="1"/>
  <c r="D13" i="70"/>
  <c r="L27" i="10"/>
  <c r="L30" i="10" s="1"/>
  <c r="L31" i="10" s="1"/>
  <c r="D14" i="70"/>
  <c r="D14" i="71"/>
  <c r="D14" i="69"/>
  <c r="D22" i="70"/>
  <c r="D36" i="70" s="1"/>
  <c r="D22" i="69"/>
  <c r="D36" i="69" s="1"/>
  <c r="D22" i="71"/>
  <c r="D36" i="71" s="1"/>
  <c r="D15" i="69"/>
  <c r="D34" i="69" s="1"/>
  <c r="D15" i="71"/>
  <c r="D34" i="71" s="1"/>
  <c r="D15" i="70"/>
  <c r="D22" i="65"/>
  <c r="D36" i="65" s="1"/>
  <c r="C20" i="61"/>
  <c r="D18" i="65"/>
  <c r="C16" i="61"/>
  <c r="D21" i="65"/>
  <c r="C19" i="61"/>
  <c r="D20" i="65"/>
  <c r="C18" i="61"/>
  <c r="D19" i="65"/>
  <c r="C17" i="61"/>
  <c r="D17" i="65"/>
  <c r="C15" i="61"/>
  <c r="D16" i="65"/>
  <c r="D35" i="65" s="1"/>
  <c r="C14" i="61"/>
  <c r="D15" i="65"/>
  <c r="C13" i="61"/>
  <c r="D14" i="65"/>
  <c r="C12" i="61"/>
  <c r="D13" i="65"/>
  <c r="C11" i="61"/>
  <c r="D12" i="65"/>
  <c r="C10" i="61"/>
  <c r="D10" i="65"/>
  <c r="D30" i="65" s="1"/>
  <c r="C8" i="61"/>
  <c r="D18" i="48"/>
  <c r="G18" i="48" s="1"/>
  <c r="D26" i="53"/>
  <c r="D111" i="53"/>
  <c r="D112" i="53"/>
  <c r="D113" i="53"/>
  <c r="D109" i="53"/>
  <c r="D114" i="53"/>
  <c r="D110" i="53"/>
  <c r="D61" i="53"/>
  <c r="D60" i="53"/>
  <c r="D56" i="53"/>
  <c r="D59" i="53"/>
  <c r="D87" i="53"/>
  <c r="D88" i="53"/>
  <c r="D39" i="53"/>
  <c r="D37" i="53"/>
  <c r="D41" i="53"/>
  <c r="D38" i="53"/>
  <c r="I27" i="10"/>
  <c r="I30" i="10" s="1"/>
  <c r="I31" i="10" s="1"/>
  <c r="D69" i="53"/>
  <c r="D68" i="53"/>
  <c r="D70" i="53"/>
  <c r="D22" i="53"/>
  <c r="D21" i="53"/>
  <c r="D98" i="53"/>
  <c r="D101" i="53"/>
  <c r="D99" i="53"/>
  <c r="D93" i="53"/>
  <c r="D100" i="53"/>
  <c r="D96" i="53"/>
  <c r="D97" i="53"/>
  <c r="D14" i="18"/>
  <c r="G14" i="18" s="1"/>
  <c r="D14" i="53"/>
  <c r="D10" i="53"/>
  <c r="P40" i="10"/>
  <c r="D139" i="53"/>
  <c r="D50" i="53"/>
  <c r="D51" i="53"/>
  <c r="D49" i="53"/>
  <c r="D75" i="53"/>
  <c r="D78" i="53"/>
  <c r="D79" i="53"/>
  <c r="D35" i="48"/>
  <c r="D34" i="48"/>
  <c r="D32" i="48"/>
  <c r="D52" i="48"/>
  <c r="D51" i="48"/>
  <c r="D45" i="48"/>
  <c r="D44" i="48"/>
  <c r="D42" i="48"/>
  <c r="D22" i="18"/>
  <c r="D21" i="18"/>
  <c r="D14" i="48"/>
  <c r="D13" i="48"/>
  <c r="D41" i="18"/>
  <c r="D27" i="48"/>
  <c r="D26" i="48"/>
  <c r="D24" i="48"/>
  <c r="D10" i="48"/>
  <c r="D41" i="10"/>
  <c r="M27" i="10"/>
  <c r="M30" i="10" s="1"/>
  <c r="M31" i="10" s="1"/>
  <c r="G41" i="10"/>
  <c r="K27" i="10"/>
  <c r="K30" i="10" s="1"/>
  <c r="K31" i="10" s="1"/>
  <c r="J27" i="10"/>
  <c r="J30" i="10" s="1"/>
  <c r="J31" i="10" s="1"/>
  <c r="H27" i="10"/>
  <c r="H30" i="10" s="1"/>
  <c r="H31" i="10" s="1"/>
  <c r="E41" i="10"/>
  <c r="P35" i="10"/>
  <c r="P29" i="10"/>
  <c r="D8" i="11"/>
  <c r="C8" i="26"/>
  <c r="C8" i="21"/>
  <c r="C8" i="24"/>
  <c r="C8" i="25"/>
  <c r="F8" i="25" s="1"/>
  <c r="P34" i="10"/>
  <c r="E27" i="10"/>
  <c r="E30" i="10" s="1"/>
  <c r="E31" i="10" s="1"/>
  <c r="O41" i="10"/>
  <c r="K41" i="10"/>
  <c r="P39" i="10"/>
  <c r="P37" i="10"/>
  <c r="P36" i="10"/>
  <c r="F27" i="10"/>
  <c r="F30" i="10" s="1"/>
  <c r="F31" i="10" s="1"/>
  <c r="P38" i="10"/>
  <c r="O27" i="10"/>
  <c r="O30" i="10" s="1"/>
  <c r="O31" i="10" s="1"/>
  <c r="G27" i="10"/>
  <c r="G30" i="10" s="1"/>
  <c r="G31" i="10" s="1"/>
  <c r="I41" i="10"/>
  <c r="M41" i="10"/>
  <c r="F41" i="10"/>
  <c r="N41" i="10"/>
  <c r="L41" i="10"/>
  <c r="J41" i="10"/>
  <c r="H41" i="10"/>
  <c r="C8" i="22"/>
  <c r="P26" i="10"/>
  <c r="N31" i="10"/>
  <c r="C15" i="26"/>
  <c r="C15" i="22"/>
  <c r="C15" i="21"/>
  <c r="D26" i="18"/>
  <c r="D11" i="11"/>
  <c r="C19" i="26"/>
  <c r="C19" i="22"/>
  <c r="G19" i="22" s="1"/>
  <c r="Q21" i="71" s="1"/>
  <c r="O22" i="66" s="1"/>
  <c r="C19" i="21"/>
  <c r="D111" i="18"/>
  <c r="D114" i="18"/>
  <c r="D110" i="18"/>
  <c r="D113" i="18"/>
  <c r="D109" i="18"/>
  <c r="D112" i="18"/>
  <c r="D52" i="16"/>
  <c r="D55" i="16"/>
  <c r="D51" i="16"/>
  <c r="D54" i="16"/>
  <c r="D50" i="16"/>
  <c r="D53" i="16"/>
  <c r="D44" i="11"/>
  <c r="D43" i="11"/>
  <c r="D46" i="11"/>
  <c r="D42" i="11"/>
  <c r="D45" i="11"/>
  <c r="D41" i="11"/>
  <c r="C13" i="21"/>
  <c r="C13" i="26"/>
  <c r="C13" i="25"/>
  <c r="F13" i="25" s="1"/>
  <c r="C13" i="24"/>
  <c r="C13" i="22"/>
  <c r="D79" i="18"/>
  <c r="D78" i="18"/>
  <c r="D75" i="18"/>
  <c r="D22" i="11"/>
  <c r="C18" i="21"/>
  <c r="C18" i="26"/>
  <c r="C18" i="22"/>
  <c r="D88" i="18"/>
  <c r="D87" i="18"/>
  <c r="D23" i="11"/>
  <c r="C14" i="21"/>
  <c r="C14" i="26"/>
  <c r="C14" i="25"/>
  <c r="C14" i="24"/>
  <c r="C14" i="22"/>
  <c r="D100" i="18"/>
  <c r="D96" i="18"/>
  <c r="D99" i="18"/>
  <c r="D93" i="18"/>
  <c r="D97" i="18"/>
  <c r="D98" i="18"/>
  <c r="D101" i="18"/>
  <c r="D40" i="16"/>
  <c r="D43" i="16"/>
  <c r="D39" i="16"/>
  <c r="D36" i="16"/>
  <c r="D42" i="16"/>
  <c r="D38" i="16"/>
  <c r="D41" i="16"/>
  <c r="D30" i="11"/>
  <c r="D26" i="11"/>
  <c r="D29" i="11"/>
  <c r="D28" i="11"/>
  <c r="D31" i="11"/>
  <c r="D27" i="11"/>
  <c r="C12" i="26"/>
  <c r="C12" i="25"/>
  <c r="C12" i="21"/>
  <c r="C12" i="24"/>
  <c r="F12" i="24" s="1"/>
  <c r="C12" i="22"/>
  <c r="D59" i="18"/>
  <c r="D56" i="18"/>
  <c r="D61" i="18"/>
  <c r="D60" i="18"/>
  <c r="D18" i="16"/>
  <c r="D17" i="16"/>
  <c r="D19" i="16"/>
  <c r="D15" i="16"/>
  <c r="D19" i="11"/>
  <c r="D18" i="11"/>
  <c r="D17" i="11"/>
  <c r="C17" i="26"/>
  <c r="C17" i="22"/>
  <c r="C17" i="21"/>
  <c r="D69" i="18"/>
  <c r="D68" i="18"/>
  <c r="D70" i="18"/>
  <c r="D26" i="16"/>
  <c r="D28" i="16"/>
  <c r="D27" i="16"/>
  <c r="D37" i="11"/>
  <c r="D36" i="11"/>
  <c r="D35" i="11"/>
  <c r="C11" i="24"/>
  <c r="C11" i="22"/>
  <c r="C11" i="21"/>
  <c r="C11" i="26"/>
  <c r="C11" i="25"/>
  <c r="D39" i="18"/>
  <c r="D38" i="18"/>
  <c r="D37" i="18"/>
  <c r="D13" i="11"/>
  <c r="D10" i="18"/>
  <c r="C20" i="26"/>
  <c r="C20" i="21"/>
  <c r="F20" i="21" s="1"/>
  <c r="C20" i="22"/>
  <c r="D139" i="18"/>
  <c r="C16" i="26"/>
  <c r="C16" i="22"/>
  <c r="C16" i="21"/>
  <c r="D49" i="18"/>
  <c r="D51" i="18"/>
  <c r="D50" i="18"/>
  <c r="D14" i="11"/>
  <c r="C10" i="25"/>
  <c r="C10" i="21"/>
  <c r="G10" i="21" s="1"/>
  <c r="C10" i="26"/>
  <c r="C10" i="24"/>
  <c r="C10" i="22"/>
  <c r="D10" i="11"/>
  <c r="P23" i="10"/>
  <c r="D27" i="10"/>
  <c r="D30" i="10" s="1"/>
  <c r="D31" i="10" s="1"/>
  <c r="P25" i="10"/>
  <c r="D33" i="71" l="1"/>
  <c r="D32" i="69"/>
  <c r="D34" i="70"/>
  <c r="D33" i="70"/>
  <c r="H15" i="69"/>
  <c r="H15" i="71"/>
  <c r="H15" i="70"/>
  <c r="J22" i="70"/>
  <c r="J22" i="69"/>
  <c r="J22" i="71"/>
  <c r="H10" i="70"/>
  <c r="H10" i="69"/>
  <c r="H10" i="71"/>
  <c r="D33" i="69"/>
  <c r="D23" i="71"/>
  <c r="D30" i="71"/>
  <c r="D37" i="71" s="1"/>
  <c r="D40" i="71" s="1"/>
  <c r="D31" i="69"/>
  <c r="D30" i="70"/>
  <c r="D23" i="70"/>
  <c r="D35" i="69"/>
  <c r="D30" i="69"/>
  <c r="D23" i="69"/>
  <c r="D35" i="70"/>
  <c r="G14" i="71"/>
  <c r="G14" i="69"/>
  <c r="G14" i="70"/>
  <c r="D32" i="70"/>
  <c r="D33" i="65"/>
  <c r="D34" i="65"/>
  <c r="D32" i="65"/>
  <c r="D31" i="65"/>
  <c r="H18" i="48"/>
  <c r="G18" i="61"/>
  <c r="F18" i="61"/>
  <c r="F16" i="61"/>
  <c r="G16" i="61"/>
  <c r="H19" i="67"/>
  <c r="D19" i="67"/>
  <c r="H21" i="67"/>
  <c r="D21" i="67"/>
  <c r="F17" i="61"/>
  <c r="G17" i="61"/>
  <c r="H20" i="67"/>
  <c r="D20" i="67"/>
  <c r="G19" i="61"/>
  <c r="F19" i="61"/>
  <c r="D22" i="67"/>
  <c r="H22" i="67"/>
  <c r="G20" i="61"/>
  <c r="F20" i="61"/>
  <c r="H23" i="67"/>
  <c r="H40" i="67" s="1"/>
  <c r="D23" i="67"/>
  <c r="D40" i="67" s="1"/>
  <c r="E36" i="65"/>
  <c r="G15" i="61"/>
  <c r="F15" i="61"/>
  <c r="H18" i="67"/>
  <c r="D18" i="67"/>
  <c r="F13" i="61"/>
  <c r="G13" i="61"/>
  <c r="H16" i="67"/>
  <c r="H38" i="67" s="1"/>
  <c r="D16" i="67"/>
  <c r="E34" i="65"/>
  <c r="G14" i="61"/>
  <c r="F14" i="61"/>
  <c r="H17" i="67"/>
  <c r="D17" i="67"/>
  <c r="G14" i="65"/>
  <c r="F12" i="61"/>
  <c r="G12" i="61"/>
  <c r="D15" i="67"/>
  <c r="H15" i="67"/>
  <c r="E33" i="65"/>
  <c r="F11" i="61"/>
  <c r="G11" i="61"/>
  <c r="H14" i="67"/>
  <c r="D14" i="67"/>
  <c r="D36" i="67" s="1"/>
  <c r="D142" i="18"/>
  <c r="F10" i="61"/>
  <c r="G10" i="61"/>
  <c r="H13" i="67"/>
  <c r="D13" i="67"/>
  <c r="H14" i="18"/>
  <c r="D147" i="18"/>
  <c r="D142" i="53"/>
  <c r="H10" i="48"/>
  <c r="D57" i="48"/>
  <c r="F8" i="61"/>
  <c r="C21" i="61"/>
  <c r="G8" i="61"/>
  <c r="D23" i="65"/>
  <c r="H11" i="67"/>
  <c r="D11" i="67"/>
  <c r="J22" i="65"/>
  <c r="H10" i="65"/>
  <c r="H15" i="65"/>
  <c r="G79" i="53"/>
  <c r="H79" i="53"/>
  <c r="G96" i="53"/>
  <c r="H96" i="53"/>
  <c r="G101" i="53"/>
  <c r="H101" i="53"/>
  <c r="G22" i="53"/>
  <c r="H22" i="53"/>
  <c r="G69" i="53"/>
  <c r="H69" i="53"/>
  <c r="G41" i="53"/>
  <c r="H41" i="53"/>
  <c r="G88" i="53"/>
  <c r="H88" i="53"/>
  <c r="H56" i="53"/>
  <c r="G56" i="53"/>
  <c r="G110" i="53"/>
  <c r="H110" i="53"/>
  <c r="H112" i="53"/>
  <c r="G112" i="53"/>
  <c r="H78" i="53"/>
  <c r="G78" i="53"/>
  <c r="G51" i="53"/>
  <c r="H51" i="53"/>
  <c r="H14" i="53"/>
  <c r="G14" i="53"/>
  <c r="G100" i="53"/>
  <c r="H100" i="53"/>
  <c r="H98" i="53"/>
  <c r="G98" i="53"/>
  <c r="H87" i="53"/>
  <c r="G87" i="53"/>
  <c r="G60" i="53"/>
  <c r="H60" i="53"/>
  <c r="G114" i="53"/>
  <c r="H114" i="53"/>
  <c r="H111" i="53"/>
  <c r="G111" i="53"/>
  <c r="D147" i="53"/>
  <c r="D19" i="48"/>
  <c r="G19" i="48" s="1"/>
  <c r="G20" i="48" s="1"/>
  <c r="G75" i="53"/>
  <c r="H75" i="53"/>
  <c r="H50" i="53"/>
  <c r="G50" i="53"/>
  <c r="H93" i="53"/>
  <c r="G93" i="53"/>
  <c r="H70" i="53"/>
  <c r="G70" i="53"/>
  <c r="G39" i="53"/>
  <c r="H39" i="53"/>
  <c r="G61" i="53"/>
  <c r="H61" i="53"/>
  <c r="G109" i="53"/>
  <c r="H109" i="53"/>
  <c r="H10" i="53"/>
  <c r="G10" i="53"/>
  <c r="G97" i="53"/>
  <c r="H97" i="53"/>
  <c r="H99" i="53"/>
  <c r="G99" i="53"/>
  <c r="H21" i="53"/>
  <c r="Q12" i="70" s="1"/>
  <c r="G21" i="53"/>
  <c r="G68" i="53"/>
  <c r="H68" i="53"/>
  <c r="G38" i="53"/>
  <c r="H38" i="53"/>
  <c r="G59" i="53"/>
  <c r="H59" i="53"/>
  <c r="G113" i="53"/>
  <c r="H113" i="53"/>
  <c r="H26" i="53"/>
  <c r="Q17" i="70" s="1"/>
  <c r="G26" i="53"/>
  <c r="G10" i="48"/>
  <c r="H32" i="48"/>
  <c r="G32" i="48"/>
  <c r="H19" i="48"/>
  <c r="G34" i="48"/>
  <c r="H34" i="48"/>
  <c r="H51" i="48"/>
  <c r="G51" i="48"/>
  <c r="H35" i="48"/>
  <c r="G35" i="48"/>
  <c r="H52" i="48"/>
  <c r="G52" i="48"/>
  <c r="H44" i="48"/>
  <c r="G44" i="48"/>
  <c r="H42" i="48"/>
  <c r="G42" i="48"/>
  <c r="H45" i="48"/>
  <c r="G45" i="48"/>
  <c r="G26" i="48"/>
  <c r="H26" i="48"/>
  <c r="H14" i="48"/>
  <c r="G14" i="48"/>
  <c r="H24" i="48"/>
  <c r="G24" i="48"/>
  <c r="H13" i="48"/>
  <c r="G13" i="48"/>
  <c r="G15" i="48" s="1"/>
  <c r="H27" i="48"/>
  <c r="G27" i="48"/>
  <c r="H41" i="18"/>
  <c r="G41" i="18"/>
  <c r="G22" i="18"/>
  <c r="H22" i="18"/>
  <c r="P41" i="10"/>
  <c r="P27" i="10"/>
  <c r="P30" i="10" s="1"/>
  <c r="P31" i="10" s="1"/>
  <c r="F10" i="26"/>
  <c r="G10" i="26"/>
  <c r="G16" i="22"/>
  <c r="Q18" i="71" s="1"/>
  <c r="O19" i="66" s="1"/>
  <c r="F16" i="22"/>
  <c r="H13" i="11"/>
  <c r="G13" i="11"/>
  <c r="F11" i="25"/>
  <c r="G11" i="25"/>
  <c r="H26" i="16"/>
  <c r="G26" i="16"/>
  <c r="F17" i="21"/>
  <c r="G17" i="21"/>
  <c r="H20" i="11"/>
  <c r="G20" i="11"/>
  <c r="D20" i="11"/>
  <c r="H19" i="16"/>
  <c r="G19" i="16"/>
  <c r="G61" i="18"/>
  <c r="H61" i="18"/>
  <c r="G12" i="26"/>
  <c r="F12" i="26"/>
  <c r="H38" i="16"/>
  <c r="G38" i="16"/>
  <c r="H43" i="16"/>
  <c r="G43" i="16"/>
  <c r="G97" i="18"/>
  <c r="H97" i="18"/>
  <c r="G100" i="18"/>
  <c r="H100" i="18"/>
  <c r="G14" i="25"/>
  <c r="F14" i="25"/>
  <c r="F18" i="22"/>
  <c r="G18" i="22"/>
  <c r="Q20" i="71" s="1"/>
  <c r="O21" i="66" s="1"/>
  <c r="G78" i="18"/>
  <c r="H78" i="18"/>
  <c r="G13" i="24"/>
  <c r="F13" i="24"/>
  <c r="H50" i="16"/>
  <c r="G50" i="16"/>
  <c r="H52" i="16"/>
  <c r="G52" i="16"/>
  <c r="G110" i="18"/>
  <c r="H110" i="18"/>
  <c r="F19" i="22"/>
  <c r="F15" i="26"/>
  <c r="G15" i="26"/>
  <c r="F10" i="22"/>
  <c r="G10" i="22"/>
  <c r="Q12" i="71" s="1"/>
  <c r="F10" i="21"/>
  <c r="G16" i="26"/>
  <c r="F16" i="26"/>
  <c r="G20" i="22"/>
  <c r="Q22" i="71" s="1"/>
  <c r="F20" i="22"/>
  <c r="H10" i="18"/>
  <c r="G10" i="18"/>
  <c r="C21" i="22"/>
  <c r="G8" i="22"/>
  <c r="Q10" i="71" s="1"/>
  <c r="F8" i="22"/>
  <c r="F11" i="26"/>
  <c r="G11" i="26"/>
  <c r="F11" i="24"/>
  <c r="G11" i="24"/>
  <c r="G70" i="18"/>
  <c r="H70" i="18"/>
  <c r="F17" i="22"/>
  <c r="G17" i="22"/>
  <c r="Q19" i="71" s="1"/>
  <c r="O20" i="66" s="1"/>
  <c r="H17" i="16"/>
  <c r="G17" i="16"/>
  <c r="G56" i="18"/>
  <c r="H56" i="18"/>
  <c r="G12" i="24"/>
  <c r="G32" i="11"/>
  <c r="H32" i="11"/>
  <c r="D32" i="11"/>
  <c r="H42" i="16"/>
  <c r="G42" i="16"/>
  <c r="H40" i="16"/>
  <c r="G40" i="16"/>
  <c r="G93" i="18"/>
  <c r="H93" i="18"/>
  <c r="F14" i="22"/>
  <c r="G14" i="22"/>
  <c r="Q16" i="71" s="1"/>
  <c r="F14" i="26"/>
  <c r="G14" i="26"/>
  <c r="H23" i="11"/>
  <c r="G23" i="11"/>
  <c r="F18" i="26"/>
  <c r="G18" i="26"/>
  <c r="G79" i="18"/>
  <c r="H79" i="18"/>
  <c r="G13" i="25"/>
  <c r="H47" i="11"/>
  <c r="G47" i="11"/>
  <c r="D47" i="11"/>
  <c r="H54" i="16"/>
  <c r="G54" i="16"/>
  <c r="G112" i="18"/>
  <c r="H112" i="18"/>
  <c r="G114" i="18"/>
  <c r="H114" i="18"/>
  <c r="F19" i="26"/>
  <c r="G19" i="26"/>
  <c r="H26" i="18"/>
  <c r="Q17" i="69" s="1"/>
  <c r="I18" i="66" s="1"/>
  <c r="G26" i="18"/>
  <c r="G21" i="18"/>
  <c r="H21" i="18"/>
  <c r="Q12" i="69" s="1"/>
  <c r="G51" i="18"/>
  <c r="H51" i="18"/>
  <c r="F8" i="21"/>
  <c r="C21" i="21"/>
  <c r="G8" i="21"/>
  <c r="F10" i="25"/>
  <c r="G10" i="25"/>
  <c r="G14" i="11"/>
  <c r="H14" i="11"/>
  <c r="G20" i="21"/>
  <c r="G8" i="24"/>
  <c r="C15" i="24"/>
  <c r="F8" i="24"/>
  <c r="G38" i="18"/>
  <c r="H38" i="18"/>
  <c r="G11" i="21"/>
  <c r="F11" i="21"/>
  <c r="H27" i="16"/>
  <c r="G27" i="16"/>
  <c r="G68" i="18"/>
  <c r="H68" i="18"/>
  <c r="F17" i="26"/>
  <c r="G17" i="26"/>
  <c r="H18" i="16"/>
  <c r="G18" i="16"/>
  <c r="G59" i="18"/>
  <c r="H59" i="18"/>
  <c r="F12" i="21"/>
  <c r="G12" i="21"/>
  <c r="H36" i="16"/>
  <c r="G36" i="16"/>
  <c r="G101" i="18"/>
  <c r="H101" i="18"/>
  <c r="G99" i="18"/>
  <c r="H99" i="18"/>
  <c r="G14" i="21"/>
  <c r="F14" i="21"/>
  <c r="G87" i="18"/>
  <c r="H87" i="18"/>
  <c r="F18" i="21"/>
  <c r="G18" i="21"/>
  <c r="H22" i="11"/>
  <c r="G22" i="11"/>
  <c r="F13" i="22"/>
  <c r="G13" i="22"/>
  <c r="Q15" i="71" s="1"/>
  <c r="F13" i="26"/>
  <c r="G13" i="26"/>
  <c r="H51" i="16"/>
  <c r="G51" i="16"/>
  <c r="G109" i="18"/>
  <c r="H109" i="18"/>
  <c r="G111" i="18"/>
  <c r="H111" i="18"/>
  <c r="F15" i="21"/>
  <c r="G15" i="21"/>
  <c r="H10" i="11"/>
  <c r="G10" i="11"/>
  <c r="F10" i="24"/>
  <c r="G10" i="24"/>
  <c r="G50" i="18"/>
  <c r="H50" i="18"/>
  <c r="F16" i="21"/>
  <c r="G16" i="21"/>
  <c r="F20" i="26"/>
  <c r="G20" i="26"/>
  <c r="H8" i="11"/>
  <c r="G8" i="11"/>
  <c r="G8" i="25"/>
  <c r="C15" i="25"/>
  <c r="G8" i="26"/>
  <c r="F8" i="26"/>
  <c r="C21" i="26"/>
  <c r="G39" i="18"/>
  <c r="H39" i="18"/>
  <c r="G11" i="22"/>
  <c r="Q13" i="71" s="1"/>
  <c r="F11" i="22"/>
  <c r="H38" i="11"/>
  <c r="G38" i="11"/>
  <c r="D38" i="11"/>
  <c r="H28" i="16"/>
  <c r="G28" i="16"/>
  <c r="G69" i="18"/>
  <c r="H69" i="18"/>
  <c r="H15" i="16"/>
  <c r="G15" i="16"/>
  <c r="G60" i="18"/>
  <c r="H60" i="18"/>
  <c r="G12" i="22"/>
  <c r="Q14" i="71" s="1"/>
  <c r="F12" i="22"/>
  <c r="G12" i="25"/>
  <c r="F12" i="25"/>
  <c r="H41" i="16"/>
  <c r="G41" i="16"/>
  <c r="H39" i="16"/>
  <c r="G39" i="16"/>
  <c r="G98" i="18"/>
  <c r="H98" i="18"/>
  <c r="G96" i="18"/>
  <c r="H96" i="18"/>
  <c r="F14" i="24"/>
  <c r="G14" i="24"/>
  <c r="G88" i="18"/>
  <c r="H88" i="18"/>
  <c r="G75" i="18"/>
  <c r="H75" i="18"/>
  <c r="G13" i="21"/>
  <c r="F13" i="21"/>
  <c r="H53" i="16"/>
  <c r="G53" i="16"/>
  <c r="H55" i="16"/>
  <c r="G55" i="16"/>
  <c r="G113" i="18"/>
  <c r="H113" i="18"/>
  <c r="F19" i="21"/>
  <c r="G19" i="21"/>
  <c r="H11" i="11"/>
  <c r="G11" i="11"/>
  <c r="G15" i="22"/>
  <c r="Q17" i="71" s="1"/>
  <c r="O18" i="66" s="1"/>
  <c r="F15" i="22"/>
  <c r="Q10" i="70" l="1"/>
  <c r="H20" i="48"/>
  <c r="Q35" i="71"/>
  <c r="O17" i="66"/>
  <c r="O36" i="66" s="1"/>
  <c r="J18" i="69"/>
  <c r="J18" i="70"/>
  <c r="J18" i="71"/>
  <c r="J17" i="71"/>
  <c r="J17" i="70"/>
  <c r="J17" i="69"/>
  <c r="K20" i="69"/>
  <c r="K20" i="71"/>
  <c r="K20" i="70"/>
  <c r="H12" i="69"/>
  <c r="H12" i="71"/>
  <c r="H12" i="70"/>
  <c r="K17" i="69"/>
  <c r="K17" i="70"/>
  <c r="K17" i="71"/>
  <c r="O13" i="66"/>
  <c r="O32" i="66" s="1"/>
  <c r="Q31" i="71"/>
  <c r="O20" i="71"/>
  <c r="O20" i="70"/>
  <c r="O20" i="69"/>
  <c r="N12" i="69"/>
  <c r="N12" i="71"/>
  <c r="N12" i="70"/>
  <c r="Q13" i="70"/>
  <c r="L14" i="66" s="1"/>
  <c r="M13" i="70"/>
  <c r="M13" i="71"/>
  <c r="M13" i="69"/>
  <c r="M19" i="69"/>
  <c r="M19" i="70"/>
  <c r="M19" i="71"/>
  <c r="K12" i="69"/>
  <c r="K12" i="70"/>
  <c r="K12" i="65"/>
  <c r="K12" i="71"/>
  <c r="O16" i="69"/>
  <c r="O16" i="70"/>
  <c r="O16" i="71"/>
  <c r="M15" i="69"/>
  <c r="M15" i="71"/>
  <c r="M15" i="70"/>
  <c r="M22" i="70"/>
  <c r="M22" i="71"/>
  <c r="M22" i="69"/>
  <c r="D37" i="70"/>
  <c r="D40" i="70" s="1"/>
  <c r="I17" i="71"/>
  <c r="I17" i="69"/>
  <c r="I17" i="70"/>
  <c r="Q34" i="71"/>
  <c r="O16" i="66"/>
  <c r="J16" i="70"/>
  <c r="J16" i="69"/>
  <c r="J16" i="71"/>
  <c r="G10" i="69"/>
  <c r="G10" i="70"/>
  <c r="G10" i="71"/>
  <c r="K10" i="69"/>
  <c r="K10" i="70"/>
  <c r="K10" i="71"/>
  <c r="O12" i="71"/>
  <c r="O12" i="69"/>
  <c r="O12" i="70"/>
  <c r="H16" i="71"/>
  <c r="H16" i="70"/>
  <c r="H16" i="69"/>
  <c r="H13" i="69"/>
  <c r="H13" i="70"/>
  <c r="H13" i="71"/>
  <c r="N10" i="70"/>
  <c r="N10" i="69"/>
  <c r="N10" i="71"/>
  <c r="M16" i="70"/>
  <c r="M16" i="69"/>
  <c r="M16" i="71"/>
  <c r="I13" i="66"/>
  <c r="I32" i="66" s="1"/>
  <c r="Q31" i="69"/>
  <c r="M18" i="71"/>
  <c r="M18" i="69"/>
  <c r="M18" i="70"/>
  <c r="O17" i="69"/>
  <c r="O17" i="70"/>
  <c r="O17" i="71"/>
  <c r="O19" i="70"/>
  <c r="O19" i="69"/>
  <c r="O19" i="71"/>
  <c r="M20" i="71"/>
  <c r="M20" i="70"/>
  <c r="M20" i="69"/>
  <c r="G16" i="69"/>
  <c r="G16" i="70"/>
  <c r="G16" i="71"/>
  <c r="O13" i="71"/>
  <c r="O13" i="69"/>
  <c r="O13" i="70"/>
  <c r="O15" i="70"/>
  <c r="O15" i="69"/>
  <c r="O15" i="71"/>
  <c r="J14" i="71"/>
  <c r="J14" i="69"/>
  <c r="J14" i="70"/>
  <c r="I20" i="69"/>
  <c r="I20" i="71"/>
  <c r="I20" i="70"/>
  <c r="Q10" i="69"/>
  <c r="I13" i="69"/>
  <c r="I13" i="70"/>
  <c r="I13" i="71"/>
  <c r="L17" i="69"/>
  <c r="L17" i="71"/>
  <c r="L17" i="70"/>
  <c r="L10" i="69"/>
  <c r="L10" i="70"/>
  <c r="L10" i="71"/>
  <c r="N17" i="70"/>
  <c r="N17" i="69"/>
  <c r="N17" i="71"/>
  <c r="L20" i="70"/>
  <c r="L20" i="69"/>
  <c r="L20" i="71"/>
  <c r="M10" i="71"/>
  <c r="M10" i="69"/>
  <c r="M10" i="70"/>
  <c r="M17" i="69"/>
  <c r="M17" i="70"/>
  <c r="M17" i="71"/>
  <c r="O15" i="66"/>
  <c r="O34" i="66" s="1"/>
  <c r="Q33" i="71"/>
  <c r="J20" i="70"/>
  <c r="J20" i="69"/>
  <c r="J20" i="71"/>
  <c r="O11" i="66"/>
  <c r="Q30" i="71"/>
  <c r="Q23" i="71"/>
  <c r="Q26" i="71" s="1"/>
  <c r="J15" i="69"/>
  <c r="J15" i="71"/>
  <c r="J15" i="70"/>
  <c r="H14" i="69"/>
  <c r="H14" i="71"/>
  <c r="H14" i="70"/>
  <c r="O14" i="66"/>
  <c r="O33" i="66" s="1"/>
  <c r="Q32" i="71"/>
  <c r="I10" i="70"/>
  <c r="I10" i="71"/>
  <c r="I10" i="69"/>
  <c r="I15" i="69"/>
  <c r="I15" i="71"/>
  <c r="I15" i="70"/>
  <c r="J10" i="70"/>
  <c r="J10" i="71"/>
  <c r="J10" i="69"/>
  <c r="G13" i="71"/>
  <c r="G13" i="69"/>
  <c r="G13" i="70"/>
  <c r="O22" i="71"/>
  <c r="O22" i="69"/>
  <c r="O22" i="70"/>
  <c r="P22" i="70" s="1"/>
  <c r="G15" i="70"/>
  <c r="G15" i="69"/>
  <c r="G15" i="71"/>
  <c r="L18" i="66"/>
  <c r="R18" i="66" s="1"/>
  <c r="Q30" i="70"/>
  <c r="L11" i="66"/>
  <c r="Q20" i="70"/>
  <c r="M12" i="70"/>
  <c r="M12" i="71"/>
  <c r="M12" i="69"/>
  <c r="M21" i="69"/>
  <c r="M21" i="71"/>
  <c r="M21" i="70"/>
  <c r="O23" i="66"/>
  <c r="R23" i="66" s="1"/>
  <c r="R37" i="66" s="1"/>
  <c r="Q36" i="71"/>
  <c r="O21" i="69"/>
  <c r="O21" i="71"/>
  <c r="O21" i="70"/>
  <c r="O18" i="70"/>
  <c r="O18" i="71"/>
  <c r="O18" i="69"/>
  <c r="L12" i="70"/>
  <c r="L12" i="65"/>
  <c r="L12" i="71"/>
  <c r="L12" i="69"/>
  <c r="D38" i="67"/>
  <c r="D37" i="69"/>
  <c r="D40" i="69" s="1"/>
  <c r="I18" i="70"/>
  <c r="I18" i="69"/>
  <c r="I18" i="71"/>
  <c r="O10" i="69"/>
  <c r="O10" i="71"/>
  <c r="O10" i="70"/>
  <c r="Q20" i="69"/>
  <c r="J12" i="70"/>
  <c r="J12" i="71"/>
  <c r="J12" i="69"/>
  <c r="J21" i="71"/>
  <c r="J21" i="70"/>
  <c r="J21" i="69"/>
  <c r="G12" i="71"/>
  <c r="G12" i="69"/>
  <c r="G12" i="70"/>
  <c r="O14" i="71"/>
  <c r="O14" i="70"/>
  <c r="O14" i="69"/>
  <c r="I12" i="69"/>
  <c r="I12" i="70"/>
  <c r="I12" i="71"/>
  <c r="J13" i="70"/>
  <c r="J13" i="71"/>
  <c r="J13" i="69"/>
  <c r="J19" i="71"/>
  <c r="J19" i="70"/>
  <c r="J19" i="69"/>
  <c r="Q31" i="70"/>
  <c r="L13" i="66"/>
  <c r="M14" i="70"/>
  <c r="M14" i="71"/>
  <c r="M14" i="69"/>
  <c r="Q14" i="70"/>
  <c r="L15" i="66" s="1"/>
  <c r="Q19" i="70"/>
  <c r="L20" i="66" s="1"/>
  <c r="Q16" i="69"/>
  <c r="I17" i="66" s="1"/>
  <c r="Q13" i="69"/>
  <c r="I14" i="66" s="1"/>
  <c r="Q15" i="70"/>
  <c r="I14" i="71"/>
  <c r="I14" i="70"/>
  <c r="I14" i="69"/>
  <c r="L18" i="65"/>
  <c r="L18" i="70"/>
  <c r="L18" i="71"/>
  <c r="L18" i="69"/>
  <c r="Q16" i="70"/>
  <c r="L14" i="69"/>
  <c r="L14" i="71"/>
  <c r="L14" i="65"/>
  <c r="L14" i="70"/>
  <c r="L19" i="71"/>
  <c r="L19" i="69"/>
  <c r="L19" i="70"/>
  <c r="Q18" i="70"/>
  <c r="Q32" i="70" s="1"/>
  <c r="L16" i="70"/>
  <c r="L16" i="71"/>
  <c r="L16" i="69"/>
  <c r="K19" i="71"/>
  <c r="K19" i="70"/>
  <c r="K19" i="69"/>
  <c r="Q14" i="69"/>
  <c r="I21" i="70"/>
  <c r="I21" i="69"/>
  <c r="I21" i="71"/>
  <c r="K16" i="71"/>
  <c r="K16" i="70"/>
  <c r="K16" i="69"/>
  <c r="I19" i="70"/>
  <c r="I19" i="69"/>
  <c r="I19" i="71"/>
  <c r="K21" i="71"/>
  <c r="K21" i="70"/>
  <c r="K21" i="69"/>
  <c r="K14" i="70"/>
  <c r="K14" i="69"/>
  <c r="K14" i="71"/>
  <c r="K13" i="71"/>
  <c r="K13" i="70"/>
  <c r="K13" i="69"/>
  <c r="K13" i="65"/>
  <c r="I16" i="69"/>
  <c r="I16" i="71"/>
  <c r="I16" i="70"/>
  <c r="Q21" i="70"/>
  <c r="L15" i="71"/>
  <c r="L15" i="70"/>
  <c r="L15" i="69"/>
  <c r="K18" i="65"/>
  <c r="K18" i="71"/>
  <c r="K18" i="70"/>
  <c r="K18" i="69"/>
  <c r="K15" i="70"/>
  <c r="K15" i="71"/>
  <c r="K15" i="69"/>
  <c r="Q21" i="69"/>
  <c r="Q18" i="69"/>
  <c r="I19" i="66" s="1"/>
  <c r="Q19" i="69"/>
  <c r="Q15" i="69"/>
  <c r="L13" i="69"/>
  <c r="L13" i="70"/>
  <c r="L13" i="71"/>
  <c r="L13" i="65"/>
  <c r="L21" i="69"/>
  <c r="L21" i="71"/>
  <c r="L21" i="70"/>
  <c r="H15" i="48"/>
  <c r="H36" i="67"/>
  <c r="D39" i="67"/>
  <c r="D37" i="65"/>
  <c r="D40" i="65" s="1"/>
  <c r="E31" i="65"/>
  <c r="H35" i="67"/>
  <c r="D37" i="67"/>
  <c r="H39" i="67"/>
  <c r="K19" i="65"/>
  <c r="O21" i="65"/>
  <c r="O20" i="65"/>
  <c r="O18" i="65"/>
  <c r="L19" i="65"/>
  <c r="O37" i="66"/>
  <c r="I20" i="65"/>
  <c r="M20" i="65"/>
  <c r="O22" i="65"/>
  <c r="L20" i="65"/>
  <c r="E32" i="65"/>
  <c r="H37" i="67"/>
  <c r="M22" i="65"/>
  <c r="M21" i="65"/>
  <c r="M18" i="65"/>
  <c r="I18" i="65"/>
  <c r="I19" i="65"/>
  <c r="K21" i="65"/>
  <c r="K20" i="65"/>
  <c r="I21" i="65"/>
  <c r="O19" i="65"/>
  <c r="L21" i="65"/>
  <c r="E35" i="65"/>
  <c r="M19" i="65"/>
  <c r="I17" i="65"/>
  <c r="D35" i="67"/>
  <c r="O17" i="65"/>
  <c r="K17" i="65"/>
  <c r="L17" i="65"/>
  <c r="M17" i="65"/>
  <c r="I15" i="65"/>
  <c r="M16" i="65"/>
  <c r="L15" i="65"/>
  <c r="K15" i="65"/>
  <c r="O15" i="65"/>
  <c r="K16" i="65"/>
  <c r="D49" i="11"/>
  <c r="L16" i="65"/>
  <c r="O16" i="65"/>
  <c r="O35" i="66"/>
  <c r="I16" i="65"/>
  <c r="M15" i="65"/>
  <c r="K14" i="65"/>
  <c r="I14" i="65"/>
  <c r="O14" i="65"/>
  <c r="M14" i="65"/>
  <c r="O13" i="65"/>
  <c r="I13" i="65"/>
  <c r="M13" i="65"/>
  <c r="O12" i="65"/>
  <c r="I12" i="65"/>
  <c r="M12" i="65"/>
  <c r="D24" i="67"/>
  <c r="D34" i="67"/>
  <c r="H24" i="67"/>
  <c r="H34" i="67"/>
  <c r="I10" i="65"/>
  <c r="K10" i="65"/>
  <c r="E30" i="65"/>
  <c r="E23" i="65"/>
  <c r="E26" i="65" s="1"/>
  <c r="G21" i="61"/>
  <c r="O10" i="65"/>
  <c r="L10" i="65"/>
  <c r="F21" i="61"/>
  <c r="F24" i="61" s="1"/>
  <c r="M10" i="65"/>
  <c r="N17" i="65"/>
  <c r="N10" i="65"/>
  <c r="N12" i="65"/>
  <c r="J15" i="65"/>
  <c r="J17" i="65"/>
  <c r="J10" i="65"/>
  <c r="J16" i="65"/>
  <c r="J13" i="65"/>
  <c r="J12" i="65"/>
  <c r="J19" i="65"/>
  <c r="J21" i="65"/>
  <c r="J18" i="65"/>
  <c r="J20" i="65"/>
  <c r="J14" i="65"/>
  <c r="H14" i="65"/>
  <c r="H16" i="65"/>
  <c r="H13" i="65"/>
  <c r="H12" i="65"/>
  <c r="G16" i="65"/>
  <c r="G12" i="65"/>
  <c r="G13" i="65"/>
  <c r="G10" i="65"/>
  <c r="G15" i="65"/>
  <c r="H36" i="48"/>
  <c r="H14" i="24"/>
  <c r="H12" i="24"/>
  <c r="H13" i="24"/>
  <c r="H10" i="24"/>
  <c r="H8" i="24"/>
  <c r="H11" i="24"/>
  <c r="G46" i="48"/>
  <c r="H46" i="48"/>
  <c r="G53" i="48"/>
  <c r="H53" i="48"/>
  <c r="G36" i="48"/>
  <c r="G28" i="48"/>
  <c r="H28" i="48"/>
  <c r="H49" i="11"/>
  <c r="I8" i="11"/>
  <c r="I22" i="11"/>
  <c r="H13" i="25"/>
  <c r="I23" i="11"/>
  <c r="H20" i="22"/>
  <c r="H10" i="21"/>
  <c r="I13" i="11"/>
  <c r="H16" i="22"/>
  <c r="H20" i="26"/>
  <c r="I10" i="11"/>
  <c r="H14" i="21"/>
  <c r="I47" i="11"/>
  <c r="H11" i="26"/>
  <c r="H16" i="26"/>
  <c r="H18" i="22"/>
  <c r="I20" i="11"/>
  <c r="H19" i="26"/>
  <c r="I32" i="11"/>
  <c r="H17" i="22"/>
  <c r="H44" i="16"/>
  <c r="H19" i="21"/>
  <c r="G20" i="16"/>
  <c r="I38" i="11"/>
  <c r="H15" i="26"/>
  <c r="H11" i="22"/>
  <c r="H19" i="22"/>
  <c r="G15" i="24"/>
  <c r="F21" i="22"/>
  <c r="F24" i="22" s="1"/>
  <c r="I11" i="11"/>
  <c r="H12" i="25"/>
  <c r="G15" i="25"/>
  <c r="H8" i="25"/>
  <c r="H16" i="21"/>
  <c r="H13" i="22"/>
  <c r="H18" i="21"/>
  <c r="G44" i="16"/>
  <c r="H17" i="26"/>
  <c r="H11" i="21"/>
  <c r="H10" i="25"/>
  <c r="F21" i="21"/>
  <c r="F24" i="21" s="1"/>
  <c r="H14" i="22"/>
  <c r="G21" i="22"/>
  <c r="H8" i="22"/>
  <c r="G56" i="16"/>
  <c r="H12" i="26"/>
  <c r="G29" i="16"/>
  <c r="H11" i="25"/>
  <c r="F21" i="26"/>
  <c r="F24" i="26" s="1"/>
  <c r="F15" i="25"/>
  <c r="F15" i="24"/>
  <c r="H56" i="16"/>
  <c r="H29" i="16"/>
  <c r="H15" i="22"/>
  <c r="H13" i="21"/>
  <c r="H12" i="22"/>
  <c r="H20" i="16"/>
  <c r="G21" i="26"/>
  <c r="H8" i="26"/>
  <c r="G49" i="11"/>
  <c r="H15" i="21"/>
  <c r="H13" i="26"/>
  <c r="H12" i="21"/>
  <c r="H20" i="21"/>
  <c r="I14" i="11"/>
  <c r="H8" i="21"/>
  <c r="G21" i="21"/>
  <c r="H18" i="26"/>
  <c r="H14" i="26"/>
  <c r="H10" i="22"/>
  <c r="H14" i="25"/>
  <c r="H17" i="21"/>
  <c r="H10" i="26"/>
  <c r="P22" i="69" l="1"/>
  <c r="P12" i="69"/>
  <c r="H23" i="71"/>
  <c r="H26" i="71" s="1"/>
  <c r="P22" i="71"/>
  <c r="P36" i="71" s="1"/>
  <c r="R36" i="71" s="1"/>
  <c r="L32" i="66"/>
  <c r="H23" i="69"/>
  <c r="H26" i="69" s="1"/>
  <c r="M23" i="70"/>
  <c r="M26" i="70" s="1"/>
  <c r="H23" i="70"/>
  <c r="H26" i="70" s="1"/>
  <c r="P12" i="65"/>
  <c r="D13" i="66" s="1"/>
  <c r="G23" i="70"/>
  <c r="G26" i="70" s="1"/>
  <c r="P36" i="70"/>
  <c r="R36" i="70" s="1"/>
  <c r="R22" i="70"/>
  <c r="P12" i="71"/>
  <c r="M23" i="69"/>
  <c r="M26" i="69" s="1"/>
  <c r="N20" i="71"/>
  <c r="P20" i="71" s="1"/>
  <c r="R20" i="71" s="1"/>
  <c r="N20" i="70"/>
  <c r="N20" i="69"/>
  <c r="P20" i="69" s="1"/>
  <c r="R20" i="69" s="1"/>
  <c r="O23" i="71"/>
  <c r="O26" i="71" s="1"/>
  <c r="J23" i="69"/>
  <c r="J26" i="69" s="1"/>
  <c r="M23" i="71"/>
  <c r="M26" i="71" s="1"/>
  <c r="I11" i="66"/>
  <c r="R11" i="66" s="1"/>
  <c r="R31" i="66" s="1"/>
  <c r="Q30" i="69"/>
  <c r="O23" i="69"/>
  <c r="O26" i="69" s="1"/>
  <c r="J23" i="71"/>
  <c r="J26" i="71" s="1"/>
  <c r="P20" i="70"/>
  <c r="R20" i="70" s="1"/>
  <c r="G23" i="71"/>
  <c r="G26" i="71" s="1"/>
  <c r="P10" i="71"/>
  <c r="P17" i="70"/>
  <c r="R17" i="70" s="1"/>
  <c r="L21" i="66"/>
  <c r="P22" i="65"/>
  <c r="E23" i="67" s="1"/>
  <c r="E40" i="67" s="1"/>
  <c r="F40" i="67" s="1"/>
  <c r="Q37" i="71"/>
  <c r="Q40" i="71" s="1"/>
  <c r="P10" i="70"/>
  <c r="P17" i="69"/>
  <c r="R17" i="69" s="1"/>
  <c r="J23" i="70"/>
  <c r="J26" i="70" s="1"/>
  <c r="G23" i="69"/>
  <c r="G26" i="69" s="1"/>
  <c r="P10" i="69"/>
  <c r="P17" i="71"/>
  <c r="R17" i="71" s="1"/>
  <c r="Q34" i="70"/>
  <c r="P12" i="70"/>
  <c r="R13" i="66"/>
  <c r="R32" i="66" s="1"/>
  <c r="O23" i="70"/>
  <c r="O26" i="70" s="1"/>
  <c r="R12" i="69"/>
  <c r="I21" i="66"/>
  <c r="P36" i="69"/>
  <c r="R36" i="69" s="1"/>
  <c r="R22" i="69"/>
  <c r="Q33" i="70"/>
  <c r="Q35" i="69"/>
  <c r="R14" i="66"/>
  <c r="P19" i="69"/>
  <c r="R19" i="69" s="1"/>
  <c r="I33" i="66"/>
  <c r="L16" i="66"/>
  <c r="Q32" i="69"/>
  <c r="P19" i="71"/>
  <c r="R19" i="71" s="1"/>
  <c r="Q23" i="69"/>
  <c r="Q26" i="69" s="1"/>
  <c r="P16" i="69"/>
  <c r="R16" i="69" s="1"/>
  <c r="P21" i="71"/>
  <c r="R21" i="71" s="1"/>
  <c r="N13" i="70"/>
  <c r="P13" i="70" s="1"/>
  <c r="N13" i="69"/>
  <c r="N13" i="71"/>
  <c r="P13" i="71" s="1"/>
  <c r="K23" i="71"/>
  <c r="K26" i="71" s="1"/>
  <c r="N18" i="70"/>
  <c r="P18" i="70" s="1"/>
  <c r="R18" i="70" s="1"/>
  <c r="N18" i="71"/>
  <c r="P18" i="71" s="1"/>
  <c r="N18" i="69"/>
  <c r="P18" i="69" s="1"/>
  <c r="R18" i="69" s="1"/>
  <c r="L23" i="71"/>
  <c r="L26" i="71" s="1"/>
  <c r="I20" i="66"/>
  <c r="R20" i="66" s="1"/>
  <c r="L22" i="66"/>
  <c r="P19" i="70"/>
  <c r="R19" i="70" s="1"/>
  <c r="P14" i="69"/>
  <c r="I23" i="69"/>
  <c r="I26" i="69" s="1"/>
  <c r="L23" i="70"/>
  <c r="L26" i="70" s="1"/>
  <c r="P16" i="70"/>
  <c r="K23" i="69"/>
  <c r="K26" i="69" s="1"/>
  <c r="P21" i="69"/>
  <c r="R21" i="69" s="1"/>
  <c r="I23" i="70"/>
  <c r="I26" i="70" s="1"/>
  <c r="P14" i="70"/>
  <c r="I16" i="66"/>
  <c r="Q34" i="69"/>
  <c r="I15" i="66"/>
  <c r="R15" i="66" s="1"/>
  <c r="Q33" i="69"/>
  <c r="N15" i="71"/>
  <c r="P15" i="71" s="1"/>
  <c r="N15" i="70"/>
  <c r="P15" i="70" s="1"/>
  <c r="N15" i="69"/>
  <c r="P15" i="69" s="1"/>
  <c r="L23" i="69"/>
  <c r="L26" i="69" s="1"/>
  <c r="I22" i="66"/>
  <c r="Q23" i="70"/>
  <c r="P16" i="71"/>
  <c r="K23" i="70"/>
  <c r="K26" i="70" s="1"/>
  <c r="P21" i="70"/>
  <c r="R21" i="70" s="1"/>
  <c r="L19" i="66"/>
  <c r="R19" i="66" s="1"/>
  <c r="Q35" i="70"/>
  <c r="L17" i="66"/>
  <c r="I23" i="71"/>
  <c r="I26" i="71" s="1"/>
  <c r="P14" i="71"/>
  <c r="P19" i="65"/>
  <c r="P21" i="65"/>
  <c r="D41" i="67"/>
  <c r="H41" i="67"/>
  <c r="E37" i="65"/>
  <c r="E40" i="65" s="1"/>
  <c r="P17" i="65"/>
  <c r="E18" i="67" s="1"/>
  <c r="F18" i="67" s="1"/>
  <c r="P16" i="65"/>
  <c r="E17" i="67" s="1"/>
  <c r="P14" i="65"/>
  <c r="E15" i="67" s="1"/>
  <c r="H23" i="65"/>
  <c r="H26" i="65" s="1"/>
  <c r="O23" i="65"/>
  <c r="O26" i="65" s="1"/>
  <c r="K23" i="65"/>
  <c r="K26" i="65" s="1"/>
  <c r="I23" i="65"/>
  <c r="I26" i="65" s="1"/>
  <c r="F23" i="65"/>
  <c r="F26" i="65" s="1"/>
  <c r="H15" i="24"/>
  <c r="M23" i="65"/>
  <c r="M26" i="65" s="1"/>
  <c r="L23" i="65"/>
  <c r="L26" i="65" s="1"/>
  <c r="H21" i="61"/>
  <c r="G24" i="61"/>
  <c r="H24" i="61" s="1"/>
  <c r="N20" i="65"/>
  <c r="P20" i="65" s="1"/>
  <c r="D21" i="66" s="1"/>
  <c r="N13" i="65"/>
  <c r="P13" i="65" s="1"/>
  <c r="N18" i="65"/>
  <c r="P18" i="65" s="1"/>
  <c r="N15" i="65"/>
  <c r="P15" i="65" s="1"/>
  <c r="J23" i="65"/>
  <c r="J26" i="65" s="1"/>
  <c r="I31" i="66"/>
  <c r="G23" i="65"/>
  <c r="G26" i="65" s="1"/>
  <c r="P10" i="65"/>
  <c r="L34" i="66"/>
  <c r="L31" i="66"/>
  <c r="L37" i="66"/>
  <c r="H55" i="48"/>
  <c r="G55" i="48"/>
  <c r="G57" i="48"/>
  <c r="G38" i="48"/>
  <c r="H38" i="48"/>
  <c r="H57" i="48"/>
  <c r="G31" i="16"/>
  <c r="G88" i="16"/>
  <c r="I49" i="11"/>
  <c r="H15" i="25"/>
  <c r="G24" i="21"/>
  <c r="H24" i="21" s="1"/>
  <c r="H21" i="21"/>
  <c r="G24" i="26"/>
  <c r="H24" i="26" s="1"/>
  <c r="H21" i="26"/>
  <c r="G24" i="22"/>
  <c r="H24" i="22" s="1"/>
  <c r="H21" i="22"/>
  <c r="G58" i="16"/>
  <c r="R22" i="71" l="1"/>
  <c r="L35" i="66"/>
  <c r="R21" i="66"/>
  <c r="S21" i="66" s="1"/>
  <c r="D23" i="66"/>
  <c r="S23" i="66" s="1"/>
  <c r="P36" i="65"/>
  <c r="P31" i="69"/>
  <c r="R31" i="69" s="1"/>
  <c r="R10" i="69"/>
  <c r="P30" i="69"/>
  <c r="R30" i="69" s="1"/>
  <c r="P31" i="70"/>
  <c r="R31" i="70" s="1"/>
  <c r="R12" i="70"/>
  <c r="S13" i="66"/>
  <c r="P31" i="71"/>
  <c r="R31" i="71" s="1"/>
  <c r="R12" i="71"/>
  <c r="R10" i="71"/>
  <c r="P30" i="71"/>
  <c r="R30" i="71" s="1"/>
  <c r="R10" i="70"/>
  <c r="P30" i="70"/>
  <c r="R30" i="70" s="1"/>
  <c r="Q37" i="70"/>
  <c r="L36" i="66"/>
  <c r="I36" i="66"/>
  <c r="R22" i="66"/>
  <c r="R34" i="66"/>
  <c r="L33" i="66"/>
  <c r="P35" i="69"/>
  <c r="R35" i="69" s="1"/>
  <c r="R33" i="66"/>
  <c r="I35" i="66"/>
  <c r="R16" i="66"/>
  <c r="P33" i="69"/>
  <c r="R33" i="69" s="1"/>
  <c r="R17" i="66"/>
  <c r="L24" i="66"/>
  <c r="L27" i="66" s="1"/>
  <c r="I24" i="66"/>
  <c r="I27" i="66" s="1"/>
  <c r="Q37" i="69"/>
  <c r="Q40" i="69" s="1"/>
  <c r="I34" i="66"/>
  <c r="Q40" i="70"/>
  <c r="P34" i="71"/>
  <c r="R34" i="71" s="1"/>
  <c r="R15" i="71"/>
  <c r="P23" i="71"/>
  <c r="R18" i="71"/>
  <c r="P34" i="69"/>
  <c r="R34" i="69" s="1"/>
  <c r="R15" i="69"/>
  <c r="P34" i="70"/>
  <c r="R34" i="70" s="1"/>
  <c r="R15" i="70"/>
  <c r="N23" i="69"/>
  <c r="N26" i="69" s="1"/>
  <c r="R14" i="71"/>
  <c r="P33" i="71"/>
  <c r="R33" i="71" s="1"/>
  <c r="P32" i="70"/>
  <c r="P23" i="70"/>
  <c r="P26" i="70" s="1"/>
  <c r="R13" i="70"/>
  <c r="N23" i="70"/>
  <c r="N26" i="70" s="1"/>
  <c r="R14" i="69"/>
  <c r="P13" i="69"/>
  <c r="Q26" i="70"/>
  <c r="P35" i="70"/>
  <c r="R35" i="70" s="1"/>
  <c r="R16" i="70"/>
  <c r="P35" i="71"/>
  <c r="R35" i="71" s="1"/>
  <c r="R16" i="71"/>
  <c r="P33" i="70"/>
  <c r="R33" i="70" s="1"/>
  <c r="R14" i="70"/>
  <c r="R13" i="71"/>
  <c r="P32" i="71"/>
  <c r="N23" i="71"/>
  <c r="N26" i="71" s="1"/>
  <c r="E13" i="67"/>
  <c r="E35" i="67" s="1"/>
  <c r="F35" i="67" s="1"/>
  <c r="E20" i="67"/>
  <c r="F20" i="67" s="1"/>
  <c r="D20" i="66"/>
  <c r="S20" i="66" s="1"/>
  <c r="F23" i="67"/>
  <c r="D22" i="66"/>
  <c r="E22" i="67"/>
  <c r="F22" i="67" s="1"/>
  <c r="P31" i="65"/>
  <c r="D18" i="66"/>
  <c r="S18" i="66" s="1"/>
  <c r="D15" i="66"/>
  <c r="S15" i="66" s="1"/>
  <c r="D19" i="66"/>
  <c r="S19" i="66" s="1"/>
  <c r="E19" i="67"/>
  <c r="F19" i="67" s="1"/>
  <c r="P33" i="65"/>
  <c r="E21" i="67"/>
  <c r="F21" i="67" s="1"/>
  <c r="D17" i="66"/>
  <c r="P35" i="65"/>
  <c r="D14" i="66"/>
  <c r="S14" i="66" s="1"/>
  <c r="O31" i="66"/>
  <c r="O38" i="66" s="1"/>
  <c r="O41" i="66" s="1"/>
  <c r="O24" i="66"/>
  <c r="O27" i="66" s="1"/>
  <c r="M21" i="66"/>
  <c r="E16" i="67"/>
  <c r="F16" i="67" s="1"/>
  <c r="P34" i="65"/>
  <c r="D16" i="66"/>
  <c r="N23" i="65"/>
  <c r="N26" i="65" s="1"/>
  <c r="P32" i="65"/>
  <c r="E14" i="67"/>
  <c r="F14" i="67" s="1"/>
  <c r="J21" i="66"/>
  <c r="P21" i="66"/>
  <c r="F15" i="67"/>
  <c r="F17" i="67"/>
  <c r="J13" i="66"/>
  <c r="P13" i="66"/>
  <c r="M13" i="66"/>
  <c r="D11" i="66"/>
  <c r="E11" i="67"/>
  <c r="P30" i="65"/>
  <c r="P23" i="65"/>
  <c r="P26" i="65" s="1"/>
  <c r="J23" i="66" l="1"/>
  <c r="M23" i="66"/>
  <c r="P23" i="66"/>
  <c r="D37" i="66"/>
  <c r="S37" i="66" s="1"/>
  <c r="L38" i="66"/>
  <c r="L41" i="66" s="1"/>
  <c r="R23" i="70"/>
  <c r="R24" i="66"/>
  <c r="R27" i="66" s="1"/>
  <c r="R26" i="70"/>
  <c r="I38" i="66"/>
  <c r="I41" i="66" s="1"/>
  <c r="S22" i="66"/>
  <c r="S11" i="66"/>
  <c r="P11" i="66"/>
  <c r="F13" i="67"/>
  <c r="R35" i="66"/>
  <c r="S16" i="66"/>
  <c r="S17" i="66"/>
  <c r="R36" i="66"/>
  <c r="M16" i="66"/>
  <c r="P18" i="66"/>
  <c r="R32" i="71"/>
  <c r="P37" i="71"/>
  <c r="P32" i="69"/>
  <c r="P23" i="69"/>
  <c r="R13" i="69"/>
  <c r="M20" i="66"/>
  <c r="J17" i="66"/>
  <c r="R32" i="70"/>
  <c r="P37" i="70"/>
  <c r="R23" i="71"/>
  <c r="P26" i="71"/>
  <c r="R26" i="71" s="1"/>
  <c r="J15" i="66"/>
  <c r="M14" i="66"/>
  <c r="E37" i="67"/>
  <c r="F37" i="67" s="1"/>
  <c r="P20" i="66"/>
  <c r="P17" i="66"/>
  <c r="J20" i="66"/>
  <c r="E39" i="67"/>
  <c r="F39" i="67" s="1"/>
  <c r="P22" i="66"/>
  <c r="J18" i="66"/>
  <c r="J22" i="66"/>
  <c r="M18" i="66"/>
  <c r="M22" i="66"/>
  <c r="D32" i="66"/>
  <c r="D34" i="66"/>
  <c r="M34" i="66" s="1"/>
  <c r="M15" i="66"/>
  <c r="M37" i="66"/>
  <c r="J14" i="66"/>
  <c r="P15" i="66"/>
  <c r="M19" i="66"/>
  <c r="M17" i="66"/>
  <c r="D36" i="66"/>
  <c r="P19" i="66"/>
  <c r="J19" i="66"/>
  <c r="D35" i="66"/>
  <c r="J35" i="66" s="1"/>
  <c r="E38" i="67"/>
  <c r="F38" i="67" s="1"/>
  <c r="P16" i="66"/>
  <c r="J16" i="66"/>
  <c r="P14" i="66"/>
  <c r="E36" i="67"/>
  <c r="F36" i="67" s="1"/>
  <c r="D33" i="66"/>
  <c r="S33" i="66" s="1"/>
  <c r="P37" i="65"/>
  <c r="P40" i="65" s="1"/>
  <c r="J11" i="66"/>
  <c r="D24" i="66"/>
  <c r="D31" i="66"/>
  <c r="S31" i="66" s="1"/>
  <c r="M11" i="66"/>
  <c r="F11" i="67"/>
  <c r="E34" i="67"/>
  <c r="E24" i="67"/>
  <c r="J37" i="66" l="1"/>
  <c r="P37" i="66"/>
  <c r="S24" i="66"/>
  <c r="R38" i="66"/>
  <c r="R41" i="66" s="1"/>
  <c r="P32" i="66"/>
  <c r="S32" i="66"/>
  <c r="S36" i="66"/>
  <c r="S35" i="66"/>
  <c r="S34" i="66"/>
  <c r="M33" i="66"/>
  <c r="P33" i="66"/>
  <c r="P40" i="70"/>
  <c r="R40" i="70" s="1"/>
  <c r="R37" i="70"/>
  <c r="R32" i="69"/>
  <c r="P37" i="69"/>
  <c r="P40" i="71"/>
  <c r="R40" i="71" s="1"/>
  <c r="R37" i="71"/>
  <c r="P26" i="69"/>
  <c r="R26" i="69" s="1"/>
  <c r="R23" i="69"/>
  <c r="J36" i="66"/>
  <c r="M32" i="66"/>
  <c r="J32" i="66"/>
  <c r="J34" i="66"/>
  <c r="P34" i="66"/>
  <c r="P36" i="66"/>
  <c r="P35" i="66"/>
  <c r="M36" i="66"/>
  <c r="M35" i="66"/>
  <c r="J33" i="66"/>
  <c r="E41" i="67"/>
  <c r="F34" i="67"/>
  <c r="D27" i="66"/>
  <c r="S27" i="66" s="1"/>
  <c r="J24" i="66"/>
  <c r="P24" i="66"/>
  <c r="M24" i="66"/>
  <c r="J31" i="66"/>
  <c r="D38" i="66"/>
  <c r="P31" i="66"/>
  <c r="M31" i="66"/>
  <c r="E30" i="67"/>
  <c r="F24" i="67"/>
  <c r="S38" i="66" l="1"/>
  <c r="P40" i="69"/>
  <c r="R40" i="69" s="1"/>
  <c r="R37" i="69"/>
  <c r="J27" i="66"/>
  <c r="P27" i="66"/>
  <c r="M27" i="66"/>
  <c r="F41" i="67"/>
  <c r="E44" i="67"/>
  <c r="D41" i="66"/>
  <c r="S41" i="66" s="1"/>
  <c r="J38" i="66"/>
  <c r="P38" i="66"/>
  <c r="M38" i="66"/>
  <c r="J41" i="66" l="1"/>
  <c r="P41" i="66"/>
  <c r="M41" i="66"/>
  <c r="S25" i="56" l="1"/>
  <c r="G25" i="56"/>
  <c r="G40" i="56" l="1"/>
  <c r="G34" i="56"/>
  <c r="H25" i="56"/>
  <c r="H34" i="56" s="1"/>
  <c r="H36" i="56" s="1"/>
  <c r="H37" i="56" s="1"/>
  <c r="H38" i="56" s="1"/>
  <c r="S40" i="56"/>
  <c r="T25" i="56"/>
  <c r="T34" i="56" s="1"/>
  <c r="T36" i="56" s="1"/>
  <c r="T37" i="56" s="1"/>
  <c r="T38" i="56" s="1"/>
  <c r="S34" i="56"/>
  <c r="F12" i="66" l="1"/>
  <c r="R11" i="65"/>
  <c r="R10" i="65"/>
  <c r="Q30" i="65"/>
  <c r="F11" i="66"/>
  <c r="R17" i="65"/>
  <c r="F18" i="66"/>
  <c r="G18" i="66" l="1"/>
  <c r="U18" i="66"/>
  <c r="F26" i="66"/>
  <c r="Q39" i="65"/>
  <c r="R25" i="65"/>
  <c r="R30" i="65"/>
  <c r="F31" i="66"/>
  <c r="G11" i="66"/>
  <c r="U11" i="66"/>
  <c r="V11" i="66" s="1"/>
  <c r="W11" i="66" s="1"/>
  <c r="U12" i="66"/>
  <c r="G12" i="66"/>
  <c r="R15" i="65" l="1"/>
  <c r="F16" i="66"/>
  <c r="Q34" i="65"/>
  <c r="R34" i="65" s="1"/>
  <c r="Q35" i="65"/>
  <c r="R35" i="65" s="1"/>
  <c r="V12" i="66"/>
  <c r="W12" i="66" s="1"/>
  <c r="I12" i="67"/>
  <c r="G31" i="66"/>
  <c r="R39" i="65"/>
  <c r="F21" i="66"/>
  <c r="R20" i="65"/>
  <c r="F17" i="66"/>
  <c r="R16" i="65"/>
  <c r="F15" i="66"/>
  <c r="Q33" i="65"/>
  <c r="R33" i="65" s="1"/>
  <c r="R14" i="65"/>
  <c r="F40" i="66"/>
  <c r="G40" i="66" s="1"/>
  <c r="G26" i="66"/>
  <c r="U26" i="66"/>
  <c r="U31" i="66"/>
  <c r="I11" i="67"/>
  <c r="R12" i="65"/>
  <c r="F13" i="66"/>
  <c r="Q31" i="65"/>
  <c r="V18" i="66"/>
  <c r="W18" i="66" s="1"/>
  <c r="I18" i="67"/>
  <c r="R13" i="65"/>
  <c r="F14" i="66"/>
  <c r="J18" i="67" l="1"/>
  <c r="L18" i="67"/>
  <c r="N18" i="67" s="1"/>
  <c r="G13" i="66"/>
  <c r="U13" i="66"/>
  <c r="F32" i="66"/>
  <c r="U17" i="66"/>
  <c r="G17" i="66"/>
  <c r="F35" i="66"/>
  <c r="G35" i="66" s="1"/>
  <c r="U16" i="66"/>
  <c r="G16" i="66"/>
  <c r="R18" i="65"/>
  <c r="F19" i="66"/>
  <c r="Q32" i="65"/>
  <c r="R32" i="65" s="1"/>
  <c r="U14" i="66"/>
  <c r="G14" i="66"/>
  <c r="F33" i="66"/>
  <c r="G33" i="66" s="1"/>
  <c r="V26" i="66"/>
  <c r="I29" i="67"/>
  <c r="U40" i="66"/>
  <c r="G21" i="66"/>
  <c r="U21" i="66"/>
  <c r="R31" i="65"/>
  <c r="I34" i="67"/>
  <c r="L11" i="67"/>
  <c r="J11" i="67"/>
  <c r="L12" i="67"/>
  <c r="N12" i="67" s="1"/>
  <c r="J12" i="67"/>
  <c r="V31" i="66"/>
  <c r="F20" i="66"/>
  <c r="F34" i="66" s="1"/>
  <c r="G34" i="66" s="1"/>
  <c r="R19" i="65"/>
  <c r="U15" i="66"/>
  <c r="G15" i="66"/>
  <c r="F22" i="66"/>
  <c r="F36" i="66" s="1"/>
  <c r="G36" i="66" s="1"/>
  <c r="R21" i="65"/>
  <c r="G20" i="66" l="1"/>
  <c r="U20" i="66"/>
  <c r="U34" i="66" s="1"/>
  <c r="N11" i="67"/>
  <c r="I21" i="67"/>
  <c r="V21" i="66"/>
  <c r="W21" i="66" s="1"/>
  <c r="W26" i="66"/>
  <c r="V40" i="66"/>
  <c r="W40" i="66" s="1"/>
  <c r="V14" i="66"/>
  <c r="I14" i="67"/>
  <c r="V17" i="66"/>
  <c r="I17" i="67"/>
  <c r="V13" i="66"/>
  <c r="I13" i="67"/>
  <c r="U32" i="66"/>
  <c r="J34" i="67"/>
  <c r="L34" i="67"/>
  <c r="V16" i="66"/>
  <c r="I16" i="67"/>
  <c r="U35" i="66"/>
  <c r="I15" i="67"/>
  <c r="V15" i="66"/>
  <c r="U19" i="66"/>
  <c r="U33" i="66" s="1"/>
  <c r="G19" i="66"/>
  <c r="U22" i="66"/>
  <c r="G22" i="66"/>
  <c r="W31" i="66"/>
  <c r="I43" i="67"/>
  <c r="J43" i="67" s="1"/>
  <c r="L43" i="67" s="1"/>
  <c r="J29" i="67"/>
  <c r="L29" i="67" s="1"/>
  <c r="G32" i="66"/>
  <c r="N43" i="67" l="1"/>
  <c r="L15" i="67"/>
  <c r="J15" i="67"/>
  <c r="J17" i="67"/>
  <c r="L17" i="67"/>
  <c r="W14" i="66"/>
  <c r="L21" i="67"/>
  <c r="N21" i="67" s="1"/>
  <c r="J21" i="67"/>
  <c r="N29" i="67"/>
  <c r="V19" i="66"/>
  <c r="W19" i="66" s="1"/>
  <c r="I19" i="67"/>
  <c r="N34" i="67"/>
  <c r="L13" i="67"/>
  <c r="I35" i="67"/>
  <c r="J13" i="67"/>
  <c r="W17" i="66"/>
  <c r="I22" i="67"/>
  <c r="V22" i="66"/>
  <c r="W22" i="66" s="1"/>
  <c r="L16" i="67"/>
  <c r="I38" i="67"/>
  <c r="J16" i="67"/>
  <c r="W13" i="66"/>
  <c r="V32" i="66"/>
  <c r="I20" i="67"/>
  <c r="V20" i="66"/>
  <c r="W20" i="66" s="1"/>
  <c r="W15" i="66"/>
  <c r="V35" i="66"/>
  <c r="W35" i="66" s="1"/>
  <c r="W16" i="66"/>
  <c r="U36" i="66"/>
  <c r="L14" i="67"/>
  <c r="N14" i="67" s="1"/>
  <c r="J14" i="67"/>
  <c r="N15" i="67" l="1"/>
  <c r="N17" i="67"/>
  <c r="J20" i="67"/>
  <c r="L20" i="67"/>
  <c r="N20" i="67" s="1"/>
  <c r="L22" i="67"/>
  <c r="N22" i="67" s="1"/>
  <c r="J22" i="67"/>
  <c r="I36" i="67"/>
  <c r="J19" i="67"/>
  <c r="L19" i="67"/>
  <c r="N19" i="67" s="1"/>
  <c r="V34" i="66"/>
  <c r="W34" i="66" s="1"/>
  <c r="L38" i="67"/>
  <c r="N38" i="67" s="1"/>
  <c r="J38" i="67"/>
  <c r="J35" i="67"/>
  <c r="L35" i="67"/>
  <c r="V33" i="66"/>
  <c r="W33" i="66" s="1"/>
  <c r="I39" i="67"/>
  <c r="W32" i="66"/>
  <c r="N16" i="67"/>
  <c r="V36" i="66"/>
  <c r="W36" i="66" s="1"/>
  <c r="N13" i="67"/>
  <c r="I37" i="67"/>
  <c r="J39" i="67" l="1"/>
  <c r="L39" i="67"/>
  <c r="N39" i="67" s="1"/>
  <c r="J37" i="67"/>
  <c r="L37" i="67"/>
  <c r="N37" i="67" s="1"/>
  <c r="N35" i="67"/>
  <c r="J36" i="67"/>
  <c r="L36" i="67"/>
  <c r="N36" i="67" s="1"/>
  <c r="R22" i="65" l="1"/>
  <c r="F23" i="66"/>
  <c r="Q36" i="65"/>
  <c r="Q23" i="65"/>
  <c r="Q26" i="65" l="1"/>
  <c r="R26" i="65" s="1"/>
  <c r="R23" i="65"/>
  <c r="R36" i="65"/>
  <c r="Q37" i="65"/>
  <c r="U23" i="66"/>
  <c r="F37" i="66"/>
  <c r="G23" i="66"/>
  <c r="F24" i="66"/>
  <c r="F27" i="66" l="1"/>
  <c r="G27" i="66" s="1"/>
  <c r="G24" i="66"/>
  <c r="R37" i="65"/>
  <c r="Q40" i="65"/>
  <c r="R40" i="65" s="1"/>
  <c r="G37" i="66"/>
  <c r="F38" i="66"/>
  <c r="U37" i="66"/>
  <c r="U38" i="66" s="1"/>
  <c r="U41" i="66" s="1"/>
  <c r="I23" i="67"/>
  <c r="V23" i="66"/>
  <c r="U24" i="66"/>
  <c r="U27" i="66" s="1"/>
  <c r="I40" i="67" l="1"/>
  <c r="J23" i="67"/>
  <c r="L23" i="67"/>
  <c r="I24" i="67"/>
  <c r="F41" i="66"/>
  <c r="G41" i="66" s="1"/>
  <c r="G38" i="66"/>
  <c r="W23" i="66"/>
  <c r="V37" i="66"/>
  <c r="V24" i="66"/>
  <c r="W37" i="66" l="1"/>
  <c r="V38" i="66"/>
  <c r="L24" i="67"/>
  <c r="J24" i="67"/>
  <c r="I30" i="67"/>
  <c r="L30" i="67" s="1"/>
  <c r="N23" i="67"/>
  <c r="W24" i="66"/>
  <c r="V27" i="66"/>
  <c r="W27" i="66" s="1"/>
  <c r="L40" i="67"/>
  <c r="N40" i="67" s="1"/>
  <c r="J40" i="67"/>
  <c r="I41" i="67"/>
  <c r="L41" i="67" l="1"/>
  <c r="J41" i="67"/>
  <c r="I44" i="67"/>
  <c r="L44" i="67" s="1"/>
  <c r="N24" i="67"/>
  <c r="V41" i="66"/>
  <c r="W38" i="66"/>
  <c r="N30" i="67"/>
  <c r="W41" i="66" l="1"/>
  <c r="N44" i="67" s="1"/>
  <c r="N41" i="67"/>
</calcChain>
</file>

<file path=xl/sharedStrings.xml><?xml version="1.0" encoding="utf-8"?>
<sst xmlns="http://schemas.openxmlformats.org/spreadsheetml/2006/main" count="1883" uniqueCount="358">
  <si>
    <t>Puget Sound Energy</t>
  </si>
  <si>
    <t>Proposed</t>
  </si>
  <si>
    <t>Revenue</t>
  </si>
  <si>
    <t>Volume (Therms)</t>
  </si>
  <si>
    <t>Rate Class</t>
  </si>
  <si>
    <t>Current</t>
  </si>
  <si>
    <t>Total</t>
  </si>
  <si>
    <t>Residential</t>
  </si>
  <si>
    <t>Commercial &amp; Industrial</t>
  </si>
  <si>
    <t>Large Volume</t>
  </si>
  <si>
    <t>Interruptible</t>
  </si>
  <si>
    <t>Limited Interruptible</t>
  </si>
  <si>
    <t>Non-exclusive Interruptible</t>
  </si>
  <si>
    <t>Contracts</t>
  </si>
  <si>
    <t>Subtotal</t>
  </si>
  <si>
    <t>Forecasted</t>
  </si>
  <si>
    <t>Sched 140</t>
  </si>
  <si>
    <t>Rate</t>
  </si>
  <si>
    <t>Sched 101</t>
  </si>
  <si>
    <t>Sched 106</t>
  </si>
  <si>
    <t>Percent</t>
  </si>
  <si>
    <t>Schedule</t>
  </si>
  <si>
    <t>Rates</t>
  </si>
  <si>
    <t>Current Rates</t>
  </si>
  <si>
    <t>Change</t>
  </si>
  <si>
    <t>A</t>
  </si>
  <si>
    <t>B</t>
  </si>
  <si>
    <t>C</t>
  </si>
  <si>
    <t>D</t>
  </si>
  <si>
    <t>J</t>
  </si>
  <si>
    <t>23,53</t>
  </si>
  <si>
    <t>Residential Gas Lights</t>
  </si>
  <si>
    <t>Commercial &amp; Industrial Transportation</t>
  </si>
  <si>
    <t>31T</t>
  </si>
  <si>
    <t>Large Volume Transportation</t>
  </si>
  <si>
    <t>41T</t>
  </si>
  <si>
    <t>Interruptible Transportation</t>
  </si>
  <si>
    <t>85T</t>
  </si>
  <si>
    <t>Limited Interruptible Transportation</t>
  </si>
  <si>
    <t>86T</t>
  </si>
  <si>
    <t>Non-exclusive Interruptible Transportation</t>
  </si>
  <si>
    <t>87T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</si>
  <si>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</si>
  <si>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</si>
  <si>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</si>
  <si>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</si>
  <si>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</si>
  <si>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</si>
  <si>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</si>
  <si>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Check</t>
  </si>
  <si>
    <t>Sched 120</t>
  </si>
  <si>
    <t>K</t>
  </si>
  <si>
    <r>
      <t>Rates</t>
    </r>
    <r>
      <rPr>
        <vertAlign val="superscript"/>
        <sz val="11"/>
        <rFont val="Calibri"/>
        <family val="2"/>
      </rPr>
      <t xml:space="preserve"> (1)</t>
    </r>
  </si>
  <si>
    <t>Charges</t>
  </si>
  <si>
    <t>Volume (therms)</t>
  </si>
  <si>
    <t>Customer charge ($/month)</t>
  </si>
  <si>
    <t>Basic charge</t>
  </si>
  <si>
    <t>Volumetric charges ($/therm)</t>
  </si>
  <si>
    <t>Delivery charge (Schedule 23)</t>
  </si>
  <si>
    <t>Property tax charge (Schedule 140)</t>
  </si>
  <si>
    <t>Decoupling charge (Schedule 142)</t>
  </si>
  <si>
    <t>Low income charge (Schedule 129)</t>
  </si>
  <si>
    <t>CRM Charge (Schedule 149)</t>
  </si>
  <si>
    <t>Conservation charge (Schedule 120)</t>
  </si>
  <si>
    <t>Merger rate credit (Schedule 132)</t>
  </si>
  <si>
    <t>Cost of gas (Schedule 101)</t>
  </si>
  <si>
    <t>Deferral amortization (Schedule 106)</t>
  </si>
  <si>
    <t>Total volumetric charges</t>
  </si>
  <si>
    <t>Total monthly bill</t>
  </si>
  <si>
    <t>Change from bill under current rates</t>
  </si>
  <si>
    <t>Percent change from bill under current rates</t>
  </si>
  <si>
    <t>Total volumetric rates less gas costs</t>
  </si>
  <si>
    <t>Sch 142</t>
  </si>
  <si>
    <t xml:space="preserve">Proposed </t>
  </si>
  <si>
    <t>Decoupling</t>
  </si>
  <si>
    <t>23/53</t>
  </si>
  <si>
    <t>Commercial &amp; industrial</t>
  </si>
  <si>
    <t>Large volume</t>
  </si>
  <si>
    <t>Demand Charge</t>
  </si>
  <si>
    <t>Delivery Charge:</t>
  </si>
  <si>
    <t>901 to 5,000 therms</t>
  </si>
  <si>
    <t>Over 5,000 therms</t>
  </si>
  <si>
    <t>Large volume - Trans.</t>
  </si>
  <si>
    <t>Procurement Credit</t>
  </si>
  <si>
    <t>Large Volume Total</t>
  </si>
  <si>
    <t>41/41T</t>
  </si>
  <si>
    <t xml:space="preserve">Basic Service Charge </t>
  </si>
  <si>
    <t>Procurement Charge</t>
  </si>
  <si>
    <t>First 25,000 therms</t>
  </si>
  <si>
    <t>Next 25,000 therms</t>
  </si>
  <si>
    <t>Over 50,000 therms</t>
  </si>
  <si>
    <t>Interruptible - Trans.</t>
  </si>
  <si>
    <t>Interruptible Total</t>
  </si>
  <si>
    <t>85/85T</t>
  </si>
  <si>
    <t>First 1,000 therms</t>
  </si>
  <si>
    <t>Over 1,000 therms</t>
  </si>
  <si>
    <t>Limited Interruptible - Trans.</t>
  </si>
  <si>
    <t>Limited Interruptible Total</t>
  </si>
  <si>
    <t>86/86T</t>
  </si>
  <si>
    <t>Next 50,000 therms</t>
  </si>
  <si>
    <t>Next 100,000 therms</t>
  </si>
  <si>
    <t>Next 300,000 therms</t>
  </si>
  <si>
    <t>Over 500,000 therms</t>
  </si>
  <si>
    <t>Non-Exclusive Interruptible Total</t>
  </si>
  <si>
    <t>87/87T</t>
  </si>
  <si>
    <t>Firm Sales</t>
  </si>
  <si>
    <t>Interruptible Sales</t>
  </si>
  <si>
    <t>Total Sales</t>
  </si>
  <si>
    <t>Transport</t>
  </si>
  <si>
    <t>check</t>
  </si>
  <si>
    <t>Sched 149</t>
  </si>
  <si>
    <t>H</t>
  </si>
  <si>
    <t>L</t>
  </si>
  <si>
    <t>N</t>
  </si>
  <si>
    <t>Sched 132</t>
  </si>
  <si>
    <t>Sched 129</t>
  </si>
  <si>
    <t>Estimated</t>
  </si>
  <si>
    <t>Customer Class</t>
  </si>
  <si>
    <t>Transportation</t>
  </si>
  <si>
    <t>Gas Lighting</t>
  </si>
  <si>
    <t>Schedule 71 - Residential Water Heater Rental Service</t>
  </si>
  <si>
    <t xml:space="preserve">Standard Models </t>
  </si>
  <si>
    <t>71G-A</t>
  </si>
  <si>
    <t xml:space="preserve">Conservation Models </t>
  </si>
  <si>
    <t>71G-B</t>
  </si>
  <si>
    <t xml:space="preserve">Direct Vent Models </t>
  </si>
  <si>
    <t>71G-C</t>
  </si>
  <si>
    <t xml:space="preserve">High Recovery Models </t>
  </si>
  <si>
    <t>71G-D</t>
  </si>
  <si>
    <t xml:space="preserve">High Efficiency Standard (Energy Factor ≥.60)  </t>
  </si>
  <si>
    <t>71G-E</t>
  </si>
  <si>
    <t xml:space="preserve">High Efficiency Direct Vent (Energy Factor ≥.60) </t>
  </si>
  <si>
    <t>71G-F</t>
  </si>
  <si>
    <t xml:space="preserve">Total </t>
  </si>
  <si>
    <t>Schedule 72 - Large Volume Water Heater Rental Service</t>
  </si>
  <si>
    <t xml:space="preserve">25 - 40 gallon storage 30,000 to 50,000 </t>
  </si>
  <si>
    <t>72G-F</t>
  </si>
  <si>
    <t xml:space="preserve">45 - 55 gallon storage 70,000 to 79,000 </t>
  </si>
  <si>
    <t>72G-G</t>
  </si>
  <si>
    <t xml:space="preserve">45 - 55 gallon storage 51,000 to 75,000 </t>
  </si>
  <si>
    <t>72G-H</t>
  </si>
  <si>
    <t xml:space="preserve">50 - 65 gallon storage 60,000 to 69,000 </t>
  </si>
  <si>
    <t>72G-I</t>
  </si>
  <si>
    <t xml:space="preserve">60 - 84 gallon storage 70,000 to 129,000 </t>
  </si>
  <si>
    <t>72G-J</t>
  </si>
  <si>
    <t xml:space="preserve">75 - 90 gallon storage 130,000 to 169,000 </t>
  </si>
  <si>
    <t>72G-K</t>
  </si>
  <si>
    <t xml:space="preserve">75 - 100 gallon storage 170,000 to 200,000 </t>
  </si>
  <si>
    <t>72G-L</t>
  </si>
  <si>
    <t>Total Margin Revenue</t>
  </si>
  <si>
    <t>Schedule 74 - Gas Conversion Burner Rental Service</t>
  </si>
  <si>
    <t xml:space="preserve">45,000 to 400,000 Standard Models </t>
  </si>
  <si>
    <t>74G-A</t>
  </si>
  <si>
    <t xml:space="preserve">401,000 to 700,000 Standard Models </t>
  </si>
  <si>
    <t>74G-B</t>
  </si>
  <si>
    <t xml:space="preserve">701,000 to 1,300,000 Standard Models </t>
  </si>
  <si>
    <t>74G-C</t>
  </si>
  <si>
    <t xml:space="preserve">45,000 to 400,000 Conservation Models </t>
  </si>
  <si>
    <t>74G-D</t>
  </si>
  <si>
    <t>Total Rentals</t>
  </si>
  <si>
    <t>71/72/74</t>
  </si>
  <si>
    <t xml:space="preserve">Weather Normalized Bill Frequency </t>
  </si>
  <si>
    <t>Schedule Number</t>
  </si>
  <si>
    <t>41T-C</t>
  </si>
  <si>
    <t>First 900 therms</t>
  </si>
  <si>
    <t>Next 4,100 therms</t>
  </si>
  <si>
    <t>All over 5,000 therms</t>
  </si>
  <si>
    <t>41T-I</t>
  </si>
  <si>
    <t>85T-C</t>
  </si>
  <si>
    <t>All over 50,000 therms</t>
  </si>
  <si>
    <t>85T-I</t>
  </si>
  <si>
    <t>86TG-I</t>
  </si>
  <si>
    <t>All over 1,000 therms</t>
  </si>
  <si>
    <t>87T-C</t>
  </si>
  <si>
    <t>All over 500,000 therms</t>
  </si>
  <si>
    <t>87T-I</t>
  </si>
  <si>
    <t>41G-C2</t>
  </si>
  <si>
    <t xml:space="preserve">First 900 therms or less  </t>
  </si>
  <si>
    <t>41G-I2</t>
  </si>
  <si>
    <t>85G-C3</t>
  </si>
  <si>
    <t>85G-I3</t>
  </si>
  <si>
    <t>86G-C2</t>
  </si>
  <si>
    <t>86G-I2</t>
  </si>
  <si>
    <t>87G-C4</t>
  </si>
  <si>
    <t>87G-I4</t>
  </si>
  <si>
    <t xml:space="preserve">Weather Normalized Therms By Block </t>
  </si>
  <si>
    <t>41G</t>
  </si>
  <si>
    <t>85G</t>
  </si>
  <si>
    <t>86G</t>
  </si>
  <si>
    <t>87G</t>
  </si>
  <si>
    <t>12 MO Total</t>
  </si>
  <si>
    <t>Residential (16)</t>
  </si>
  <si>
    <t>Residential (23)</t>
  </si>
  <si>
    <t>Residential (53)</t>
  </si>
  <si>
    <t>Commercial &amp; industrial (31)</t>
  </si>
  <si>
    <t>Large volume (41)</t>
  </si>
  <si>
    <t>Transportation - large volume (41T)</t>
  </si>
  <si>
    <t>Transportation - general services (31T)</t>
  </si>
  <si>
    <t>Interruptible (85)</t>
  </si>
  <si>
    <t>Transportation - interruptible (85T)</t>
  </si>
  <si>
    <t>Limited interruptible (86)</t>
  </si>
  <si>
    <t>Transportation - limited interruptible (86T)</t>
  </si>
  <si>
    <t>Non exclusive interruptible (87)</t>
  </si>
  <si>
    <t>Transportation - non exclusive interrupt (87T)</t>
  </si>
  <si>
    <t>Demand</t>
  </si>
  <si>
    <t>12 MO total</t>
  </si>
  <si>
    <t>Basic Charge Counts</t>
  </si>
  <si>
    <t xml:space="preserve">Rate Plan </t>
  </si>
  <si>
    <t>at Existing Rates</t>
  </si>
  <si>
    <t>at Proposed Rates</t>
  </si>
  <si>
    <t>Changes</t>
  </si>
  <si>
    <t>Commercial &amp; industrial - Trans.</t>
  </si>
  <si>
    <t>ERF</t>
  </si>
  <si>
    <t>Description</t>
  </si>
  <si>
    <t>Schedule 23 Residential</t>
  </si>
  <si>
    <t>Schedule 53 Residential Propane</t>
  </si>
  <si>
    <t>Schedule 16 Gas Lights</t>
  </si>
  <si>
    <t>Schedule 31 Commercial &amp; Industrial - Sales</t>
  </si>
  <si>
    <t>Schedule 31 Commercial &amp; Industrial - Transportation</t>
  </si>
  <si>
    <t>Schedule 61 Standby &amp; Auxiliary Heating</t>
  </si>
  <si>
    <t>Schedule 41 Large Volume High Load Factor - Sales</t>
  </si>
  <si>
    <t>Schedule 41 Large Volume High Load Factor - Transportation</t>
  </si>
  <si>
    <t>Schedule 85 Interruptible - Sales</t>
  </si>
  <si>
    <t>First 25,000 Therms</t>
  </si>
  <si>
    <t>Next 25,000 Therms</t>
  </si>
  <si>
    <t>All over 50,000 Therms</t>
  </si>
  <si>
    <t>Schedule 85 Interruptible - Transportation</t>
  </si>
  <si>
    <t>Next 50,000 Therms</t>
  </si>
  <si>
    <t>Schedule 86 Limited Interruptible - Sales</t>
  </si>
  <si>
    <t>Schedule 86 Limited Interruptible - Transportation</t>
  </si>
  <si>
    <t>Schedule 87 Non-exclusive Interruptible - Sales</t>
  </si>
  <si>
    <t>Schedule 87 Non-exclusive Interruptible - Transportation</t>
  </si>
  <si>
    <t>Schedule 141</t>
  </si>
  <si>
    <t>Units</t>
  </si>
  <si>
    <t>Basic Charge</t>
  </si>
  <si>
    <t>Bills</t>
  </si>
  <si>
    <t>Delivery Charge</t>
  </si>
  <si>
    <t>Therms</t>
  </si>
  <si>
    <t>Mantles</t>
  </si>
  <si>
    <t>Minimum Bill</t>
  </si>
  <si>
    <t>Minimum Bills</t>
  </si>
  <si>
    <t xml:space="preserve">check </t>
  </si>
  <si>
    <t>therms</t>
  </si>
  <si>
    <t>Delivery</t>
  </si>
  <si>
    <t>Revenue Change</t>
  </si>
  <si>
    <t>Revenue Changes</t>
  </si>
  <si>
    <t xml:space="preserve">Rate </t>
  </si>
  <si>
    <t>Decoupling Revenue</t>
  </si>
  <si>
    <t>Rate Plan Revenue</t>
  </si>
  <si>
    <t>31, 31T</t>
  </si>
  <si>
    <t>41, 41T</t>
  </si>
  <si>
    <t>86, 86T</t>
  </si>
  <si>
    <t>87, 87T</t>
  </si>
  <si>
    <t>85, 85T</t>
  </si>
  <si>
    <t>23, 16,53</t>
  </si>
  <si>
    <t>I</t>
  </si>
  <si>
    <t>M</t>
  </si>
  <si>
    <t>O</t>
  </si>
  <si>
    <t>P</t>
  </si>
  <si>
    <t>Proposed Rates</t>
  </si>
  <si>
    <t>E</t>
  </si>
  <si>
    <t>F</t>
  </si>
  <si>
    <t>G</t>
  </si>
  <si>
    <t>Effective December 19, 2017</t>
  </si>
  <si>
    <t>Conservation Program Tracker (Schedule 120)</t>
  </si>
  <si>
    <t>Low Income Program (Schedule 129)</t>
  </si>
  <si>
    <t>Merger Rate Credit (Schedule 132)</t>
  </si>
  <si>
    <t>Rentals</t>
  </si>
  <si>
    <t>Property Tax Tracker Revenue (Schedule 140)</t>
  </si>
  <si>
    <t>Cost Recovery Mechanism (Schedule 149)</t>
  </si>
  <si>
    <t>Revenue Decoupling Adjustment Mechanism (Schedule 142) Rate Plan</t>
  </si>
  <si>
    <t>Revenue Decoupling Adjustment Mechanism (Schedule 142) Decoupling</t>
  </si>
  <si>
    <t>Sched 142</t>
  </si>
  <si>
    <r>
      <t>ERF</t>
    </r>
    <r>
      <rPr>
        <sz val="11"/>
        <rFont val="Calibri"/>
        <family val="2"/>
        <scheme val="minor"/>
      </rPr>
      <t xml:space="preserve"> adjusting charge (Schedule 141)</t>
    </r>
  </si>
  <si>
    <t>Sched 141</t>
  </si>
  <si>
    <t>2018 Expedited Rate Filing (Schedule 141)</t>
  </si>
  <si>
    <t>In Minimum Bills</t>
  </si>
  <si>
    <t>Effective October 4, 2018</t>
  </si>
  <si>
    <t>Sched 141X</t>
  </si>
  <si>
    <t>EDIT adjusting charge (Schedule 141X)</t>
  </si>
  <si>
    <t>Rate Change Impacts by Rate Schedule</t>
  </si>
  <si>
    <t>Margin</t>
  </si>
  <si>
    <t>EDIT</t>
  </si>
  <si>
    <r>
      <t>Revenue</t>
    </r>
    <r>
      <rPr>
        <vertAlign val="superscript"/>
        <sz val="11"/>
        <color theme="1"/>
        <rFont val="Calibri"/>
        <family val="2"/>
      </rPr>
      <t xml:space="preserve"> (1)</t>
    </r>
  </si>
  <si>
    <t>May 19 - Apr 20</t>
  </si>
  <si>
    <t xml:space="preserve">F </t>
  </si>
  <si>
    <r>
      <t>Rentals</t>
    </r>
    <r>
      <rPr>
        <vertAlign val="superscript"/>
        <sz val="11"/>
        <rFont val="Calibri"/>
        <family val="2"/>
      </rPr>
      <t>(2)</t>
    </r>
  </si>
  <si>
    <t>2018 Expedited Rate Filing (Schedule 141X)</t>
  </si>
  <si>
    <t>Schedule 141X</t>
  </si>
  <si>
    <t>Effective January 1, 2019</t>
  </si>
  <si>
    <t>Purchased Gas Adjustment - Deferred Account Adjustment (Schedules 106 &amp; 106-A)</t>
  </si>
  <si>
    <t xml:space="preserve"> % Change</t>
  </si>
  <si>
    <t>% Change</t>
  </si>
  <si>
    <t>Total Rate Change</t>
  </si>
  <si>
    <t>Sched 141Y</t>
  </si>
  <si>
    <t>Tax Reform Credit (Schedule 141Y)</t>
  </si>
  <si>
    <t>Average Rate</t>
  </si>
  <si>
    <t>Per Therm</t>
  </si>
  <si>
    <t>Revenue at</t>
  </si>
  <si>
    <t xml:space="preserve">Revenue at </t>
  </si>
  <si>
    <t>Current Rates (1)</t>
  </si>
  <si>
    <t>May 19- Apr 20</t>
  </si>
  <si>
    <t>Total Including Rentals</t>
  </si>
  <si>
    <t>Per Unit</t>
  </si>
  <si>
    <t>E = D/C</t>
  </si>
  <si>
    <t>G = F/C</t>
  </si>
  <si>
    <t>I = H/C</t>
  </si>
  <si>
    <t>K = J/C</t>
  </si>
  <si>
    <t>H = G/F</t>
  </si>
  <si>
    <t>I = (G-D)/D</t>
  </si>
  <si>
    <t>Federal Tax Reform Credit Revenue (Schedule 141Y)</t>
  </si>
  <si>
    <t>Effective May 1, 2019</t>
  </si>
  <si>
    <t>Source: Pro forma Revenue File</t>
  </si>
  <si>
    <t>Normalized Therms</t>
  </si>
  <si>
    <t>Normalized</t>
  </si>
  <si>
    <t>Jan 18 - Dec 18</t>
  </si>
  <si>
    <t>2019 Gas General Rate Case Filing</t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</si>
  <si>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1"/>
        <color theme="1"/>
        <rFont val="Calibri"/>
        <family val="2"/>
        <scheme val="minor"/>
      </rPr>
      <t>Annual rental counts for the 12 months ending December 31, 2018</t>
    </r>
  </si>
  <si>
    <t>Q = P / O</t>
  </si>
  <si>
    <r>
      <rPr>
        <vertAlign val="superscript"/>
        <sz val="11"/>
        <color theme="1"/>
        <rFont val="Calibri"/>
        <family val="2"/>
      </rPr>
      <t xml:space="preserve">(3) </t>
    </r>
    <r>
      <rPr>
        <sz val="11"/>
        <color theme="1"/>
        <rFont val="Calibri"/>
        <family val="2"/>
        <scheme val="minor"/>
      </rPr>
      <t>Revenues at rates effective May 1, 2019</t>
    </r>
  </si>
  <si>
    <t>Rate Change Impacts by Rate Schedule of Proposed Rates</t>
  </si>
  <si>
    <t>Typical Residential Bill Impacts of Proposed Rates</t>
  </si>
  <si>
    <r>
      <rPr>
        <vertAlign val="superscript"/>
        <sz val="11"/>
        <rFont val="Calibri"/>
        <family val="2"/>
      </rPr>
      <t xml:space="preserve">(1) </t>
    </r>
    <r>
      <rPr>
        <sz val="11"/>
        <rFont val="Calibri"/>
        <family val="2"/>
        <scheme val="minor"/>
      </rPr>
      <t>Rates for Schedule 23 customers in effect May 1, 2019</t>
    </r>
  </si>
  <si>
    <t>Base Rate Change</t>
  </si>
  <si>
    <t>Schedule 141 Rate Change</t>
  </si>
  <si>
    <t>Schedule 149 Rate Change</t>
  </si>
  <si>
    <t>12ME Dec 2018</t>
  </si>
  <si>
    <t>Total Normalized</t>
  </si>
  <si>
    <r>
      <t>Revenue</t>
    </r>
    <r>
      <rPr>
        <vertAlign val="superscript"/>
        <sz val="11"/>
        <color theme="1"/>
        <rFont val="Calibri"/>
        <family val="2"/>
      </rPr>
      <t xml:space="preserve"> (3)</t>
    </r>
  </si>
  <si>
    <t>January 2018 - December 2018</t>
  </si>
  <si>
    <t xml:space="preserve">Actual Calendar Therms By Block </t>
  </si>
  <si>
    <t>Demand Units (Therms)</t>
  </si>
  <si>
    <t>Rental Counts</t>
  </si>
  <si>
    <t>Base Rate Impacts</t>
  </si>
  <si>
    <t>Base Rate</t>
  </si>
  <si>
    <t>Sch. 141</t>
  </si>
  <si>
    <t>Sch. 141X</t>
  </si>
  <si>
    <t>Schedule 149 CRM Rate Impacts</t>
  </si>
  <si>
    <t>Schedule 141X Excess Deferred Income Taxes (EDIT) Rate Impacts</t>
  </si>
  <si>
    <t>Schedule 141 Expedited Rate Filing (ERF) Rate Impacts</t>
  </si>
  <si>
    <t>Sch. 149</t>
  </si>
  <si>
    <t>Base</t>
  </si>
  <si>
    <t>CRM</t>
  </si>
  <si>
    <t>(1) Rates effective May 1, 2019</t>
  </si>
  <si>
    <t>Schedule 141X Rate Change</t>
  </si>
  <si>
    <t>Test Year</t>
  </si>
  <si>
    <t>Average Rate Per Therm</t>
  </si>
  <si>
    <t>Combined Impacts</t>
  </si>
  <si>
    <t>Net</t>
  </si>
  <si>
    <t>Rider</t>
  </si>
  <si>
    <t>Non-exclusive Interruptible Trans.</t>
  </si>
  <si>
    <t>Commercial &amp; Industrial Trans.</t>
  </si>
  <si>
    <t>M = L/C</t>
  </si>
  <si>
    <t>L = F + H + J</t>
  </si>
  <si>
    <t>N = C+D+F+H+J</t>
  </si>
  <si>
    <t>O = N - C</t>
  </si>
  <si>
    <t>P = O/C</t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</si>
  <si>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1"/>
        <color theme="1"/>
        <rFont val="Calibri"/>
        <family val="2"/>
        <scheme val="minor"/>
      </rPr>
      <t>Pro forma margin revenue for the 12 months ending December 31, 2018 from exhibit JAP-4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</si>
</sst>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&quot;$&quot;* #,##0.00000_);_(&quot;$&quot;* \(#,##0.00000\);_(&quot;$&quot;* &quot;-&quot;??_);_(@_)"/>
    <numFmt numFmtId="166" formatCode="_(&quot;$&quot;* #,##0.00000_);_(&quot;$&quot;* \(#,##0.00000\);_(&quot;$&quot;* &quot;-&quot;?????_);_(@_)"/>
    <numFmt numFmtId="167" formatCode="_(&quot;$&quot;* #,##0.00_);_(&quot;$&quot;* \(#,##0.00\);_(&quot;$&quot;* &quot;-&quot;?????_);_(@_)"/>
    <numFmt numFmtId="168" formatCode="_(* #,##0_);_(* \(#,##0\);_(* &quot;-&quot;??_);_(@_)"/>
    <numFmt numFmtId="169" formatCode="_(&quot;$&quot;* #,##0_);_(&quot;$&quot;* \(#,##0\);_(&quot;$&quot;* &quot;-&quot;??_);_(@_)"/>
    <numFmt numFmtId="171" formatCode="[$-409]mmm\-yy;@"/>
    <numFmt numFmtId="172" formatCode="_(&quot;$&quot;* #,##0.00_);_(&quot;$&quot;* \(#,##0.00\);_(&quot;$&quot;* &quot;-&quot;_);_(@_)"/>
    <numFmt numFmtId="173" formatCode="_(&quot;$&quot;* #,##0.000_);_(&quot;$&quot;* \(#,##0.000\);_(&quot;$&quot;* &quot;-&quot;_);_(@_)"/>
    <numFmt numFmtId="174" formatCode="&quot;$&quot;#,##0.00000_);[Red]\(&quot;$&quot;#,##0.00000\)"/>
    <numFmt numFmtId="177" formatCode="_(&quot;$&quot;* #,##0_);_(&quot;$&quot;* \(#,##0\);_(&quot;$&quot;* &quot;-&quot;?????_);_(@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1"/>
      <color indexed="21"/>
      <name val="Calibri"/>
      <family val="2"/>
    </font>
    <font>
      <sz val="11"/>
      <color rgb="FF0000FF"/>
      <name val="Calibri"/>
      <family val="2"/>
    </font>
    <font>
      <b/>
      <sz val="11"/>
      <name val="Calibri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1"/>
      <color theme="1"/>
      <name val="Calibri"/>
      <family val="2"/>
    </font>
    <font>
      <sz val="10"/>
      <color indexed="10"/>
      <name val="Arial"/>
      <family val="2"/>
    </font>
    <font>
      <vertAlign val="superscript"/>
      <sz val="11"/>
      <name val="Calibri"/>
      <family val="2"/>
    </font>
    <font>
      <sz val="11"/>
      <color indexed="12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008080"/>
      <name val="Arial"/>
      <family val="2"/>
    </font>
    <font>
      <sz val="11"/>
      <color rgb="FFFF0000"/>
      <name val="Calibri"/>
      <family val="2"/>
    </font>
    <font>
      <sz val="11"/>
      <color indexed="12"/>
      <name val="Calibri"/>
      <family val="2"/>
    </font>
    <font>
      <sz val="10"/>
      <name val="Arial"/>
      <family val="2"/>
    </font>
    <font>
      <sz val="10"/>
      <color indexed="21"/>
      <name val="Arial"/>
      <family val="2"/>
    </font>
    <font>
      <b/>
      <sz val="11"/>
      <name val="Calibri"/>
      <family val="2"/>
      <scheme val="minor"/>
    </font>
    <font>
      <sz val="11"/>
      <color rgb="FF008080"/>
      <name val="Calibri"/>
      <family val="2"/>
    </font>
    <font>
      <sz val="9"/>
      <color theme="1"/>
      <name val="Arial"/>
      <family val="2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ECECEC"/>
      </left>
      <right/>
      <top/>
      <bottom style="thin">
        <color indexed="64"/>
      </bottom>
      <diagonal/>
    </border>
    <border>
      <left style="medium">
        <color rgb="FFECECEC"/>
      </left>
      <right style="medium">
        <color rgb="FFECECEC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8">
    <xf numFmtId="0" fontId="0" fillId="0" borderId="0"/>
    <xf numFmtId="0" fontId="6" fillId="0" borderId="0"/>
    <xf numFmtId="0" fontId="6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30" fillId="0" borderId="0"/>
    <xf numFmtId="9" fontId="1" fillId="0" borderId="0" applyFont="0" applyFill="0" applyBorder="0" applyAlignment="0" applyProtection="0"/>
  </cellStyleXfs>
  <cellXfs count="343">
    <xf numFmtId="0" fontId="0" fillId="0" borderId="0" xfId="0"/>
    <xf numFmtId="0" fontId="0" fillId="0" borderId="0" xfId="0" applyFont="1"/>
    <xf numFmtId="164" fontId="0" fillId="0" borderId="0" xfId="0" applyNumberFormat="1" applyFont="1"/>
    <xf numFmtId="164" fontId="0" fillId="0" borderId="2" xfId="0" applyNumberFormat="1" applyFont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42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/>
    <xf numFmtId="165" fontId="2" fillId="0" borderId="0" xfId="0" applyNumberFormat="1" applyFont="1"/>
    <xf numFmtId="165" fontId="2" fillId="0" borderId="0" xfId="0" applyNumberFormat="1" applyFont="1" applyFill="1"/>
    <xf numFmtId="42" fontId="0" fillId="0" borderId="0" xfId="0" applyNumberFormat="1"/>
    <xf numFmtId="165" fontId="4" fillId="0" borderId="0" xfId="0" applyNumberFormat="1" applyFont="1"/>
    <xf numFmtId="165" fontId="2" fillId="0" borderId="1" xfId="0" applyNumberFormat="1" applyFont="1" applyBorder="1"/>
    <xf numFmtId="3" fontId="0" fillId="0" borderId="2" xfId="0" applyNumberFormat="1" applyBorder="1"/>
    <xf numFmtId="42" fontId="0" fillId="0" borderId="2" xfId="0" applyNumberFormat="1" applyBorder="1"/>
    <xf numFmtId="0" fontId="7" fillId="0" borderId="0" xfId="0" applyFont="1" applyBorder="1" applyAlignment="1">
      <alignment horizontal="left"/>
    </xf>
    <xf numFmtId="3" fontId="7" fillId="0" borderId="0" xfId="0" applyNumberFormat="1" applyFont="1" applyFill="1" applyBorder="1"/>
    <xf numFmtId="42" fontId="7" fillId="0" borderId="0" xfId="0" applyNumberFormat="1" applyFont="1" applyFill="1" applyBorder="1"/>
    <xf numFmtId="166" fontId="7" fillId="0" borderId="0" xfId="0" applyNumberFormat="1" applyFont="1" applyFill="1" applyBorder="1"/>
    <xf numFmtId="166" fontId="7" fillId="0" borderId="0" xfId="0" applyNumberFormat="1" applyFont="1" applyFill="1"/>
    <xf numFmtId="166" fontId="8" fillId="0" borderId="0" xfId="0" applyNumberFormat="1" applyFont="1"/>
    <xf numFmtId="164" fontId="7" fillId="0" borderId="0" xfId="0" applyNumberFormat="1" applyFont="1"/>
    <xf numFmtId="0" fontId="7" fillId="0" borderId="0" xfId="0" applyFont="1"/>
    <xf numFmtId="37" fontId="7" fillId="0" borderId="0" xfId="0" applyNumberFormat="1" applyFont="1"/>
    <xf numFmtId="167" fontId="9" fillId="0" borderId="0" xfId="0" applyNumberFormat="1" applyFont="1" applyFill="1" applyBorder="1"/>
    <xf numFmtId="10" fontId="7" fillId="0" borderId="0" xfId="0" applyNumberFormat="1" applyFont="1"/>
    <xf numFmtId="37" fontId="7" fillId="0" borderId="0" xfId="0" applyNumberFormat="1" applyFont="1" applyFill="1"/>
    <xf numFmtId="0" fontId="7" fillId="0" borderId="0" xfId="0" applyFont="1" applyAlignment="1">
      <alignment horizontal="left"/>
    </xf>
    <xf numFmtId="42" fontId="7" fillId="0" borderId="2" xfId="0" applyNumberFormat="1" applyFont="1" applyFill="1" applyBorder="1"/>
    <xf numFmtId="0" fontId="7" fillId="0" borderId="0" xfId="0" applyFont="1" applyFill="1"/>
    <xf numFmtId="3" fontId="0" fillId="0" borderId="0" xfId="0" applyNumberFormat="1"/>
    <xf numFmtId="0" fontId="10" fillId="0" borderId="0" xfId="0" applyFont="1" applyAlignment="1">
      <alignment horizontal="left"/>
    </xf>
    <xf numFmtId="42" fontId="7" fillId="0" borderId="0" xfId="0" applyNumberFormat="1" applyFont="1"/>
    <xf numFmtId="169" fontId="7" fillId="0" borderId="0" xfId="0" applyNumberFormat="1" applyFont="1" applyFill="1"/>
    <xf numFmtId="0" fontId="7" fillId="0" borderId="0" xfId="0" applyFont="1" applyFill="1" applyBorder="1" applyAlignment="1">
      <alignment horizontal="left" vertical="center" textRotation="180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7" fillId="0" borderId="0" xfId="0" applyFont="1" applyBorder="1"/>
    <xf numFmtId="0" fontId="7" fillId="0" borderId="2" xfId="0" applyFont="1" applyBorder="1" applyAlignment="1">
      <alignment horizontal="left"/>
    </xf>
    <xf numFmtId="169" fontId="7" fillId="0" borderId="2" xfId="0" applyNumberFormat="1" applyFont="1" applyFill="1" applyBorder="1"/>
    <xf numFmtId="44" fontId="7" fillId="0" borderId="0" xfId="0" applyNumberFormat="1" applyFont="1"/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16" fillId="0" borderId="0" xfId="0" applyFont="1"/>
    <xf numFmtId="172" fontId="4" fillId="0" borderId="0" xfId="0" applyNumberFormat="1" applyFont="1"/>
    <xf numFmtId="0" fontId="16" fillId="0" borderId="0" xfId="0" applyFont="1" applyBorder="1"/>
    <xf numFmtId="44" fontId="16" fillId="0" borderId="0" xfId="0" applyNumberFormat="1" applyFont="1"/>
    <xf numFmtId="44" fontId="16" fillId="0" borderId="0" xfId="0" applyNumberFormat="1" applyFont="1" applyBorder="1"/>
    <xf numFmtId="44" fontId="4" fillId="0" borderId="0" xfId="0" applyNumberFormat="1" applyFont="1"/>
    <xf numFmtId="166" fontId="16" fillId="0" borderId="0" xfId="0" applyNumberFormat="1" applyFont="1" applyBorder="1"/>
    <xf numFmtId="166" fontId="4" fillId="0" borderId="0" xfId="0" applyNumberFormat="1" applyFont="1"/>
    <xf numFmtId="166" fontId="4" fillId="0" borderId="2" xfId="0" applyNumberFormat="1" applyFont="1" applyBorder="1"/>
    <xf numFmtId="172" fontId="4" fillId="0" borderId="2" xfId="0" applyNumberFormat="1" applyFont="1" applyBorder="1"/>
    <xf numFmtId="166" fontId="4" fillId="0" borderId="0" xfId="0" applyNumberFormat="1" applyFont="1" applyBorder="1"/>
    <xf numFmtId="44" fontId="4" fillId="0" borderId="0" xfId="0" applyNumberFormat="1" applyFont="1" applyBorder="1"/>
    <xf numFmtId="164" fontId="4" fillId="0" borderId="0" xfId="0" applyNumberFormat="1" applyFont="1"/>
    <xf numFmtId="164" fontId="4" fillId="0" borderId="0" xfId="0" applyNumberFormat="1" applyFont="1" applyBorder="1"/>
    <xf numFmtId="0" fontId="4" fillId="0" borderId="0" xfId="0" applyFont="1" applyFill="1" applyAlignment="1"/>
    <xf numFmtId="0" fontId="4" fillId="0" borderId="0" xfId="0" applyFont="1" applyAlignment="1"/>
    <xf numFmtId="0" fontId="13" fillId="0" borderId="0" xfId="0" applyFont="1" applyAlignment="1">
      <alignment horizontal="centerContinuous"/>
    </xf>
    <xf numFmtId="0" fontId="13" fillId="0" borderId="0" xfId="0" applyFont="1"/>
    <xf numFmtId="3" fontId="13" fillId="0" borderId="0" xfId="0" applyNumberFormat="1" applyFont="1"/>
    <xf numFmtId="0" fontId="13" fillId="0" borderId="1" xfId="0" applyFont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13" fillId="0" borderId="0" xfId="0" applyFont="1" applyAlignment="1">
      <alignment horizontal="left"/>
    </xf>
    <xf numFmtId="3" fontId="13" fillId="0" borderId="2" xfId="0" applyNumberFormat="1" applyFont="1" applyBorder="1"/>
    <xf numFmtId="0" fontId="21" fillId="0" borderId="0" xfId="0" applyFont="1" applyAlignment="1">
      <alignment horizontal="left"/>
    </xf>
    <xf numFmtId="168" fontId="21" fillId="0" borderId="0" xfId="0" applyNumberFormat="1" applyFont="1"/>
    <xf numFmtId="171" fontId="0" fillId="0" borderId="1" xfId="0" applyNumberFormat="1" applyBorder="1"/>
    <xf numFmtId="166" fontId="22" fillId="0" borderId="0" xfId="0" applyNumberFormat="1" applyFont="1"/>
    <xf numFmtId="166" fontId="22" fillId="0" borderId="0" xfId="0" applyNumberFormat="1" applyFont="1" applyFill="1"/>
    <xf numFmtId="166" fontId="16" fillId="0" borderId="0" xfId="0" applyNumberFormat="1" applyFont="1" applyFill="1"/>
    <xf numFmtId="0" fontId="23" fillId="0" borderId="0" xfId="0" applyFont="1" applyAlignment="1">
      <alignment horizontal="centerContinuous"/>
    </xf>
    <xf numFmtId="0" fontId="23" fillId="0" borderId="0" xfId="0" applyFont="1"/>
    <xf numFmtId="0" fontId="2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3" fillId="0" borderId="1" xfId="0" applyFont="1" applyBorder="1" applyAlignment="1">
      <alignment horizontal="center"/>
    </xf>
    <xf numFmtId="169" fontId="0" fillId="0" borderId="0" xfId="0" applyNumberFormat="1" applyFont="1"/>
    <xf numFmtId="3" fontId="23" fillId="0" borderId="0" xfId="0" applyNumberFormat="1" applyFont="1"/>
    <xf numFmtId="3" fontId="24" fillId="0" borderId="0" xfId="0" applyNumberFormat="1" applyFont="1"/>
    <xf numFmtId="3" fontId="23" fillId="0" borderId="0" xfId="0" applyNumberFormat="1" applyFont="1" applyFill="1"/>
    <xf numFmtId="169" fontId="24" fillId="0" borderId="0" xfId="0" applyNumberFormat="1" applyFont="1"/>
    <xf numFmtId="173" fontId="23" fillId="0" borderId="0" xfId="0" applyNumberFormat="1" applyFont="1"/>
    <xf numFmtId="43" fontId="23" fillId="0" borderId="0" xfId="0" applyNumberFormat="1" applyFont="1"/>
    <xf numFmtId="8" fontId="23" fillId="0" borderId="0" xfId="0" applyNumberFormat="1" applyFont="1"/>
    <xf numFmtId="3" fontId="24" fillId="0" borderId="0" xfId="0" applyNumberFormat="1" applyFont="1" applyFill="1"/>
    <xf numFmtId="174" fontId="23" fillId="0" borderId="0" xfId="0" applyNumberFormat="1" applyFont="1"/>
    <xf numFmtId="3" fontId="23" fillId="0" borderId="1" xfId="0" applyNumberFormat="1" applyFont="1" applyBorder="1"/>
    <xf numFmtId="169" fontId="0" fillId="0" borderId="1" xfId="0" applyNumberFormat="1" applyFont="1" applyBorder="1"/>
    <xf numFmtId="0" fontId="23" fillId="0" borderId="0" xfId="0" applyFont="1" applyBorder="1"/>
    <xf numFmtId="3" fontId="23" fillId="0" borderId="2" xfId="0" applyNumberFormat="1" applyFont="1" applyBorder="1"/>
    <xf numFmtId="42" fontId="23" fillId="0" borderId="2" xfId="0" applyNumberFormat="1" applyFont="1" applyBorder="1"/>
    <xf numFmtId="0" fontId="23" fillId="0" borderId="0" xfId="0" applyFont="1" applyFill="1" applyBorder="1"/>
    <xf numFmtId="169" fontId="23" fillId="0" borderId="0" xfId="0" applyNumberFormat="1" applyFont="1" applyBorder="1"/>
    <xf numFmtId="0" fontId="23" fillId="0" borderId="0" xfId="0" quotePrefix="1" applyFont="1" applyAlignment="1">
      <alignment vertical="top"/>
    </xf>
    <xf numFmtId="0" fontId="14" fillId="0" borderId="0" xfId="0" applyFont="1"/>
    <xf numFmtId="0" fontId="23" fillId="0" borderId="0" xfId="0" applyFont="1" applyFill="1" applyBorder="1"/>
    <xf numFmtId="41" fontId="23" fillId="0" borderId="0" xfId="0" quotePrefix="1" applyNumberFormat="1" applyFont="1" applyAlignment="1">
      <alignment horizontal="right"/>
    </xf>
    <xf numFmtId="0" fontId="23" fillId="0" borderId="0" xfId="0" applyFont="1" applyFill="1" applyBorder="1" applyAlignment="1">
      <alignment horizontal="left"/>
    </xf>
    <xf numFmtId="3" fontId="23" fillId="0" borderId="0" xfId="0" applyNumberFormat="1" applyFont="1" applyFill="1" applyBorder="1"/>
    <xf numFmtId="0" fontId="4" fillId="0" borderId="0" xfId="0" applyFont="1" applyAlignment="1">
      <alignment horizontal="center"/>
    </xf>
    <xf numFmtId="167" fontId="9" fillId="0" borderId="0" xfId="0" applyNumberFormat="1" applyFont="1" applyFill="1"/>
    <xf numFmtId="0" fontId="18" fillId="0" borderId="0" xfId="0" applyFont="1" applyAlignment="1"/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Fill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4" fontId="19" fillId="0" borderId="0" xfId="0" applyNumberFormat="1" applyFont="1" applyFill="1" applyBorder="1" applyAlignment="1">
      <alignment horizontal="center"/>
    </xf>
    <xf numFmtId="169" fontId="18" fillId="0" borderId="0" xfId="0" applyNumberFormat="1" applyFont="1"/>
    <xf numFmtId="0" fontId="19" fillId="0" borderId="0" xfId="0" applyFont="1" applyFill="1" applyBorder="1" applyAlignment="1">
      <alignment horizontal="center"/>
    </xf>
    <xf numFmtId="166" fontId="19" fillId="0" borderId="0" xfId="0" applyNumberFormat="1" applyFont="1"/>
    <xf numFmtId="167" fontId="19" fillId="0" borderId="0" xfId="0" applyNumberFormat="1" applyFont="1"/>
    <xf numFmtId="169" fontId="18" fillId="0" borderId="1" xfId="0" applyNumberFormat="1" applyFont="1" applyBorder="1"/>
    <xf numFmtId="169" fontId="1" fillId="0" borderId="0" xfId="0" applyNumberFormat="1" applyFont="1"/>
    <xf numFmtId="167" fontId="19" fillId="0" borderId="0" xfId="0" applyNumberFormat="1" applyFont="1" applyFill="1"/>
    <xf numFmtId="166" fontId="19" fillId="0" borderId="0" xfId="0" applyNumberFormat="1" applyFont="1" applyFill="1"/>
    <xf numFmtId="0" fontId="18" fillId="0" borderId="0" xfId="0" applyFont="1" applyAlignment="1">
      <alignment wrapText="1"/>
    </xf>
    <xf numFmtId="166" fontId="18" fillId="0" borderId="0" xfId="0" applyNumberFormat="1" applyFont="1"/>
    <xf numFmtId="0" fontId="18" fillId="0" borderId="0" xfId="0" quotePrefix="1" applyFont="1" applyFill="1" applyAlignment="1">
      <alignment vertical="top"/>
    </xf>
    <xf numFmtId="0" fontId="18" fillId="0" borderId="0" xfId="0" applyFont="1" applyFill="1"/>
    <xf numFmtId="0" fontId="18" fillId="0" borderId="0" xfId="0" applyFont="1" applyFill="1" applyAlignment="1">
      <alignment wrapText="1"/>
    </xf>
    <xf numFmtId="0" fontId="18" fillId="0" borderId="1" xfId="0" applyFont="1" applyBorder="1" applyAlignment="1"/>
    <xf numFmtId="0" fontId="6" fillId="0" borderId="0" xfId="0" applyFont="1"/>
    <xf numFmtId="168" fontId="6" fillId="0" borderId="0" xfId="0" applyNumberFormat="1" applyFont="1"/>
    <xf numFmtId="168" fontId="6" fillId="0" borderId="0" xfId="0" applyNumberFormat="1" applyFont="1" applyAlignment="1">
      <alignment horizontal="left"/>
    </xf>
    <xf numFmtId="168" fontId="6" fillId="0" borderId="0" xfId="0" applyNumberFormat="1" applyFont="1"/>
    <xf numFmtId="168" fontId="0" fillId="0" borderId="0" xfId="0" applyNumberFormat="1" applyFont="1"/>
    <xf numFmtId="17" fontId="6" fillId="0" borderId="0" xfId="0" applyNumberFormat="1" applyFont="1"/>
    <xf numFmtId="43" fontId="19" fillId="0" borderId="0" xfId="0" applyNumberFormat="1" applyFont="1"/>
    <xf numFmtId="165" fontId="2" fillId="0" borderId="0" xfId="0" applyNumberFormat="1" applyFont="1"/>
    <xf numFmtId="165" fontId="19" fillId="0" borderId="0" xfId="0" applyNumberFormat="1" applyFont="1" applyBorder="1"/>
    <xf numFmtId="165" fontId="2" fillId="0" borderId="1" xfId="0" applyNumberFormat="1" applyFont="1" applyFill="1" applyBorder="1"/>
    <xf numFmtId="3" fontId="20" fillId="0" borderId="0" xfId="0" applyNumberFormat="1" applyFont="1"/>
    <xf numFmtId="3" fontId="20" fillId="0" borderId="0" xfId="0" applyNumberFormat="1" applyFont="1"/>
    <xf numFmtId="3" fontId="20" fillId="0" borderId="0" xfId="0" applyNumberFormat="1" applyFont="1" applyFill="1"/>
    <xf numFmtId="43" fontId="6" fillId="0" borderId="0" xfId="0" applyNumberFormat="1" applyFont="1"/>
    <xf numFmtId="44" fontId="23" fillId="0" borderId="0" xfId="0" applyNumberFormat="1" applyFont="1"/>
    <xf numFmtId="3" fontId="20" fillId="0" borderId="0" xfId="0" applyNumberFormat="1" applyFont="1"/>
    <xf numFmtId="0" fontId="20" fillId="0" borderId="0" xfId="0" applyFont="1" applyBorder="1" applyAlignment="1">
      <alignment horizontal="center"/>
    </xf>
    <xf numFmtId="0" fontId="20" fillId="0" borderId="0" xfId="0" applyFont="1"/>
    <xf numFmtId="0" fontId="0" fillId="0" borderId="0" xfId="0" applyFill="1" applyBorder="1" applyAlignment="1">
      <alignment horizontal="left"/>
    </xf>
    <xf numFmtId="0" fontId="25" fillId="0" borderId="0" xfId="0" applyFont="1" applyBorder="1" applyProtection="1">
      <protection locked="0"/>
    </xf>
    <xf numFmtId="0" fontId="0" fillId="0" borderId="0" xfId="0" applyFont="1" applyBorder="1"/>
    <xf numFmtId="0" fontId="4" fillId="0" borderId="0" xfId="0" applyFont="1" applyFill="1"/>
    <xf numFmtId="0" fontId="4" fillId="0" borderId="0" xfId="0" applyFont="1" applyBorder="1" applyProtection="1">
      <protection locked="0"/>
    </xf>
    <xf numFmtId="168" fontId="0" fillId="0" borderId="0" xfId="0" applyNumberFormat="1"/>
    <xf numFmtId="0" fontId="25" fillId="0" borderId="0" xfId="0" applyFont="1" applyFill="1"/>
    <xf numFmtId="168" fontId="0" fillId="0" borderId="0" xfId="0" applyNumberFormat="1" applyFont="1"/>
    <xf numFmtId="0" fontId="23" fillId="0" borderId="1" xfId="0" applyFont="1" applyBorder="1" applyAlignment="1">
      <alignment horizontal="center"/>
    </xf>
    <xf numFmtId="42" fontId="3" fillId="0" borderId="0" xfId="0" applyNumberFormat="1" applyFont="1"/>
    <xf numFmtId="3" fontId="20" fillId="0" borderId="0" xfId="0" quotePrefix="1" applyNumberFormat="1" applyFont="1" applyFill="1"/>
    <xf numFmtId="169" fontId="23" fillId="0" borderId="0" xfId="0" applyNumberFormat="1" applyFont="1"/>
    <xf numFmtId="0" fontId="18" fillId="0" borderId="0" xfId="0" applyFont="1" applyAlignment="1">
      <alignment horizontal="centerContinuous"/>
    </xf>
    <xf numFmtId="0" fontId="17" fillId="0" borderId="0" xfId="0" applyFont="1" applyAlignment="1">
      <alignment horizontal="centerContinuous"/>
    </xf>
    <xf numFmtId="169" fontId="18" fillId="0" borderId="2" xfId="0" applyNumberFormat="1" applyFont="1" applyBorder="1"/>
    <xf numFmtId="42" fontId="4" fillId="0" borderId="0" xfId="0" applyNumberFormat="1" applyFont="1"/>
    <xf numFmtId="42" fontId="4" fillId="0" borderId="2" xfId="0" applyNumberFormat="1" applyFont="1" applyBorder="1"/>
    <xf numFmtId="169" fontId="0" fillId="0" borderId="0" xfId="0" applyNumberFormat="1" applyFont="1" applyBorder="1"/>
    <xf numFmtId="169" fontId="6" fillId="0" borderId="0" xfId="0" applyNumberFormat="1" applyFont="1"/>
    <xf numFmtId="169" fontId="0" fillId="0" borderId="0" xfId="0" applyNumberFormat="1"/>
    <xf numFmtId="0" fontId="0" fillId="0" borderId="0" xfId="0" quotePrefix="1"/>
    <xf numFmtId="0" fontId="4" fillId="0" borderId="0" xfId="0" applyFont="1" applyAlignment="1">
      <alignment horizontal="centerContinuous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Border="1"/>
    <xf numFmtId="0" fontId="4" fillId="0" borderId="1" xfId="0" applyFont="1" applyFill="1" applyBorder="1" applyAlignment="1">
      <alignment horizontal="center"/>
    </xf>
    <xf numFmtId="0" fontId="25" fillId="0" borderId="0" xfId="0" applyFont="1" applyBorder="1" applyProtection="1">
      <protection locked="0"/>
    </xf>
    <xf numFmtId="0" fontId="4" fillId="0" borderId="0" xfId="0" applyFont="1" applyBorder="1"/>
    <xf numFmtId="3" fontId="4" fillId="0" borderId="0" xfId="0" applyNumberFormat="1" applyFont="1" applyBorder="1"/>
    <xf numFmtId="0" fontId="25" fillId="0" borderId="0" xfId="0" applyFont="1" applyFill="1" applyBorder="1" applyProtection="1">
      <protection locked="0"/>
    </xf>
    <xf numFmtId="0" fontId="25" fillId="0" borderId="0" xfId="0" applyFont="1" applyFill="1" applyBorder="1"/>
    <xf numFmtId="0" fontId="4" fillId="0" borderId="0" xfId="0" applyFont="1"/>
    <xf numFmtId="0" fontId="4" fillId="0" borderId="0" xfId="0" applyFont="1" applyBorder="1" applyProtection="1">
      <protection locked="0"/>
    </xf>
    <xf numFmtId="0" fontId="4" fillId="0" borderId="0" xfId="0" applyFont="1" applyBorder="1"/>
    <xf numFmtId="0" fontId="25" fillId="0" borderId="0" xfId="0" applyFont="1" applyFill="1" applyBorder="1" applyProtection="1">
      <protection locked="0"/>
    </xf>
    <xf numFmtId="0" fontId="4" fillId="0" borderId="0" xfId="0" applyFont="1" applyFill="1" applyBorder="1"/>
    <xf numFmtId="0" fontId="4" fillId="0" borderId="0" xfId="0" applyFont="1" applyFill="1" applyBorder="1" applyProtection="1">
      <protection locked="0"/>
    </xf>
    <xf numFmtId="3" fontId="3" fillId="0" borderId="0" xfId="0" applyNumberFormat="1" applyFont="1"/>
    <xf numFmtId="0" fontId="4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Continuous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0" xfId="0" applyFont="1" applyFill="1" applyBorder="1" applyProtection="1">
      <protection locked="0"/>
    </xf>
    <xf numFmtId="3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/>
    <xf numFmtId="0" fontId="4" fillId="0" borderId="0" xfId="0" applyFont="1" applyBorder="1"/>
    <xf numFmtId="169" fontId="4" fillId="0" borderId="0" xfId="0" applyNumberFormat="1" applyFont="1"/>
    <xf numFmtId="3" fontId="4" fillId="0" borderId="0" xfId="0" applyNumberFormat="1" applyFont="1"/>
    <xf numFmtId="44" fontId="2" fillId="0" borderId="0" xfId="0" applyNumberFormat="1" applyFont="1"/>
    <xf numFmtId="169" fontId="7" fillId="0" borderId="0" xfId="0" applyNumberFormat="1" applyFont="1" applyFill="1" applyBorder="1"/>
    <xf numFmtId="168" fontId="6" fillId="0" borderId="0" xfId="0" applyNumberFormat="1" applyFont="1"/>
    <xf numFmtId="0" fontId="7" fillId="0" borderId="0" xfId="0" applyFont="1" applyAlignment="1">
      <alignment horizontal="left"/>
    </xf>
    <xf numFmtId="3" fontId="3" fillId="0" borderId="0" xfId="0" applyNumberFormat="1" applyFont="1" applyFill="1"/>
    <xf numFmtId="0" fontId="27" fillId="0" borderId="0" xfId="0" applyFont="1" applyAlignment="1">
      <alignment horizontal="left"/>
    </xf>
    <xf numFmtId="166" fontId="12" fillId="0" borderId="0" xfId="0" applyNumberFormat="1" applyFont="1"/>
    <xf numFmtId="166" fontId="6" fillId="0" borderId="0" xfId="0" applyNumberFormat="1" applyFont="1"/>
    <xf numFmtId="17" fontId="6" fillId="0" borderId="0" xfId="0" applyNumberFormat="1" applyFont="1" applyBorder="1" applyAlignment="1">
      <alignment horizontal="center"/>
    </xf>
    <xf numFmtId="0" fontId="6" fillId="0" borderId="0" xfId="0" applyFont="1"/>
    <xf numFmtId="0" fontId="6" fillId="0" borderId="4" xfId="0" applyFont="1" applyBorder="1" applyAlignment="1">
      <alignment horizontal="center"/>
    </xf>
    <xf numFmtId="3" fontId="6" fillId="0" borderId="0" xfId="0" applyNumberFormat="1" applyFont="1"/>
    <xf numFmtId="3" fontId="20" fillId="0" borderId="0" xfId="0" applyNumberFormat="1" applyFont="1" applyBorder="1"/>
    <xf numFmtId="3" fontId="26" fillId="0" borderId="0" xfId="0" applyNumberFormat="1" applyFont="1" applyFill="1"/>
    <xf numFmtId="42" fontId="2" fillId="0" borderId="0" xfId="0" applyNumberFormat="1" applyFont="1"/>
    <xf numFmtId="3" fontId="3" fillId="0" borderId="0" xfId="0" applyNumberFormat="1" applyFont="1" applyBorder="1"/>
    <xf numFmtId="0" fontId="3" fillId="0" borderId="0" xfId="0" applyFont="1" applyBorder="1"/>
    <xf numFmtId="3" fontId="3" fillId="0" borderId="0" xfId="0" applyNumberFormat="1" applyFont="1" applyFill="1" applyBorder="1"/>
    <xf numFmtId="0" fontId="2" fillId="0" borderId="0" xfId="0" applyFont="1"/>
    <xf numFmtId="0" fontId="28" fillId="0" borderId="0" xfId="0" applyFont="1"/>
    <xf numFmtId="0" fontId="29" fillId="0" borderId="0" xfId="0" applyFont="1"/>
    <xf numFmtId="0" fontId="29" fillId="0" borderId="0" xfId="0" applyFont="1" applyAlignment="1">
      <alignment horizontal="left"/>
    </xf>
    <xf numFmtId="17" fontId="0" fillId="0" borderId="6" xfId="0" applyNumberFormat="1" applyBorder="1" applyAlignment="1">
      <alignment horizontal="center" vertical="top"/>
    </xf>
    <xf numFmtId="0" fontId="0" fillId="0" borderId="5" xfId="0" applyFill="1" applyBorder="1" applyAlignment="1">
      <alignment horizontal="center" vertical="top"/>
    </xf>
    <xf numFmtId="0" fontId="0" fillId="0" borderId="4" xfId="0" applyBorder="1" applyAlignment="1">
      <alignment horizontal="center"/>
    </xf>
    <xf numFmtId="0" fontId="11" fillId="0" borderId="0" xfId="0" applyFont="1" applyAlignment="1">
      <alignment wrapText="1"/>
    </xf>
    <xf numFmtId="17" fontId="6" fillId="0" borderId="4" xfId="0" applyNumberFormat="1" applyFont="1" applyBorder="1" applyAlignment="1">
      <alignment horizontal="center"/>
    </xf>
    <xf numFmtId="168" fontId="19" fillId="0" borderId="0" xfId="0" applyNumberFormat="1" applyFont="1"/>
    <xf numFmtId="168" fontId="20" fillId="0" borderId="0" xfId="0" applyNumberFormat="1" applyFont="1"/>
    <xf numFmtId="171" fontId="18" fillId="0" borderId="4" xfId="0" applyNumberFormat="1" applyFont="1" applyBorder="1" applyAlignment="1">
      <alignment wrapText="1"/>
    </xf>
    <xf numFmtId="10" fontId="0" fillId="0" borderId="0" xfId="0" applyNumberFormat="1" applyFont="1"/>
    <xf numFmtId="10" fontId="0" fillId="0" borderId="2" xfId="0" applyNumberFormat="1" applyFont="1" applyBorder="1"/>
    <xf numFmtId="10" fontId="0" fillId="0" borderId="0" xfId="0" applyNumberFormat="1"/>
    <xf numFmtId="0" fontId="1" fillId="0" borderId="0" xfId="0" applyFont="1" applyBorder="1" applyAlignment="1">
      <alignment horizontal="left"/>
    </xf>
    <xf numFmtId="166" fontId="0" fillId="0" borderId="0" xfId="0" applyNumberFormat="1" applyFont="1"/>
    <xf numFmtId="177" fontId="26" fillId="0" borderId="0" xfId="0" applyNumberFormat="1" applyFont="1" applyFill="1" applyBorder="1"/>
    <xf numFmtId="0" fontId="2" fillId="0" borderId="0" xfId="0" applyFont="1" applyBorder="1" applyAlignment="1">
      <alignment horizontal="center"/>
    </xf>
    <xf numFmtId="166" fontId="0" fillId="0" borderId="0" xfId="0" applyNumberFormat="1" applyFont="1" applyFill="1"/>
    <xf numFmtId="10" fontId="4" fillId="0" borderId="0" xfId="0" applyNumberFormat="1" applyFont="1"/>
    <xf numFmtId="168" fontId="0" fillId="0" borderId="4" xfId="0" applyNumberFormat="1" applyFont="1" applyBorder="1"/>
    <xf numFmtId="0" fontId="18" fillId="0" borderId="0" xfId="0" applyFont="1" applyAlignment="1">
      <alignment horizontal="center"/>
    </xf>
    <xf numFmtId="0" fontId="6" fillId="0" borderId="0" xfId="0" applyFont="1"/>
    <xf numFmtId="0" fontId="18" fillId="0" borderId="4" xfId="0" applyFont="1" applyBorder="1" applyAlignment="1"/>
    <xf numFmtId="0" fontId="18" fillId="0" borderId="4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169" fontId="18" fillId="0" borderId="4" xfId="0" applyNumberFormat="1" applyFont="1" applyBorder="1"/>
    <xf numFmtId="169" fontId="2" fillId="0" borderId="0" xfId="0" applyNumberFormat="1" applyFont="1"/>
    <xf numFmtId="168" fontId="0" fillId="0" borderId="4" xfId="0" applyNumberFormat="1" applyBorder="1"/>
    <xf numFmtId="168" fontId="0" fillId="0" borderId="0" xfId="4" applyNumberFormat="1" applyFont="1"/>
    <xf numFmtId="0" fontId="4" fillId="0" borderId="0" xfId="0" applyFont="1" applyAlignment="1">
      <alignment horizontal="center"/>
    </xf>
    <xf numFmtId="172" fontId="4" fillId="0" borderId="0" xfId="0" applyNumberFormat="1" applyFont="1" applyBorder="1"/>
    <xf numFmtId="0" fontId="4" fillId="0" borderId="4" xfId="0" applyFont="1" applyBorder="1" applyAlignment="1">
      <alignment horizontal="centerContinuous"/>
    </xf>
    <xf numFmtId="0" fontId="4" fillId="0" borderId="4" xfId="0" applyFont="1" applyBorder="1" applyAlignment="1">
      <alignment horizontal="center"/>
    </xf>
    <xf numFmtId="44" fontId="4" fillId="0" borderId="2" xfId="0" applyNumberFormat="1" applyFont="1" applyBorder="1"/>
    <xf numFmtId="0" fontId="2" fillId="0" borderId="4" xfId="0" applyFont="1" applyFill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167" fontId="7" fillId="0" borderId="0" xfId="0" applyNumberFormat="1" applyFont="1" applyFill="1" applyBorder="1"/>
    <xf numFmtId="168" fontId="7" fillId="0" borderId="0" xfId="0" applyNumberFormat="1" applyFont="1" applyFill="1"/>
    <xf numFmtId="0" fontId="7" fillId="0" borderId="4" xfId="0" applyFont="1" applyBorder="1" applyAlignment="1">
      <alignment horizontal="left"/>
    </xf>
    <xf numFmtId="168" fontId="7" fillId="0" borderId="2" xfId="0" applyNumberFormat="1" applyFont="1" applyFill="1" applyBorder="1"/>
    <xf numFmtId="42" fontId="0" fillId="0" borderId="0" xfId="0" applyNumberFormat="1" applyBorder="1"/>
    <xf numFmtId="0" fontId="0" fillId="0" borderId="0" xfId="0" applyBorder="1"/>
    <xf numFmtId="44" fontId="2" fillId="0" borderId="0" xfId="3" applyFont="1"/>
    <xf numFmtId="165" fontId="2" fillId="0" borderId="0" xfId="3" applyNumberFormat="1" applyFont="1"/>
    <xf numFmtId="44" fontId="2" fillId="0" borderId="0" xfId="3" applyNumberFormat="1" applyFont="1"/>
    <xf numFmtId="166" fontId="3" fillId="0" borderId="0" xfId="0" applyNumberFormat="1" applyFont="1"/>
    <xf numFmtId="0" fontId="6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9" fontId="3" fillId="0" borderId="0" xfId="3" applyNumberFormat="1" applyFont="1"/>
    <xf numFmtId="169" fontId="0" fillId="0" borderId="2" xfId="3" applyNumberFormat="1" applyFont="1" applyBorder="1"/>
    <xf numFmtId="169" fontId="7" fillId="0" borderId="0" xfId="3" applyNumberFormat="1" applyFont="1" applyFill="1" applyBorder="1"/>
    <xf numFmtId="169" fontId="7" fillId="0" borderId="2" xfId="3" applyNumberFormat="1" applyFont="1" applyBorder="1"/>
    <xf numFmtId="169" fontId="0" fillId="0" borderId="0" xfId="3" applyNumberFormat="1" applyFont="1"/>
    <xf numFmtId="169" fontId="7" fillId="0" borderId="0" xfId="3" applyNumberFormat="1" applyFont="1" applyBorder="1"/>
    <xf numFmtId="169" fontId="7" fillId="0" borderId="0" xfId="3" applyNumberFormat="1" applyFont="1" applyFill="1"/>
    <xf numFmtId="169" fontId="7" fillId="0" borderId="2" xfId="3" applyNumberFormat="1" applyFont="1" applyFill="1" applyBorder="1"/>
    <xf numFmtId="165" fontId="0" fillId="0" borderId="0" xfId="0" applyNumberFormat="1" applyBorder="1"/>
    <xf numFmtId="42" fontId="3" fillId="0" borderId="0" xfId="0" applyNumberFormat="1" applyFont="1" applyBorder="1"/>
    <xf numFmtId="10" fontId="0" fillId="0" borderId="0" xfId="0" applyNumberFormat="1" applyFont="1" applyBorder="1"/>
    <xf numFmtId="10" fontId="7" fillId="0" borderId="0" xfId="0" applyNumberFormat="1" applyFont="1" applyBorder="1"/>
    <xf numFmtId="10" fontId="0" fillId="0" borderId="0" xfId="0" applyNumberFormat="1" applyBorder="1"/>
    <xf numFmtId="0" fontId="0" fillId="0" borderId="0" xfId="0" applyFont="1" applyBorder="1" applyAlignment="1">
      <alignment horizontal="center"/>
    </xf>
    <xf numFmtId="42" fontId="0" fillId="0" borderId="0" xfId="0" applyNumberFormat="1" applyAlignment="1">
      <alignment horizontal="left"/>
    </xf>
    <xf numFmtId="42" fontId="7" fillId="0" borderId="0" xfId="0" applyNumberFormat="1" applyFont="1" applyBorder="1" applyAlignment="1">
      <alignment horizontal="left"/>
    </xf>
    <xf numFmtId="42" fontId="7" fillId="0" borderId="2" xfId="0" applyNumberFormat="1" applyFont="1" applyBorder="1" applyAlignment="1">
      <alignment horizontal="left"/>
    </xf>
    <xf numFmtId="169" fontId="7" fillId="0" borderId="2" xfId="0" applyNumberFormat="1" applyFont="1" applyBorder="1" applyAlignment="1">
      <alignment horizontal="left"/>
    </xf>
    <xf numFmtId="166" fontId="13" fillId="0" borderId="0" xfId="0" applyNumberFormat="1" applyFont="1" applyFill="1" applyBorder="1"/>
    <xf numFmtId="42" fontId="0" fillId="0" borderId="0" xfId="0" applyNumberFormat="1" applyFont="1"/>
    <xf numFmtId="42" fontId="13" fillId="0" borderId="0" xfId="0" applyNumberFormat="1" applyFont="1" applyBorder="1"/>
    <xf numFmtId="169" fontId="13" fillId="0" borderId="0" xfId="0" applyNumberFormat="1" applyFont="1" applyFill="1"/>
    <xf numFmtId="169" fontId="1" fillId="0" borderId="0" xfId="3" applyNumberFormat="1" applyFont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" xfId="0" applyFont="1" applyFill="1" applyBorder="1" applyAlignment="1">
      <alignment horizontal="center"/>
    </xf>
    <xf numFmtId="168" fontId="0" fillId="0" borderId="2" xfId="0" applyNumberFormat="1" applyBorder="1"/>
    <xf numFmtId="165" fontId="1" fillId="0" borderId="0" xfId="3" applyNumberFormat="1" applyFont="1"/>
    <xf numFmtId="165" fontId="0" fillId="0" borderId="2" xfId="3" applyNumberFormat="1" applyFont="1" applyBorder="1"/>
    <xf numFmtId="168" fontId="7" fillId="0" borderId="0" xfId="4" applyNumberFormat="1" applyFont="1" applyFill="1"/>
    <xf numFmtId="168" fontId="7" fillId="0" borderId="2" xfId="4" applyNumberFormat="1" applyFont="1" applyBorder="1" applyAlignment="1">
      <alignment horizontal="left"/>
    </xf>
    <xf numFmtId="168" fontId="7" fillId="0" borderId="0" xfId="0" applyNumberFormat="1" applyFont="1" applyBorder="1" applyAlignment="1">
      <alignment horizontal="left"/>
    </xf>
    <xf numFmtId="165" fontId="7" fillId="0" borderId="0" xfId="0" applyNumberFormat="1" applyFont="1" applyFill="1"/>
    <xf numFmtId="165" fontId="7" fillId="0" borderId="2" xfId="3" applyNumberFormat="1" applyFont="1" applyFill="1" applyBorder="1"/>
    <xf numFmtId="44" fontId="7" fillId="0" borderId="0" xfId="3" applyNumberFormat="1" applyFont="1" applyFill="1"/>
    <xf numFmtId="43" fontId="31" fillId="0" borderId="0" xfId="4" applyFont="1"/>
    <xf numFmtId="0" fontId="0" fillId="0" borderId="4" xfId="0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44" fontId="1" fillId="0" borderId="2" xfId="3" applyNumberFormat="1" applyFont="1" applyFill="1" applyBorder="1"/>
    <xf numFmtId="169" fontId="7" fillId="0" borderId="0" xfId="3" applyNumberFormat="1" applyFont="1" applyFill="1" applyBorder="1" applyAlignment="1">
      <alignment horizontal="center"/>
    </xf>
    <xf numFmtId="168" fontId="3" fillId="0" borderId="0" xfId="4" applyNumberFormat="1" applyFont="1" applyAlignment="1">
      <alignment horizontal="left"/>
    </xf>
    <xf numFmtId="42" fontId="3" fillId="0" borderId="0" xfId="0" applyNumberFormat="1" applyFont="1" applyAlignment="1">
      <alignment horizontal="left"/>
    </xf>
    <xf numFmtId="168" fontId="26" fillId="0" borderId="3" xfId="4" applyNumberFormat="1" applyFont="1" applyBorder="1" applyAlignment="1">
      <alignment horizontal="left"/>
    </xf>
    <xf numFmtId="42" fontId="26" fillId="0" borderId="2" xfId="0" applyNumberFormat="1" applyFont="1" applyBorder="1" applyAlignment="1">
      <alignment horizontal="left"/>
    </xf>
    <xf numFmtId="168" fontId="26" fillId="0" borderId="2" xfId="4" applyNumberFormat="1" applyFont="1" applyBorder="1" applyAlignment="1">
      <alignment horizontal="left"/>
    </xf>
    <xf numFmtId="0" fontId="0" fillId="0" borderId="4" xfId="0" applyBorder="1" applyAlignment="1">
      <alignment horizontal="center"/>
    </xf>
    <xf numFmtId="0" fontId="6" fillId="0" borderId="0" xfId="0" applyFont="1" applyAlignment="1">
      <alignment horizontal="center"/>
    </xf>
    <xf numFmtId="41" fontId="2" fillId="0" borderId="0" xfId="0" applyNumberFormat="1" applyFont="1"/>
    <xf numFmtId="168" fontId="0" fillId="0" borderId="7" xfId="0" applyNumberFormat="1" applyBorder="1"/>
    <xf numFmtId="171" fontId="6" fillId="0" borderId="0" xfId="0" applyNumberFormat="1" applyFont="1" applyAlignment="1">
      <alignment horizontal="center" wrapText="1"/>
    </xf>
    <xf numFmtId="9" fontId="20" fillId="0" borderId="0" xfId="7" applyFont="1"/>
    <xf numFmtId="9" fontId="6" fillId="0" borderId="0" xfId="7" applyFont="1"/>
    <xf numFmtId="9" fontId="0" fillId="0" borderId="0" xfId="7" applyFont="1"/>
    <xf numFmtId="9" fontId="19" fillId="0" borderId="0" xfId="7" applyFont="1"/>
    <xf numFmtId="9" fontId="3" fillId="0" borderId="0" xfId="7" applyFont="1"/>
    <xf numFmtId="168" fontId="2" fillId="0" borderId="0" xfId="0" applyNumberFormat="1" applyFont="1"/>
    <xf numFmtId="168" fontId="2" fillId="0" borderId="4" xfId="0" applyNumberFormat="1" applyFont="1" applyBorder="1"/>
    <xf numFmtId="171" fontId="6" fillId="0" borderId="4" xfId="0" applyNumberFormat="1" applyFont="1" applyBorder="1" applyAlignment="1">
      <alignment horizontal="center"/>
    </xf>
    <xf numFmtId="17" fontId="6" fillId="0" borderId="4" xfId="0" quotePrefix="1" applyNumberFormat="1" applyFont="1" applyBorder="1" applyAlignment="1">
      <alignment horizontal="center"/>
    </xf>
    <xf numFmtId="171" fontId="6" fillId="0" borderId="4" xfId="0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5" fontId="3" fillId="0" borderId="0" xfId="0" applyNumberFormat="1" applyFont="1"/>
    <xf numFmtId="0" fontId="4" fillId="0" borderId="4" xfId="0" applyFont="1" applyFill="1" applyBorder="1" applyAlignment="1">
      <alignment horizontal="centerContinuous"/>
    </xf>
    <xf numFmtId="44" fontId="3" fillId="0" borderId="0" xfId="0" applyNumberFormat="1" applyFont="1"/>
    <xf numFmtId="44" fontId="3" fillId="0" borderId="0" xfId="0" applyNumberFormat="1" applyFont="1" applyBorder="1"/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Fill="1" applyAlignment="1">
      <alignment horizontal="center"/>
    </xf>
    <xf numFmtId="0" fontId="0" fillId="0" borderId="4" xfId="0" applyBorder="1" applyAlignment="1">
      <alignment horizontal="center"/>
    </xf>
    <xf numFmtId="0" fontId="1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3" fillId="0" borderId="0" xfId="0" applyFont="1" applyAlignment="1">
      <alignment horizontal="center"/>
    </xf>
  </cellXfs>
  <cellStyles count="8">
    <cellStyle name="Comma" xfId="4" builtinId="3"/>
    <cellStyle name="Currency" xfId="3" builtinId="4"/>
    <cellStyle name="Normal" xfId="0" builtinId="0"/>
    <cellStyle name="Normal 2" xfId="1"/>
    <cellStyle name="Normal 2 16 2" xfId="5"/>
    <cellStyle name="Normal 2 2" xfId="2"/>
    <cellStyle name="Normal 2 3" xfId="6"/>
    <cellStyle name="Percent" xfId="7" builtinId="5"/>
  </cellStyles>
  <dxfs count="0"/>
  <tableStyles count="0" defaultTableStyle="TableStyleMedium2" defaultPivotStyle="PivotStyleLight16"/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4.xml"/><Relationship Id="rId47" Type="http://schemas.openxmlformats.org/officeDocument/2006/relationships/externalLink" Target="externalLinks/externalLink19.xml"/><Relationship Id="rId63" Type="http://schemas.openxmlformats.org/officeDocument/2006/relationships/externalLink" Target="externalLinks/externalLink35.xml"/><Relationship Id="rId68" Type="http://schemas.openxmlformats.org/officeDocument/2006/relationships/externalLink" Target="externalLinks/externalLink40.xml"/><Relationship Id="rId84" Type="http://schemas.openxmlformats.org/officeDocument/2006/relationships/externalLink" Target="externalLinks/externalLink56.xml"/><Relationship Id="rId89" Type="http://schemas.openxmlformats.org/officeDocument/2006/relationships/externalLink" Target="externalLinks/externalLink6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4.xml"/><Relationship Id="rId37" Type="http://schemas.openxmlformats.org/officeDocument/2006/relationships/externalLink" Target="externalLinks/externalLink9.xml"/><Relationship Id="rId53" Type="http://schemas.openxmlformats.org/officeDocument/2006/relationships/externalLink" Target="externalLinks/externalLink25.xml"/><Relationship Id="rId58" Type="http://schemas.openxmlformats.org/officeDocument/2006/relationships/externalLink" Target="externalLinks/externalLink30.xml"/><Relationship Id="rId74" Type="http://schemas.openxmlformats.org/officeDocument/2006/relationships/externalLink" Target="externalLinks/externalLink46.xml"/><Relationship Id="rId79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2.xml"/><Relationship Id="rId95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5.xml"/><Relationship Id="rId48" Type="http://schemas.openxmlformats.org/officeDocument/2006/relationships/externalLink" Target="externalLinks/externalLink20.xml"/><Relationship Id="rId64" Type="http://schemas.openxmlformats.org/officeDocument/2006/relationships/externalLink" Target="externalLinks/externalLink36.xml"/><Relationship Id="rId69" Type="http://schemas.openxmlformats.org/officeDocument/2006/relationships/externalLink" Target="externalLinks/externalLink41.xml"/><Relationship Id="rId80" Type="http://schemas.openxmlformats.org/officeDocument/2006/relationships/externalLink" Target="externalLinks/externalLink52.xml"/><Relationship Id="rId85" Type="http://schemas.openxmlformats.org/officeDocument/2006/relationships/externalLink" Target="externalLinks/externalLink5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18.xml"/><Relationship Id="rId59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39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3.xml"/><Relationship Id="rId54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34.xml"/><Relationship Id="rId70" Type="http://schemas.openxmlformats.org/officeDocument/2006/relationships/externalLink" Target="externalLinks/externalLink42.xml"/><Relationship Id="rId75" Type="http://schemas.openxmlformats.org/officeDocument/2006/relationships/externalLink" Target="externalLinks/externalLink47.xml"/><Relationship Id="rId83" Type="http://schemas.openxmlformats.org/officeDocument/2006/relationships/externalLink" Target="externalLinks/externalLink55.xml"/><Relationship Id="rId88" Type="http://schemas.openxmlformats.org/officeDocument/2006/relationships/externalLink" Target="externalLinks/externalLink60.xml"/><Relationship Id="rId91" Type="http://schemas.openxmlformats.org/officeDocument/2006/relationships/externalLink" Target="externalLinks/externalLink63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8.xml"/><Relationship Id="rId49" Type="http://schemas.openxmlformats.org/officeDocument/2006/relationships/externalLink" Target="externalLinks/externalLink21.xml"/><Relationship Id="rId57" Type="http://schemas.openxmlformats.org/officeDocument/2006/relationships/externalLink" Target="externalLinks/externalLink29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3.xml"/><Relationship Id="rId44" Type="http://schemas.openxmlformats.org/officeDocument/2006/relationships/externalLink" Target="externalLinks/externalLink16.xml"/><Relationship Id="rId52" Type="http://schemas.openxmlformats.org/officeDocument/2006/relationships/externalLink" Target="externalLinks/externalLink24.xml"/><Relationship Id="rId60" Type="http://schemas.openxmlformats.org/officeDocument/2006/relationships/externalLink" Target="externalLinks/externalLink32.xml"/><Relationship Id="rId65" Type="http://schemas.openxmlformats.org/officeDocument/2006/relationships/externalLink" Target="externalLinks/externalLink37.xml"/><Relationship Id="rId73" Type="http://schemas.openxmlformats.org/officeDocument/2006/relationships/externalLink" Target="externalLinks/externalLink45.xml"/><Relationship Id="rId78" Type="http://schemas.openxmlformats.org/officeDocument/2006/relationships/externalLink" Target="externalLinks/externalLink50.xml"/><Relationship Id="rId81" Type="http://schemas.openxmlformats.org/officeDocument/2006/relationships/externalLink" Target="externalLinks/externalLink53.xml"/><Relationship Id="rId86" Type="http://schemas.openxmlformats.org/officeDocument/2006/relationships/externalLink" Target="externalLinks/externalLink58.xml"/><Relationship Id="rId94" Type="http://schemas.openxmlformats.org/officeDocument/2006/relationships/styles" Target="styles.xml"/><Relationship Id="rId9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6.xml"/><Relationship Id="rId50" Type="http://schemas.openxmlformats.org/officeDocument/2006/relationships/externalLink" Target="externalLinks/externalLink22.xml"/><Relationship Id="rId55" Type="http://schemas.openxmlformats.org/officeDocument/2006/relationships/externalLink" Target="externalLinks/externalLink27.xml"/><Relationship Id="rId76" Type="http://schemas.openxmlformats.org/officeDocument/2006/relationships/externalLink" Target="externalLinks/externalLink48.xml"/><Relationship Id="rId9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3.xml"/><Relationship Id="rId92" Type="http://schemas.openxmlformats.org/officeDocument/2006/relationships/externalLink" Target="externalLinks/externalLink6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2.xml"/><Relationship Id="rId45" Type="http://schemas.openxmlformats.org/officeDocument/2006/relationships/externalLink" Target="externalLinks/externalLink17.xml"/><Relationship Id="rId66" Type="http://schemas.openxmlformats.org/officeDocument/2006/relationships/externalLink" Target="externalLinks/externalLink38.xml"/><Relationship Id="rId87" Type="http://schemas.openxmlformats.org/officeDocument/2006/relationships/externalLink" Target="externalLinks/externalLink59.xml"/><Relationship Id="rId61" Type="http://schemas.openxmlformats.org/officeDocument/2006/relationships/externalLink" Target="externalLinks/externalLink33.xml"/><Relationship Id="rId82" Type="http://schemas.openxmlformats.org/officeDocument/2006/relationships/externalLink" Target="externalLinks/externalLink5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2.xml"/><Relationship Id="rId35" Type="http://schemas.openxmlformats.org/officeDocument/2006/relationships/externalLink" Target="externalLinks/externalLink7.xml"/><Relationship Id="rId56" Type="http://schemas.openxmlformats.org/officeDocument/2006/relationships/externalLink" Target="externalLinks/externalLink28.xml"/><Relationship Id="rId77" Type="http://schemas.openxmlformats.org/officeDocument/2006/relationships/externalLink" Target="externalLinks/externalLink49.xml"/><Relationship Id="rId100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3.xml"/><Relationship Id="rId72" Type="http://schemas.openxmlformats.org/officeDocument/2006/relationships/externalLink" Target="externalLinks/externalLink44.xml"/><Relationship Id="rId93" Type="http://schemas.openxmlformats.org/officeDocument/2006/relationships/theme" Target="theme/theme1.xml"/><Relationship Id="rId98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7/Compliance%20Filing/Cost%20Of%20Service/2017%20Gas%20COSS%20September%20TY_Complianc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190529-30-PSE-WP-JDT-14-GAS-RATE-SPREAD-DESIGN-19GRC-01-2020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190529-30-PSE-WP-JAP-19-GAS-NORMALIZED-REVENUE-19GRC-01-2020(C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Spread"/>
      <sheetName val="Rate Design Res"/>
      <sheetName val="Rate Design C&amp;I"/>
      <sheetName val="Rate Design Int &amp; Trans"/>
      <sheetName val="Rate Design Rental"/>
      <sheetName val="Work Papers--&gt;"/>
      <sheetName val="Rate Design Targets"/>
      <sheetName val="Current ERF Rates"/>
    </sheetNames>
    <sheetDataSet>
      <sheetData sheetId="0"/>
      <sheetData sheetId="1">
        <row r="12">
          <cell r="H12">
            <v>11.52</v>
          </cell>
        </row>
        <row r="13">
          <cell r="H13">
            <v>0.44468000000000002</v>
          </cell>
        </row>
        <row r="14">
          <cell r="K14">
            <v>64991035.658858255</v>
          </cell>
        </row>
        <row r="25">
          <cell r="K25">
            <v>9.0024363636363667</v>
          </cell>
        </row>
        <row r="35">
          <cell r="K35">
            <v>1002.8200000000006</v>
          </cell>
        </row>
      </sheetData>
      <sheetData sheetId="2">
        <row r="15">
          <cell r="K15">
            <v>28963024.13000001</v>
          </cell>
        </row>
        <row r="27">
          <cell r="K27">
            <v>4335.4199999999983</v>
          </cell>
        </row>
        <row r="57">
          <cell r="K57">
            <v>1668734.2812285563</v>
          </cell>
        </row>
        <row r="79">
          <cell r="K79">
            <v>345393.63227352715</v>
          </cell>
        </row>
      </sheetData>
      <sheetData sheetId="3">
        <row r="21">
          <cell r="K21">
            <v>163450.74750719132</v>
          </cell>
        </row>
        <row r="42">
          <cell r="K42">
            <v>716705.91000000027</v>
          </cell>
        </row>
        <row r="80">
          <cell r="K80">
            <v>783.9199999999837</v>
          </cell>
        </row>
        <row r="99">
          <cell r="K99">
            <v>-776.07999999999993</v>
          </cell>
        </row>
        <row r="141">
          <cell r="K141">
            <v>366780.12999999989</v>
          </cell>
        </row>
        <row r="164">
          <cell r="K164">
            <v>1065989.42</v>
          </cell>
        </row>
        <row r="217">
          <cell r="K217">
            <v>38602.938156810822</v>
          </cell>
        </row>
      </sheetData>
      <sheetData sheetId="4">
        <row r="29">
          <cell r="J29">
            <v>-443824.04999999987</v>
          </cell>
        </row>
      </sheetData>
      <sheetData sheetId="5"/>
      <sheetData sheetId="6"/>
      <sheetData sheetId="7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Revenue Exhibit"/>
      <sheetName val="Margin Exhibit"/>
      <sheetName val="Gas Cost Exhibit"/>
      <sheetName val="Volume Exhibit"/>
      <sheetName val="Work Papers --&gt;"/>
      <sheetName val="Revenue Adj. Detail"/>
      <sheetName val="Rider&amp;Tracker Rev"/>
      <sheetName val="(C) Bills &amp; Demand Data"/>
      <sheetName val="Actual Therms"/>
      <sheetName val="(C) Actual Therms By Block"/>
      <sheetName val="(C) Rev at Actual Rates"/>
      <sheetName val="(C) Rev at 2018TR Rates"/>
      <sheetName val="(C) Rev at 2018PGA Rates"/>
      <sheetName val="(C) Norm Rev at 2018TR Rates"/>
      <sheetName val="Actual Rental Revenue"/>
      <sheetName val="Restated Rental Revenue"/>
      <sheetName val="2017 GRC Rates--&gt;"/>
      <sheetName val="Rate Design Res"/>
      <sheetName val="Rate Design C&amp;I"/>
      <sheetName val="Rate Design Int &amp; Trans"/>
      <sheetName val="Rate Design Rental"/>
      <sheetName val="Tax Reform Rates--&gt;"/>
      <sheetName val="Rate Design Res TR"/>
      <sheetName val="Rate Design C&amp;I_TR"/>
      <sheetName val="Rate Design Int &amp; Trans_TR"/>
      <sheetName val="Rate Design Rental_TR"/>
      <sheetName val="Weather Normalization--&gt;"/>
      <sheetName val="Weather Adj"/>
      <sheetName val="SystemWeatherAdj"/>
    </sheetNames>
    <sheetDataSet>
      <sheetData sheetId="0"/>
      <sheetData sheetId="1">
        <row r="29">
          <cell r="Q29">
            <v>5310380.6899999985</v>
          </cell>
        </row>
      </sheetData>
      <sheetData sheetId="2">
        <row r="12">
          <cell r="E12">
            <v>3067.7400000000002</v>
          </cell>
          <cell r="F12">
            <v>4786.8599999999988</v>
          </cell>
        </row>
        <row r="13">
          <cell r="E13">
            <v>199010934.92704672</v>
          </cell>
          <cell r="F13">
            <v>314232922.34728479</v>
          </cell>
        </row>
        <row r="14">
          <cell r="E14">
            <v>400.62480769999996</v>
          </cell>
          <cell r="F14">
            <v>45.174679900000058</v>
          </cell>
        </row>
        <row r="15">
          <cell r="E15">
            <v>74627492.587910756</v>
          </cell>
          <cell r="F15">
            <v>93351851.201542571</v>
          </cell>
        </row>
        <row r="16">
          <cell r="E16">
            <v>25.451974523568055</v>
          </cell>
          <cell r="F16">
            <v>21683.969272602408</v>
          </cell>
        </row>
        <row r="17">
          <cell r="E17">
            <v>19641243.467653014</v>
          </cell>
          <cell r="F17">
            <v>15357393.334420495</v>
          </cell>
        </row>
        <row r="18">
          <cell r="E18">
            <v>14344.634114351697</v>
          </cell>
          <cell r="F18">
            <v>4121663.298224709</v>
          </cell>
        </row>
        <row r="20">
          <cell r="E20">
            <v>4463767.6376989819</v>
          </cell>
          <cell r="F20">
            <v>1574656.0043214299</v>
          </cell>
        </row>
        <row r="21">
          <cell r="E21">
            <v>52341.475994479762</v>
          </cell>
          <cell r="F21">
            <v>6937069.4664573576</v>
          </cell>
        </row>
        <row r="22">
          <cell r="E22">
            <v>2604595.1595833455</v>
          </cell>
          <cell r="F22">
            <v>1991251.2003532224</v>
          </cell>
        </row>
        <row r="23">
          <cell r="E23">
            <v>245.90170499999999</v>
          </cell>
          <cell r="F23">
            <v>70956.431430000011</v>
          </cell>
        </row>
        <row r="24">
          <cell r="E24">
            <v>6311269.6705273287</v>
          </cell>
          <cell r="F24">
            <v>1086501.2115640081</v>
          </cell>
        </row>
        <row r="25">
          <cell r="E25">
            <v>70308.789862290869</v>
          </cell>
          <cell r="F25">
            <v>3532189.3071032236</v>
          </cell>
        </row>
        <row r="26">
          <cell r="F26">
            <v>1718916.583166973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B9">
            <v>1157860.787</v>
          </cell>
          <cell r="C9">
            <v>1062897.169</v>
          </cell>
          <cell r="D9">
            <v>1190628.3959999999</v>
          </cell>
          <cell r="E9">
            <v>1151419.365</v>
          </cell>
          <cell r="F9">
            <v>1077430.378</v>
          </cell>
          <cell r="G9">
            <v>966074.72600000002</v>
          </cell>
          <cell r="H9">
            <v>863644.65399999998</v>
          </cell>
          <cell r="I9">
            <v>850144.36899999995</v>
          </cell>
          <cell r="J9">
            <v>967051.33</v>
          </cell>
          <cell r="K9">
            <v>1134151.9990000001</v>
          </cell>
          <cell r="L9">
            <v>1072971.0560000001</v>
          </cell>
          <cell r="M9">
            <v>1130552.78</v>
          </cell>
        </row>
        <row r="10">
          <cell r="B10">
            <v>3303141.4559999998</v>
          </cell>
          <cell r="C10">
            <v>3137631.9730000002</v>
          </cell>
          <cell r="D10">
            <v>3158410.909</v>
          </cell>
          <cell r="E10">
            <v>2445868.233</v>
          </cell>
          <cell r="F10">
            <v>1638537.1980000001</v>
          </cell>
          <cell r="G10">
            <v>1355732.45</v>
          </cell>
          <cell r="H10">
            <v>1033411.358</v>
          </cell>
          <cell r="I10">
            <v>1082181.5919999999</v>
          </cell>
          <cell r="J10">
            <v>1409827.925</v>
          </cell>
          <cell r="K10">
            <v>2190772.8220000002</v>
          </cell>
          <cell r="L10">
            <v>2820768.46</v>
          </cell>
          <cell r="M10">
            <v>3282874.6510000001</v>
          </cell>
        </row>
        <row r="11">
          <cell r="B11">
            <v>2138653.3724791175</v>
          </cell>
          <cell r="C11">
            <v>2271409.9447280699</v>
          </cell>
          <cell r="D11">
            <v>1736758.5747423153</v>
          </cell>
          <cell r="E11">
            <v>1321449.657181114</v>
          </cell>
          <cell r="F11">
            <v>368191.58437554073</v>
          </cell>
          <cell r="G11">
            <v>1119831.2786159753</v>
          </cell>
          <cell r="H11">
            <v>-1313923.7375925758</v>
          </cell>
          <cell r="I11">
            <v>2154190.2371115973</v>
          </cell>
          <cell r="J11">
            <v>309807.62644091295</v>
          </cell>
          <cell r="K11">
            <v>649551.94653006364</v>
          </cell>
          <cell r="L11">
            <v>1091028.9237078894</v>
          </cell>
          <cell r="M11">
            <v>2806027.6621526228</v>
          </cell>
        </row>
        <row r="16">
          <cell r="B16">
            <v>65669.274000000005</v>
          </cell>
          <cell r="C16">
            <v>62094.766000000003</v>
          </cell>
          <cell r="D16">
            <v>67369.051000000007</v>
          </cell>
          <cell r="E16">
            <v>65894.456000000006</v>
          </cell>
          <cell r="F16">
            <v>64675.387999999999</v>
          </cell>
          <cell r="G16">
            <v>61151.807999999997</v>
          </cell>
          <cell r="H16">
            <v>61940.180999999997</v>
          </cell>
          <cell r="I16">
            <v>59770.63</v>
          </cell>
          <cell r="J16">
            <v>60770.59</v>
          </cell>
          <cell r="K16">
            <v>65126.904000000002</v>
          </cell>
          <cell r="L16">
            <v>63637.646999999997</v>
          </cell>
          <cell r="M16">
            <v>64926.135000000002</v>
          </cell>
        </row>
        <row r="17">
          <cell r="B17">
            <v>251095.27799999999</v>
          </cell>
          <cell r="C17">
            <v>239327.72</v>
          </cell>
          <cell r="D17">
            <v>254583.26</v>
          </cell>
          <cell r="E17">
            <v>240732.26</v>
          </cell>
          <cell r="F17">
            <v>216649.454</v>
          </cell>
          <cell r="G17">
            <v>200600.78700000001</v>
          </cell>
          <cell r="H17">
            <v>197316.31099999999</v>
          </cell>
          <cell r="I17">
            <v>198654.87700000001</v>
          </cell>
          <cell r="J17">
            <v>200092.91099999999</v>
          </cell>
          <cell r="K17">
            <v>226034.67800000001</v>
          </cell>
          <cell r="L17">
            <v>240614.43299999999</v>
          </cell>
          <cell r="M17">
            <v>247202.34099999999</v>
          </cell>
        </row>
        <row r="18">
          <cell r="B18">
            <v>721111.91931869742</v>
          </cell>
          <cell r="C18">
            <v>748507.73900000006</v>
          </cell>
          <cell r="D18">
            <v>389784.49800000014</v>
          </cell>
          <cell r="E18">
            <v>434328.647</v>
          </cell>
          <cell r="F18">
            <v>172537.92699999985</v>
          </cell>
          <cell r="G18">
            <v>766163.01296690747</v>
          </cell>
          <cell r="H18">
            <v>-219746.57479102738</v>
          </cell>
          <cell r="I18">
            <v>972433.89982411987</v>
          </cell>
          <cell r="J18">
            <v>407890.90300000011</v>
          </cell>
          <cell r="K18">
            <v>477679.51699999993</v>
          </cell>
          <cell r="L18">
            <v>564297.28200000024</v>
          </cell>
          <cell r="M18">
            <v>589228.62699999986</v>
          </cell>
        </row>
        <row r="23">
          <cell r="B23">
            <v>69360</v>
          </cell>
          <cell r="C23">
            <v>70980</v>
          </cell>
          <cell r="D23">
            <v>71100</v>
          </cell>
          <cell r="E23">
            <v>72000</v>
          </cell>
          <cell r="F23">
            <v>71141.990000000005</v>
          </cell>
          <cell r="G23">
            <v>73679.11</v>
          </cell>
          <cell r="H23">
            <v>73057.41</v>
          </cell>
          <cell r="I23">
            <v>73251.44</v>
          </cell>
          <cell r="J23">
            <v>73935.649999999994</v>
          </cell>
          <cell r="K23">
            <v>74550.95</v>
          </cell>
          <cell r="L23">
            <v>73800</v>
          </cell>
          <cell r="M23">
            <v>73800</v>
          </cell>
        </row>
        <row r="24">
          <cell r="B24">
            <v>278423.61</v>
          </cell>
          <cell r="C24">
            <v>284808.07</v>
          </cell>
          <cell r="D24">
            <v>280728.15999999997</v>
          </cell>
          <cell r="E24">
            <v>264094.78999999998</v>
          </cell>
          <cell r="F24">
            <v>236993.8</v>
          </cell>
          <cell r="G24">
            <v>237154.84</v>
          </cell>
          <cell r="H24">
            <v>224856.92</v>
          </cell>
          <cell r="I24">
            <v>224420.98</v>
          </cell>
          <cell r="J24">
            <v>234124.08</v>
          </cell>
          <cell r="K24">
            <v>272736.33</v>
          </cell>
          <cell r="L24">
            <v>284495.09999999998</v>
          </cell>
          <cell r="M24">
            <v>305615.93</v>
          </cell>
        </row>
        <row r="25">
          <cell r="B25">
            <v>1124062.7099999995</v>
          </cell>
          <cell r="C25">
            <v>1845207.34</v>
          </cell>
          <cell r="D25">
            <v>-86629.779999999679</v>
          </cell>
          <cell r="E25">
            <v>770592.11999999965</v>
          </cell>
          <cell r="F25">
            <v>772569.03</v>
          </cell>
          <cell r="G25">
            <v>698269.17999999993</v>
          </cell>
          <cell r="H25">
            <v>495677.02000000019</v>
          </cell>
          <cell r="I25">
            <v>921084.45999999961</v>
          </cell>
          <cell r="J25">
            <v>663953.42000000027</v>
          </cell>
          <cell r="K25">
            <v>812119.60499999998</v>
          </cell>
          <cell r="L25">
            <v>1106477.6750000003</v>
          </cell>
          <cell r="M25">
            <v>736785.26999999932</v>
          </cell>
        </row>
        <row r="30">
          <cell r="B30">
            <v>23430</v>
          </cell>
          <cell r="C30">
            <v>23400</v>
          </cell>
          <cell r="D30">
            <v>23400</v>
          </cell>
          <cell r="E30">
            <v>22500</v>
          </cell>
          <cell r="F30">
            <v>20700</v>
          </cell>
          <cell r="G30">
            <v>20700</v>
          </cell>
          <cell r="H30">
            <v>20601.21</v>
          </cell>
          <cell r="I30">
            <v>20705.490000000002</v>
          </cell>
          <cell r="J30">
            <v>20754.060000000001</v>
          </cell>
          <cell r="K30">
            <v>21529.65</v>
          </cell>
          <cell r="L30">
            <v>20700</v>
          </cell>
          <cell r="M30">
            <v>20700</v>
          </cell>
        </row>
        <row r="31">
          <cell r="B31">
            <v>105881.71</v>
          </cell>
          <cell r="C31">
            <v>104439.87</v>
          </cell>
          <cell r="D31">
            <v>104239.07</v>
          </cell>
          <cell r="E31">
            <v>100178.73</v>
          </cell>
          <cell r="F31">
            <v>91707.43</v>
          </cell>
          <cell r="G31">
            <v>89579.8</v>
          </cell>
          <cell r="H31">
            <v>89429.69</v>
          </cell>
          <cell r="I31">
            <v>91238.53</v>
          </cell>
          <cell r="J31">
            <v>90939.3</v>
          </cell>
          <cell r="K31">
            <v>93055.91</v>
          </cell>
          <cell r="L31">
            <v>91820.59</v>
          </cell>
          <cell r="M31">
            <v>93116.1</v>
          </cell>
        </row>
        <row r="32">
          <cell r="B32">
            <v>390353.69000000006</v>
          </cell>
          <cell r="C32">
            <v>937322.81999999972</v>
          </cell>
          <cell r="D32">
            <v>28815.750000000349</v>
          </cell>
          <cell r="E32">
            <v>454374.06999999983</v>
          </cell>
          <cell r="F32">
            <v>453212.19000000024</v>
          </cell>
          <cell r="G32">
            <v>351020.92999999976</v>
          </cell>
          <cell r="H32">
            <v>305051.94999999995</v>
          </cell>
          <cell r="I32">
            <v>553267.27000000014</v>
          </cell>
          <cell r="J32">
            <v>361645.97</v>
          </cell>
          <cell r="K32">
            <v>424641.71166666673</v>
          </cell>
          <cell r="L32">
            <v>433179.75833333342</v>
          </cell>
          <cell r="M32">
            <v>378128.75</v>
          </cell>
        </row>
        <row r="37">
          <cell r="B37">
            <v>619196.05900000001</v>
          </cell>
          <cell r="C37">
            <v>596871.32700000005</v>
          </cell>
          <cell r="D37">
            <v>628194.80700000003</v>
          </cell>
          <cell r="E37">
            <v>590443.04700000002</v>
          </cell>
          <cell r="F37">
            <v>535177.755</v>
          </cell>
          <cell r="G37">
            <v>468885.17200000002</v>
          </cell>
          <cell r="H37">
            <v>443831.57</v>
          </cell>
          <cell r="I37">
            <v>428218.26799999998</v>
          </cell>
          <cell r="J37">
            <v>466664.57299999997</v>
          </cell>
          <cell r="K37">
            <v>542784.20499999996</v>
          </cell>
          <cell r="L37">
            <v>569972.35800000001</v>
          </cell>
          <cell r="M37">
            <v>596222.05000000005</v>
          </cell>
        </row>
        <row r="38">
          <cell r="B38">
            <v>453670.63400000002</v>
          </cell>
          <cell r="C38">
            <v>395277.45</v>
          </cell>
          <cell r="D38">
            <v>414001.36099999998</v>
          </cell>
          <cell r="E38">
            <v>295900.73800000001</v>
          </cell>
          <cell r="F38">
            <v>251734.97399999999</v>
          </cell>
          <cell r="G38">
            <v>216769.435</v>
          </cell>
          <cell r="H38">
            <v>175131.28700000001</v>
          </cell>
          <cell r="I38">
            <v>190024.038</v>
          </cell>
          <cell r="J38">
            <v>225308.853</v>
          </cell>
          <cell r="K38">
            <v>283762.011</v>
          </cell>
          <cell r="L38">
            <v>326194.69799999997</v>
          </cell>
          <cell r="M38">
            <v>385924.52899999998</v>
          </cell>
        </row>
        <row r="39">
          <cell r="B39">
            <v>950074.20700000017</v>
          </cell>
          <cell r="C39">
            <v>-678113.18750000023</v>
          </cell>
          <cell r="D39">
            <v>837946.82799999975</v>
          </cell>
          <cell r="E39">
            <v>-5998.7155000001658</v>
          </cell>
          <cell r="F39">
            <v>78890.988000000012</v>
          </cell>
          <cell r="G39">
            <v>643620.07349999994</v>
          </cell>
          <cell r="H39">
            <v>194063.79799999995</v>
          </cell>
          <cell r="I39">
            <v>339692.821</v>
          </cell>
          <cell r="J39">
            <v>-45680.535499999998</v>
          </cell>
          <cell r="K39">
            <v>552120.125</v>
          </cell>
          <cell r="L39">
            <v>866818.95699999982</v>
          </cell>
          <cell r="M39">
            <v>327616.15399999998</v>
          </cell>
        </row>
        <row r="44">
          <cell r="B44">
            <v>100694.553</v>
          </cell>
          <cell r="C44">
            <v>95970.812999999995</v>
          </cell>
          <cell r="D44">
            <v>99781.682000000001</v>
          </cell>
          <cell r="E44">
            <v>100107.56</v>
          </cell>
          <cell r="F44">
            <v>91522.342999999993</v>
          </cell>
          <cell r="G44">
            <v>87325.294999999998</v>
          </cell>
          <cell r="H44">
            <v>87420.232999999993</v>
          </cell>
          <cell r="I44">
            <v>84955.983999999997</v>
          </cell>
          <cell r="J44">
            <v>87181.396999999997</v>
          </cell>
          <cell r="K44">
            <v>97589.463000000003</v>
          </cell>
          <cell r="L44">
            <v>99931.167000000001</v>
          </cell>
          <cell r="M44">
            <v>98679.991999999998</v>
          </cell>
        </row>
        <row r="45">
          <cell r="B45">
            <v>47232.860999999997</v>
          </cell>
          <cell r="C45">
            <v>41418.798999999999</v>
          </cell>
          <cell r="D45">
            <v>37198.016000000003</v>
          </cell>
          <cell r="E45">
            <v>47052.500999999997</v>
          </cell>
          <cell r="F45">
            <v>35115.035000000003</v>
          </cell>
          <cell r="G45">
            <v>26116.065999999999</v>
          </cell>
          <cell r="H45">
            <v>17378.296999999999</v>
          </cell>
          <cell r="I45">
            <v>27399.663</v>
          </cell>
          <cell r="J45">
            <v>23531.300999999999</v>
          </cell>
          <cell r="K45">
            <v>30406.374</v>
          </cell>
          <cell r="L45">
            <v>32106.988000000001</v>
          </cell>
          <cell r="M45">
            <v>42625.913999999997</v>
          </cell>
        </row>
        <row r="46">
          <cell r="B46">
            <v>-14033.147999999986</v>
          </cell>
          <cell r="C46">
            <v>19961.430500000017</v>
          </cell>
          <cell r="D46">
            <v>-32160.568499999994</v>
          </cell>
          <cell r="E46">
            <v>-59471.893749999988</v>
          </cell>
          <cell r="F46">
            <v>-42100.774750000011</v>
          </cell>
          <cell r="G46">
            <v>63134.720499999996</v>
          </cell>
          <cell r="H46">
            <v>29631.902750000008</v>
          </cell>
          <cell r="I46">
            <v>38316.401249999995</v>
          </cell>
          <cell r="J46">
            <v>-8982.794000000009</v>
          </cell>
          <cell r="K46">
            <v>19495.140000000014</v>
          </cell>
          <cell r="L46">
            <v>-29872.228000000003</v>
          </cell>
          <cell r="M46">
            <v>34588.859000000026</v>
          </cell>
        </row>
        <row r="51">
          <cell r="B51">
            <v>795648.58</v>
          </cell>
          <cell r="C51">
            <v>769515.8</v>
          </cell>
          <cell r="D51">
            <v>788760.82</v>
          </cell>
          <cell r="E51">
            <v>775878.28</v>
          </cell>
          <cell r="F51">
            <v>779542.12</v>
          </cell>
          <cell r="G51">
            <v>782090.09</v>
          </cell>
          <cell r="H51">
            <v>768423.58</v>
          </cell>
          <cell r="I51">
            <v>763186.72</v>
          </cell>
          <cell r="J51">
            <v>764600.1</v>
          </cell>
          <cell r="K51">
            <v>785087.26</v>
          </cell>
          <cell r="L51">
            <v>780276.71</v>
          </cell>
          <cell r="M51">
            <v>776596.75</v>
          </cell>
        </row>
        <row r="52">
          <cell r="B52">
            <v>542927.29</v>
          </cell>
          <cell r="C52">
            <v>521896.28</v>
          </cell>
          <cell r="D52">
            <v>553130.56999999995</v>
          </cell>
          <cell r="E52">
            <v>502540.24</v>
          </cell>
          <cell r="F52">
            <v>489533.2</v>
          </cell>
          <cell r="G52">
            <v>495352.57</v>
          </cell>
          <cell r="H52">
            <v>471637.41</v>
          </cell>
          <cell r="I52">
            <v>481182</v>
          </cell>
          <cell r="J52">
            <v>478999.1</v>
          </cell>
          <cell r="K52">
            <v>520849.77</v>
          </cell>
          <cell r="L52">
            <v>539999.15</v>
          </cell>
          <cell r="M52">
            <v>559676.5</v>
          </cell>
        </row>
        <row r="53">
          <cell r="B53">
            <v>779536.90999999968</v>
          </cell>
          <cell r="C53">
            <v>2713442.95</v>
          </cell>
          <cell r="D53">
            <v>-1234606.0700000003</v>
          </cell>
          <cell r="E53">
            <v>655498.62000000011</v>
          </cell>
          <cell r="F53">
            <v>425289.20999999973</v>
          </cell>
          <cell r="G53">
            <v>467882.45000000042</v>
          </cell>
          <cell r="H53">
            <v>441177.76</v>
          </cell>
          <cell r="I53">
            <v>1284494.0600000003</v>
          </cell>
          <cell r="J53">
            <v>-444680.25999999966</v>
          </cell>
          <cell r="K53">
            <v>760091.7033333329</v>
          </cell>
          <cell r="L53">
            <v>547991.87666666717</v>
          </cell>
          <cell r="M53">
            <v>819450.29999999981</v>
          </cell>
        </row>
        <row r="58">
          <cell r="B58">
            <v>1462114.96</v>
          </cell>
          <cell r="C58">
            <v>1504173.8</v>
          </cell>
          <cell r="D58">
            <v>1601952.22</v>
          </cell>
          <cell r="E58">
            <v>1597650.4</v>
          </cell>
          <cell r="F58">
            <v>1600042.06</v>
          </cell>
          <cell r="G58">
            <v>1608072.67</v>
          </cell>
          <cell r="H58">
            <v>1602012.46</v>
          </cell>
          <cell r="I58">
            <v>1590304.81</v>
          </cell>
          <cell r="J58">
            <v>1611003.43</v>
          </cell>
          <cell r="K58">
            <v>1645533.89</v>
          </cell>
          <cell r="L58">
            <v>1542536.25</v>
          </cell>
          <cell r="M58">
            <v>1428059.92</v>
          </cell>
        </row>
        <row r="59">
          <cell r="B59">
            <v>1038998.88</v>
          </cell>
          <cell r="C59">
            <v>947370.73</v>
          </cell>
          <cell r="D59">
            <v>1098021.3700000001</v>
          </cell>
          <cell r="E59">
            <v>1061605.1299999999</v>
          </cell>
          <cell r="F59">
            <v>1159432.25</v>
          </cell>
          <cell r="G59">
            <v>1071304.6599999999</v>
          </cell>
          <cell r="H59">
            <v>1087910.81</v>
          </cell>
          <cell r="I59">
            <v>1044598.91</v>
          </cell>
          <cell r="J59">
            <v>1073274.48</v>
          </cell>
          <cell r="K59">
            <v>1208193.81</v>
          </cell>
          <cell r="L59">
            <v>909585.15</v>
          </cell>
          <cell r="M59">
            <v>874252.46</v>
          </cell>
        </row>
        <row r="60">
          <cell r="B60">
            <v>2027714.7399999993</v>
          </cell>
          <cell r="C60">
            <v>5479875.7699999986</v>
          </cell>
          <cell r="D60">
            <v>-1708584.6899999995</v>
          </cell>
          <cell r="E60">
            <v>1292846.1000000001</v>
          </cell>
          <cell r="F60">
            <v>1781398.31</v>
          </cell>
          <cell r="G60">
            <v>1533124.7599999998</v>
          </cell>
          <cell r="H60">
            <v>1336521.2200000002</v>
          </cell>
          <cell r="I60">
            <v>1654688.6599999988</v>
          </cell>
          <cell r="J60">
            <v>1659910.63</v>
          </cell>
          <cell r="K60">
            <v>1836548.211666666</v>
          </cell>
          <cell r="L60">
            <v>1707629.0983333341</v>
          </cell>
          <cell r="M60">
            <v>1783494.3400000008</v>
          </cell>
        </row>
        <row r="65">
          <cell r="B65">
            <v>210017.342</v>
          </cell>
          <cell r="C65">
            <v>192508.152</v>
          </cell>
          <cell r="D65">
            <v>216360.37599999999</v>
          </cell>
          <cell r="E65">
            <v>203132.302</v>
          </cell>
          <cell r="F65">
            <v>162482.503</v>
          </cell>
          <cell r="G65">
            <v>123157.363</v>
          </cell>
          <cell r="H65">
            <v>86435.752999999997</v>
          </cell>
          <cell r="I65">
            <v>87632.289000000004</v>
          </cell>
          <cell r="J65">
            <v>136355.29800000001</v>
          </cell>
          <cell r="K65">
            <v>193894.08100000001</v>
          </cell>
          <cell r="L65">
            <v>191672.98499999999</v>
          </cell>
          <cell r="M65">
            <v>203239.495</v>
          </cell>
        </row>
        <row r="66">
          <cell r="B66">
            <v>966523.05529071973</v>
          </cell>
          <cell r="C66">
            <v>941429.29643429443</v>
          </cell>
          <cell r="D66">
            <v>827123.09455167665</v>
          </cell>
          <cell r="E66">
            <v>699128.98146046291</v>
          </cell>
          <cell r="F66">
            <v>350864.62448385498</v>
          </cell>
          <cell r="G66">
            <v>296235.95729915646</v>
          </cell>
          <cell r="H66">
            <v>134587.5569855627</v>
          </cell>
          <cell r="I66">
            <v>115498.27794923259</v>
          </cell>
          <cell r="J66">
            <v>150290.62607680407</v>
          </cell>
          <cell r="K66">
            <v>452263.67991755926</v>
          </cell>
          <cell r="L66">
            <v>603965.29648673371</v>
          </cell>
          <cell r="M66">
            <v>817872.75892851583</v>
          </cell>
        </row>
        <row r="71">
          <cell r="B71">
            <v>4058.5680000000002</v>
          </cell>
          <cell r="C71">
            <v>4688.7169999999996</v>
          </cell>
          <cell r="D71">
            <v>5155.1409999999996</v>
          </cell>
          <cell r="E71">
            <v>5215.2560000000003</v>
          </cell>
          <cell r="F71">
            <v>3869.3560000000002</v>
          </cell>
          <cell r="G71">
            <v>3194.134</v>
          </cell>
          <cell r="H71">
            <v>2335.8000000000002</v>
          </cell>
          <cell r="I71">
            <v>2776.384</v>
          </cell>
          <cell r="J71">
            <v>3057.7080000000001</v>
          </cell>
          <cell r="K71">
            <v>4160.5870000000004</v>
          </cell>
          <cell r="L71">
            <v>4757.6880000000001</v>
          </cell>
          <cell r="M71">
            <v>4093.989</v>
          </cell>
        </row>
        <row r="72">
          <cell r="B72">
            <v>14012.472000000002</v>
          </cell>
          <cell r="C72">
            <v>13843.429</v>
          </cell>
          <cell r="D72">
            <v>10298.576000000001</v>
          </cell>
          <cell r="E72">
            <v>18950.543999999998</v>
          </cell>
          <cell r="F72">
            <v>7447.8389999999999</v>
          </cell>
          <cell r="G72">
            <v>6612.6219999999994</v>
          </cell>
          <cell r="H72">
            <v>5710.2759999999998</v>
          </cell>
          <cell r="I72">
            <v>4718.3810000000012</v>
          </cell>
          <cell r="J72">
            <v>6957.5399999999991</v>
          </cell>
          <cell r="K72">
            <v>24913.016</v>
          </cell>
          <cell r="L72">
            <v>14875.689</v>
          </cell>
          <cell r="M72">
            <v>299904.88000000006</v>
          </cell>
        </row>
        <row r="77">
          <cell r="B77">
            <v>2000</v>
          </cell>
          <cell r="C77">
            <v>2000</v>
          </cell>
          <cell r="D77">
            <v>2000</v>
          </cell>
          <cell r="E77">
            <v>2000</v>
          </cell>
          <cell r="F77">
            <v>2000</v>
          </cell>
          <cell r="G77">
            <v>1930.91</v>
          </cell>
          <cell r="H77">
            <v>1405.28</v>
          </cell>
          <cell r="I77">
            <v>2000</v>
          </cell>
          <cell r="J77">
            <v>1675.55</v>
          </cell>
          <cell r="K77">
            <v>2000</v>
          </cell>
          <cell r="L77">
            <v>2000</v>
          </cell>
          <cell r="M77">
            <v>2000</v>
          </cell>
        </row>
        <row r="78">
          <cell r="B78">
            <v>47343.94</v>
          </cell>
          <cell r="C78">
            <v>93864.76</v>
          </cell>
          <cell r="D78">
            <v>-6606.1600000000035</v>
          </cell>
          <cell r="E78">
            <v>18571.190000000006</v>
          </cell>
          <cell r="F78">
            <v>26894.409999999993</v>
          </cell>
          <cell r="G78">
            <v>14865.7</v>
          </cell>
          <cell r="H78">
            <v>14950.530000000002</v>
          </cell>
          <cell r="I78">
            <v>11575.840000000002</v>
          </cell>
          <cell r="J78">
            <v>17245.48</v>
          </cell>
          <cell r="K78">
            <v>34888.018333333326</v>
          </cell>
          <cell r="L78">
            <v>28447.391666666674</v>
          </cell>
          <cell r="M78">
            <v>26235.309999999998</v>
          </cell>
        </row>
        <row r="83">
          <cell r="B83">
            <v>126044.556</v>
          </cell>
          <cell r="C83">
            <v>121455.628</v>
          </cell>
          <cell r="D83">
            <v>125000</v>
          </cell>
          <cell r="E83">
            <v>124138</v>
          </cell>
          <cell r="F83">
            <v>127528.666</v>
          </cell>
          <cell r="G83">
            <v>121720.43</v>
          </cell>
          <cell r="H83">
            <v>127474.97199999999</v>
          </cell>
          <cell r="I83">
            <v>127471.266</v>
          </cell>
          <cell r="J83">
            <v>123229.166</v>
          </cell>
          <cell r="K83">
            <v>126023.5</v>
          </cell>
          <cell r="L83">
            <v>125747.334</v>
          </cell>
          <cell r="M83">
            <v>124791.666</v>
          </cell>
        </row>
        <row r="84">
          <cell r="B84">
            <v>126044.005</v>
          </cell>
          <cell r="C84">
            <v>121455.628</v>
          </cell>
          <cell r="D84">
            <v>125000</v>
          </cell>
          <cell r="E84">
            <v>124138</v>
          </cell>
          <cell r="F84">
            <v>127528.666</v>
          </cell>
          <cell r="G84">
            <v>112863.99</v>
          </cell>
          <cell r="H84">
            <v>116478.465</v>
          </cell>
          <cell r="I84">
            <v>117538.98299999999</v>
          </cell>
          <cell r="J84">
            <v>123229.166</v>
          </cell>
          <cell r="K84">
            <v>126023.5</v>
          </cell>
          <cell r="L84">
            <v>125747.334</v>
          </cell>
          <cell r="M84">
            <v>124791.666</v>
          </cell>
        </row>
        <row r="85">
          <cell r="B85">
            <v>252089.111</v>
          </cell>
          <cell r="C85">
            <v>242911.25599999999</v>
          </cell>
          <cell r="D85">
            <v>250000</v>
          </cell>
          <cell r="E85">
            <v>248276</v>
          </cell>
          <cell r="F85">
            <v>197462.139</v>
          </cell>
          <cell r="G85">
            <v>175211.476</v>
          </cell>
          <cell r="H85">
            <v>162170.50099999999</v>
          </cell>
          <cell r="I85">
            <v>143109.87599999999</v>
          </cell>
          <cell r="J85">
            <v>179104.89199999999</v>
          </cell>
          <cell r="K85">
            <v>252047</v>
          </cell>
          <cell r="L85">
            <v>251494.666</v>
          </cell>
          <cell r="M85">
            <v>249583.334</v>
          </cell>
        </row>
        <row r="86">
          <cell r="B86">
            <v>394483.83799999999</v>
          </cell>
          <cell r="C86">
            <v>439683.32199999999</v>
          </cell>
          <cell r="D86">
            <v>443482.08899999998</v>
          </cell>
          <cell r="E86">
            <v>318372.07799999998</v>
          </cell>
          <cell r="F86">
            <v>167686.50099999999</v>
          </cell>
          <cell r="G86">
            <v>115520.219</v>
          </cell>
          <cell r="H86">
            <v>101089.102</v>
          </cell>
          <cell r="I86">
            <v>105912.84600000001</v>
          </cell>
          <cell r="J86">
            <v>137262.06</v>
          </cell>
          <cell r="K86">
            <v>241102.802</v>
          </cell>
          <cell r="L86">
            <v>336367.91100000002</v>
          </cell>
          <cell r="M86">
            <v>396153.761</v>
          </cell>
        </row>
        <row r="87">
          <cell r="B87">
            <v>336549.57699999999</v>
          </cell>
          <cell r="C87">
            <v>311044.71799999999</v>
          </cell>
          <cell r="D87">
            <v>310532.62800000003</v>
          </cell>
          <cell r="E87">
            <v>310431.10800000001</v>
          </cell>
          <cell r="F87">
            <v>300000</v>
          </cell>
          <cell r="G87">
            <v>300000</v>
          </cell>
          <cell r="H87">
            <v>300000</v>
          </cell>
          <cell r="I87">
            <v>300000</v>
          </cell>
          <cell r="J87">
            <v>300000</v>
          </cell>
          <cell r="K87">
            <v>300000</v>
          </cell>
          <cell r="L87">
            <v>323394.09700000001</v>
          </cell>
          <cell r="M87">
            <v>347184.614</v>
          </cell>
        </row>
        <row r="88">
          <cell r="B88">
            <v>1674398.5970000008</v>
          </cell>
          <cell r="C88">
            <v>1701771.9609999992</v>
          </cell>
          <cell r="D88">
            <v>1133673.1035000004</v>
          </cell>
          <cell r="E88">
            <v>-1041181.52725</v>
          </cell>
          <cell r="F88">
            <v>1090218.9275</v>
          </cell>
          <cell r="G88">
            <v>958369.25324999983</v>
          </cell>
          <cell r="H88">
            <v>575140.96725000022</v>
          </cell>
          <cell r="I88">
            <v>859321.86974999995</v>
          </cell>
          <cell r="J88">
            <v>441632.13800000004</v>
          </cell>
          <cell r="K88">
            <v>1208840.693</v>
          </cell>
          <cell r="L88">
            <v>811127.15099999984</v>
          </cell>
          <cell r="M88">
            <v>794068.06699999981</v>
          </cell>
        </row>
        <row r="103">
          <cell r="B103">
            <v>75000</v>
          </cell>
          <cell r="C103">
            <v>75000</v>
          </cell>
          <cell r="D103">
            <v>75000</v>
          </cell>
          <cell r="E103">
            <v>75000</v>
          </cell>
          <cell r="F103">
            <v>75000</v>
          </cell>
          <cell r="G103">
            <v>75000</v>
          </cell>
          <cell r="H103">
            <v>75000</v>
          </cell>
          <cell r="I103">
            <v>75000</v>
          </cell>
          <cell r="J103">
            <v>75000</v>
          </cell>
          <cell r="K103">
            <v>75000</v>
          </cell>
          <cell r="L103">
            <v>75000</v>
          </cell>
          <cell r="M103">
            <v>75000</v>
          </cell>
        </row>
        <row r="104">
          <cell r="B104">
            <v>75000</v>
          </cell>
          <cell r="C104">
            <v>75000</v>
          </cell>
          <cell r="D104">
            <v>75000</v>
          </cell>
          <cell r="E104">
            <v>75000</v>
          </cell>
          <cell r="F104">
            <v>75000</v>
          </cell>
          <cell r="G104">
            <v>75000</v>
          </cell>
          <cell r="H104">
            <v>75000</v>
          </cell>
          <cell r="I104">
            <v>75000</v>
          </cell>
          <cell r="J104">
            <v>75000</v>
          </cell>
          <cell r="K104">
            <v>75000</v>
          </cell>
          <cell r="L104">
            <v>75000</v>
          </cell>
          <cell r="M104">
            <v>75000</v>
          </cell>
        </row>
        <row r="105">
          <cell r="B105">
            <v>150000</v>
          </cell>
          <cell r="C105">
            <v>150000</v>
          </cell>
          <cell r="D105">
            <v>150000</v>
          </cell>
          <cell r="E105">
            <v>150000</v>
          </cell>
          <cell r="F105">
            <v>150000</v>
          </cell>
          <cell r="G105">
            <v>150000</v>
          </cell>
          <cell r="H105">
            <v>134439.38</v>
          </cell>
          <cell r="I105">
            <v>150000</v>
          </cell>
          <cell r="J105">
            <v>150000</v>
          </cell>
          <cell r="K105">
            <v>150000</v>
          </cell>
          <cell r="L105">
            <v>150000</v>
          </cell>
          <cell r="M105">
            <v>150000</v>
          </cell>
        </row>
        <row r="106">
          <cell r="B106">
            <v>300000</v>
          </cell>
          <cell r="C106">
            <v>285133.58</v>
          </cell>
          <cell r="D106">
            <v>300000</v>
          </cell>
          <cell r="E106">
            <v>298043.53000000003</v>
          </cell>
          <cell r="F106">
            <v>296265.65999999997</v>
          </cell>
          <cell r="G106">
            <v>273725.57</v>
          </cell>
          <cell r="H106">
            <v>200000</v>
          </cell>
          <cell r="I106">
            <v>245505.38</v>
          </cell>
          <cell r="J106">
            <v>262469.55</v>
          </cell>
          <cell r="K106">
            <v>299566.06</v>
          </cell>
          <cell r="L106">
            <v>298480</v>
          </cell>
          <cell r="M106">
            <v>296939.21999999997</v>
          </cell>
        </row>
        <row r="107">
          <cell r="B107">
            <v>400382.23</v>
          </cell>
          <cell r="C107">
            <v>416073.24</v>
          </cell>
          <cell r="D107">
            <v>403591.12</v>
          </cell>
          <cell r="E107">
            <v>353892.31</v>
          </cell>
          <cell r="F107">
            <v>308957.49</v>
          </cell>
          <cell r="G107">
            <v>305164.2</v>
          </cell>
          <cell r="H107">
            <v>316718.03999999998</v>
          </cell>
          <cell r="I107">
            <v>333070.31</v>
          </cell>
          <cell r="J107">
            <v>304155.96000000002</v>
          </cell>
          <cell r="K107">
            <v>320324.31</v>
          </cell>
          <cell r="L107">
            <v>366069.63</v>
          </cell>
          <cell r="M107">
            <v>430873.36</v>
          </cell>
        </row>
        <row r="108">
          <cell r="B108">
            <v>951077.64000000013</v>
          </cell>
          <cell r="C108">
            <v>2911951.6799999988</v>
          </cell>
          <cell r="D108">
            <v>-1098213.0199999991</v>
          </cell>
          <cell r="E108">
            <v>647925.03999999957</v>
          </cell>
          <cell r="F108">
            <v>373466.69999999995</v>
          </cell>
          <cell r="G108">
            <v>289151.18000000017</v>
          </cell>
          <cell r="H108">
            <v>213370.09999999998</v>
          </cell>
          <cell r="I108">
            <v>214868.37999999989</v>
          </cell>
          <cell r="J108">
            <v>260456.12000000011</v>
          </cell>
          <cell r="K108">
            <v>943862.96</v>
          </cell>
          <cell r="L108">
            <v>149214.07999999996</v>
          </cell>
          <cell r="M108">
            <v>885604.89000000071</v>
          </cell>
        </row>
        <row r="113">
          <cell r="B113">
            <v>175000</v>
          </cell>
          <cell r="C113">
            <v>175000</v>
          </cell>
          <cell r="D113">
            <v>175000</v>
          </cell>
          <cell r="E113">
            <v>175000</v>
          </cell>
          <cell r="F113">
            <v>175000</v>
          </cell>
          <cell r="G113">
            <v>175000</v>
          </cell>
          <cell r="H113">
            <v>175000</v>
          </cell>
          <cell r="I113">
            <v>175000</v>
          </cell>
          <cell r="J113">
            <v>175000</v>
          </cell>
          <cell r="K113">
            <v>175000</v>
          </cell>
          <cell r="L113">
            <v>175000</v>
          </cell>
          <cell r="M113">
            <v>175000</v>
          </cell>
        </row>
        <row r="114">
          <cell r="B114">
            <v>175000</v>
          </cell>
          <cell r="C114">
            <v>175000</v>
          </cell>
          <cell r="D114">
            <v>175000</v>
          </cell>
          <cell r="E114">
            <v>175000</v>
          </cell>
          <cell r="F114">
            <v>175000</v>
          </cell>
          <cell r="G114">
            <v>175000</v>
          </cell>
          <cell r="H114">
            <v>175000</v>
          </cell>
          <cell r="I114">
            <v>175000</v>
          </cell>
          <cell r="J114">
            <v>175000</v>
          </cell>
          <cell r="K114">
            <v>175000</v>
          </cell>
          <cell r="L114">
            <v>175000</v>
          </cell>
          <cell r="M114">
            <v>175000</v>
          </cell>
        </row>
        <row r="115">
          <cell r="B115">
            <v>350000</v>
          </cell>
          <cell r="C115">
            <v>350000</v>
          </cell>
          <cell r="D115">
            <v>350000</v>
          </cell>
          <cell r="E115">
            <v>350000</v>
          </cell>
          <cell r="F115">
            <v>350000</v>
          </cell>
          <cell r="G115">
            <v>350000</v>
          </cell>
          <cell r="H115">
            <v>350000</v>
          </cell>
          <cell r="I115">
            <v>350000</v>
          </cell>
          <cell r="J115">
            <v>350000</v>
          </cell>
          <cell r="K115">
            <v>349316.1</v>
          </cell>
          <cell r="L115">
            <v>350000</v>
          </cell>
          <cell r="M115">
            <v>350000</v>
          </cell>
        </row>
        <row r="116">
          <cell r="B116">
            <v>700000</v>
          </cell>
          <cell r="C116">
            <v>700000</v>
          </cell>
          <cell r="D116">
            <v>700000</v>
          </cell>
          <cell r="E116">
            <v>700000</v>
          </cell>
          <cell r="F116">
            <v>700000</v>
          </cell>
          <cell r="G116">
            <v>700000</v>
          </cell>
          <cell r="H116">
            <v>700000</v>
          </cell>
          <cell r="I116">
            <v>700000</v>
          </cell>
          <cell r="J116">
            <v>691062.3</v>
          </cell>
          <cell r="K116">
            <v>690322</v>
          </cell>
          <cell r="L116">
            <v>700000</v>
          </cell>
          <cell r="M116">
            <v>700000</v>
          </cell>
        </row>
        <row r="117">
          <cell r="B117">
            <v>1870856.82</v>
          </cell>
          <cell r="C117">
            <v>1835996.53</v>
          </cell>
          <cell r="D117">
            <v>1852529.04</v>
          </cell>
          <cell r="E117">
            <v>1849111.29</v>
          </cell>
          <cell r="F117">
            <v>1838962.32</v>
          </cell>
          <cell r="G117">
            <v>1829849.35</v>
          </cell>
          <cell r="H117">
            <v>1842102.79</v>
          </cell>
          <cell r="I117">
            <v>1829452.55</v>
          </cell>
          <cell r="J117">
            <v>1800000</v>
          </cell>
          <cell r="K117">
            <v>1798430.93</v>
          </cell>
          <cell r="L117">
            <v>1822543.82</v>
          </cell>
          <cell r="M117">
            <v>1824499.37</v>
          </cell>
        </row>
        <row r="118">
          <cell r="B118">
            <v>3257339.2699999996</v>
          </cell>
          <cell r="C118">
            <v>8682647.7600000016</v>
          </cell>
          <cell r="D118">
            <v>-579755.37999999896</v>
          </cell>
          <cell r="E118">
            <v>3366516.3099999996</v>
          </cell>
          <cell r="F118">
            <v>3714551.6899999976</v>
          </cell>
          <cell r="G118">
            <v>3252523.850000001</v>
          </cell>
          <cell r="H118">
            <v>4361843.0399999991</v>
          </cell>
          <cell r="I118">
            <v>4369914.9399999995</v>
          </cell>
          <cell r="J118">
            <v>3366864.6700000009</v>
          </cell>
          <cell r="K118">
            <v>3807678.2299999995</v>
          </cell>
          <cell r="L118">
            <v>1822804.5199999996</v>
          </cell>
          <cell r="M118">
            <v>3766970.1799999988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49">
          <cell r="D149">
            <v>93421350.850518093</v>
          </cell>
          <cell r="E149">
            <v>80765756.743281141</v>
          </cell>
          <cell r="F149">
            <v>73588981.052105859</v>
          </cell>
          <cell r="G149">
            <v>54225390.576538458</v>
          </cell>
          <cell r="H149">
            <v>29283078.131864034</v>
          </cell>
          <cell r="I149">
            <v>20073081.825583894</v>
          </cell>
          <cell r="J149">
            <v>13034137.192011889</v>
          </cell>
          <cell r="K149">
            <v>12666894.05795379</v>
          </cell>
          <cell r="L149">
            <v>18783605.989420865</v>
          </cell>
          <cell r="M149">
            <v>44226800.543073878</v>
          </cell>
          <cell r="N149">
            <v>71485047.417921156</v>
          </cell>
          <cell r="O149">
            <v>97694107.449045002</v>
          </cell>
        </row>
        <row r="151">
          <cell r="D151">
            <v>7138483.6359062623</v>
          </cell>
          <cell r="E151">
            <v>6136791.0465797381</v>
          </cell>
          <cell r="F151">
            <v>6145773.8657253934</v>
          </cell>
          <cell r="G151">
            <v>5051832.9411827782</v>
          </cell>
          <cell r="H151">
            <v>3577705.5289383424</v>
          </cell>
          <cell r="I151">
            <v>3556045.3133359756</v>
          </cell>
          <cell r="J151">
            <v>583132.27440742427</v>
          </cell>
          <cell r="K151">
            <v>4086516.1981115974</v>
          </cell>
          <cell r="L151">
            <v>2733321.9768797453</v>
          </cell>
          <cell r="M151">
            <v>4055490.9033541624</v>
          </cell>
          <cell r="N151">
            <v>5428804.2071765428</v>
          </cell>
          <cell r="O151">
            <v>7725769.3354529981</v>
          </cell>
        </row>
        <row r="152">
          <cell r="D152">
            <v>1517290.8358492109</v>
          </cell>
          <cell r="E152">
            <v>1910098.888554889</v>
          </cell>
          <cell r="F152">
            <v>533209.04715784488</v>
          </cell>
          <cell r="G152">
            <v>1117710.7437733328</v>
          </cell>
          <cell r="H152">
            <v>1112297.0193041251</v>
          </cell>
          <cell r="I152">
            <v>1009103.13</v>
          </cell>
          <cell r="J152">
            <v>793591.35000000021</v>
          </cell>
          <cell r="K152">
            <v>1218756.8799999997</v>
          </cell>
          <cell r="L152">
            <v>972013.15000000026</v>
          </cell>
          <cell r="M152">
            <v>1167507.5621358335</v>
          </cell>
          <cell r="N152">
            <v>1502370.1186755528</v>
          </cell>
          <cell r="O152">
            <v>1162623.7236230662</v>
          </cell>
        </row>
        <row r="153">
          <cell r="D153">
            <v>2198771.3494236665</v>
          </cell>
          <cell r="E153">
            <v>3033223.9602066674</v>
          </cell>
          <cell r="F153">
            <v>1050110.1963617501</v>
          </cell>
          <cell r="G153">
            <v>1952321.8321941665</v>
          </cell>
          <cell r="H153">
            <v>1770145.4041726666</v>
          </cell>
          <cell r="I153">
            <v>1764807.7141272505</v>
          </cell>
          <cell r="J153">
            <v>1681238.75</v>
          </cell>
          <cell r="K153">
            <v>2528862.7799999998</v>
          </cell>
          <cell r="L153">
            <v>798918.94000000018</v>
          </cell>
          <cell r="M153">
            <v>2078624.5863604164</v>
          </cell>
          <cell r="N153">
            <v>1929300.8412001668</v>
          </cell>
          <cell r="O153">
            <v>2234038.1209243336</v>
          </cell>
        </row>
        <row r="154">
          <cell r="D154">
            <v>2092826.2982450004</v>
          </cell>
          <cell r="E154">
            <v>3843764.2599916658</v>
          </cell>
          <cell r="F154">
            <v>-90487.813376664955</v>
          </cell>
          <cell r="G154">
            <v>1632569.7247583321</v>
          </cell>
          <cell r="H154">
            <v>1411925.1257483335</v>
          </cell>
          <cell r="I154">
            <v>1194259.8565600002</v>
          </cell>
          <cell r="J154">
            <v>1014527.5199999999</v>
          </cell>
          <cell r="K154">
            <v>1093444.0699999998</v>
          </cell>
          <cell r="L154">
            <v>1127081.6300000001</v>
          </cell>
          <cell r="M154">
            <v>1880988.38375</v>
          </cell>
          <cell r="N154">
            <v>1223162.0913054161</v>
          </cell>
          <cell r="O154">
            <v>2052132.9377191681</v>
          </cell>
        </row>
        <row r="155">
          <cell r="D155">
            <v>2152174.8373305555</v>
          </cell>
          <cell r="E155">
            <v>241959.57300000009</v>
          </cell>
          <cell r="F155">
            <v>1884446.9427701395</v>
          </cell>
          <cell r="G155">
            <v>917598.22596249927</v>
          </cell>
          <cell r="H155">
            <v>994070.65807222261</v>
          </cell>
          <cell r="I155">
            <v>1329274.6805</v>
          </cell>
          <cell r="J155">
            <v>813026.65500000003</v>
          </cell>
          <cell r="K155">
            <v>957935.12699999998</v>
          </cell>
          <cell r="L155">
            <v>646292.89049999998</v>
          </cell>
          <cell r="M155">
            <v>1398583.9659000002</v>
          </cell>
          <cell r="N155">
            <v>1865316.5174429994</v>
          </cell>
          <cell r="O155">
            <v>1426504.6511706673</v>
          </cell>
        </row>
        <row r="156">
          <cell r="D156">
            <v>1308849.7421596199</v>
          </cell>
          <cell r="E156">
            <v>1031268.8952697113</v>
          </cell>
          <cell r="F156">
            <v>1072533.9750276776</v>
          </cell>
          <cell r="G156">
            <v>941063.79035049549</v>
          </cell>
          <cell r="H156">
            <v>662987.38321747456</v>
          </cell>
          <cell r="I156">
            <v>453237.04854248144</v>
          </cell>
          <cell r="J156">
            <v>221023.30998556269</v>
          </cell>
          <cell r="K156">
            <v>203130.5669492326</v>
          </cell>
          <cell r="L156">
            <v>303542.57354155363</v>
          </cell>
          <cell r="M156">
            <v>670171.74989394844</v>
          </cell>
          <cell r="N156">
            <v>912227.59031208721</v>
          </cell>
          <cell r="O156">
            <v>1141555.0556765082</v>
          </cell>
        </row>
        <row r="157">
          <cell r="D157">
            <v>3082429.4890472237</v>
          </cell>
          <cell r="E157">
            <v>1082090.9661666662</v>
          </cell>
          <cell r="F157">
            <v>4162340.8524916675</v>
          </cell>
          <cell r="G157">
            <v>128297.16925555449</v>
          </cell>
          <cell r="H157">
            <v>2160675.2354277777</v>
          </cell>
          <cell r="I157">
            <v>1783685.3682499998</v>
          </cell>
          <cell r="J157">
            <v>1382354.0072500003</v>
          </cell>
          <cell r="K157">
            <v>1653354.8407499997</v>
          </cell>
          <cell r="L157">
            <v>1304457.4219999998</v>
          </cell>
          <cell r="M157">
            <v>2279808.7720833337</v>
          </cell>
          <cell r="N157">
            <v>2114393.5197826382</v>
          </cell>
          <cell r="O157">
            <v>2203154.475995834</v>
          </cell>
        </row>
        <row r="159">
          <cell r="D159">
            <v>1070724.6580725086</v>
          </cell>
          <cell r="E159">
            <v>1034882.5455873058</v>
          </cell>
          <cell r="F159">
            <v>713031.15062965604</v>
          </cell>
          <cell r="G159">
            <v>749145.92509839986</v>
          </cell>
          <cell r="H159">
            <v>480941.48270644993</v>
          </cell>
          <cell r="I159">
            <v>1027915.6079669074</v>
          </cell>
          <cell r="J159">
            <v>39509.917208972591</v>
          </cell>
          <cell r="K159">
            <v>1230859.4068241199</v>
          </cell>
          <cell r="L159">
            <v>668754.4040000001</v>
          </cell>
          <cell r="M159">
            <v>775660.32692131947</v>
          </cell>
          <cell r="N159">
            <v>895614.11552169244</v>
          </cell>
          <cell r="O159">
            <v>929950.69587719988</v>
          </cell>
        </row>
        <row r="164">
          <cell r="D164">
            <v>798</v>
          </cell>
          <cell r="E164">
            <v>798</v>
          </cell>
          <cell r="F164">
            <v>798</v>
          </cell>
          <cell r="G164">
            <v>798</v>
          </cell>
          <cell r="H164">
            <v>798</v>
          </cell>
          <cell r="I164">
            <v>798</v>
          </cell>
          <cell r="J164">
            <v>769.5</v>
          </cell>
          <cell r="K164">
            <v>817</v>
          </cell>
          <cell r="L164">
            <v>826.5</v>
          </cell>
          <cell r="M164">
            <v>665</v>
          </cell>
          <cell r="N164">
            <v>807.5</v>
          </cell>
          <cell r="O164">
            <v>712.5</v>
          </cell>
        </row>
        <row r="165">
          <cell r="D165">
            <v>63.377999999999993</v>
          </cell>
          <cell r="E165">
            <v>19.951999999999998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8">
          <cell r="D168">
            <v>133894.26599999997</v>
          </cell>
          <cell r="E168">
            <v>124164.04850000002</v>
          </cell>
          <cell r="F168">
            <v>138006.12349999999</v>
          </cell>
          <cell r="G168">
            <v>87688.167250000013</v>
          </cell>
          <cell r="H168">
            <v>84536.603249999986</v>
          </cell>
          <cell r="I168">
            <v>176576.0815</v>
          </cell>
          <cell r="J168">
            <v>134430.43275000001</v>
          </cell>
          <cell r="K168">
            <v>150672.04824999999</v>
          </cell>
          <cell r="L168">
            <v>101729.90399999999</v>
          </cell>
          <cell r="M168">
            <v>147490.97700000001</v>
          </cell>
          <cell r="N168">
            <v>102165.927</v>
          </cell>
          <cell r="O168">
            <v>175894.76500000001</v>
          </cell>
        </row>
        <row r="169">
          <cell r="D169">
            <v>18071.039999999997</v>
          </cell>
          <cell r="E169">
            <v>18532.146000000001</v>
          </cell>
          <cell r="F169">
            <v>15453.716999999999</v>
          </cell>
          <cell r="G169">
            <v>24165.8</v>
          </cell>
          <cell r="H169">
            <v>11317.195</v>
          </cell>
          <cell r="I169">
            <v>9806.7560000000012</v>
          </cell>
          <cell r="J169">
            <v>8046.076</v>
          </cell>
          <cell r="K169">
            <v>7494.7650000000003</v>
          </cell>
          <cell r="L169">
            <v>10015.248</v>
          </cell>
          <cell r="M169">
            <v>29073.602999999999</v>
          </cell>
          <cell r="N169">
            <v>19633.376999999997</v>
          </cell>
          <cell r="O169">
            <v>303998.86900000001</v>
          </cell>
        </row>
        <row r="171">
          <cell r="D171">
            <v>519665.40000000008</v>
          </cell>
          <cell r="E171">
            <v>1013752.9299999998</v>
          </cell>
          <cell r="F171">
            <v>207864.58000000025</v>
          </cell>
          <cell r="G171">
            <v>577052.79999999981</v>
          </cell>
          <cell r="H171">
            <v>565619.62000000023</v>
          </cell>
          <cell r="I171">
            <v>461300.72999999975</v>
          </cell>
          <cell r="J171">
            <v>415082.84999999992</v>
          </cell>
          <cell r="K171">
            <v>665211.29000000015</v>
          </cell>
          <cell r="L171">
            <v>473339.32999999996</v>
          </cell>
          <cell r="M171">
            <v>539227.27166666673</v>
          </cell>
          <cell r="N171">
            <v>545700.34833333339</v>
          </cell>
          <cell r="O171">
            <v>491944.85</v>
          </cell>
        </row>
        <row r="172">
          <cell r="D172">
            <v>4528828.5799999991</v>
          </cell>
          <cell r="E172">
            <v>6304390.0399999991</v>
          </cell>
          <cell r="F172">
            <v>2618419.1600000011</v>
          </cell>
          <cell r="G172">
            <v>3952101.63</v>
          </cell>
          <cell r="H172">
            <v>4540872.62</v>
          </cell>
          <cell r="I172">
            <v>4212502.09</v>
          </cell>
          <cell r="J172">
            <v>4026444.4900000012</v>
          </cell>
          <cell r="K172">
            <v>4289592.38</v>
          </cell>
          <cell r="L172">
            <v>4344188.54</v>
          </cell>
          <cell r="M172">
            <v>4690275.9116666671</v>
          </cell>
          <cell r="N172">
            <v>4159750.498333334</v>
          </cell>
          <cell r="O172">
            <v>4085806.7200000007</v>
          </cell>
        </row>
        <row r="173">
          <cell r="D173">
            <v>49343.94</v>
          </cell>
          <cell r="E173">
            <v>43260.89</v>
          </cell>
          <cell r="F173">
            <v>47997.709999999992</v>
          </cell>
          <cell r="G173">
            <v>20571.19000000001</v>
          </cell>
          <cell r="H173">
            <v>28894.409999999993</v>
          </cell>
          <cell r="I173">
            <v>16796.61</v>
          </cell>
          <cell r="J173">
            <v>16355.810000000003</v>
          </cell>
          <cell r="K173">
            <v>13575.84</v>
          </cell>
          <cell r="L173">
            <v>18921.03</v>
          </cell>
          <cell r="M173">
            <v>36888.018333333326</v>
          </cell>
          <cell r="N173">
            <v>30447.391666666674</v>
          </cell>
          <cell r="O173">
            <v>28235.309999999998</v>
          </cell>
        </row>
        <row r="174">
          <cell r="D174">
            <v>6528196.0899999999</v>
          </cell>
          <cell r="E174">
            <v>8258589.54</v>
          </cell>
          <cell r="F174">
            <v>6332828.4100000011</v>
          </cell>
          <cell r="G174">
            <v>6615627.6000000006</v>
          </cell>
          <cell r="H174">
            <v>6953514.0099999979</v>
          </cell>
          <cell r="I174">
            <v>6482373.200000002</v>
          </cell>
          <cell r="J174">
            <v>7603945.8299999991</v>
          </cell>
          <cell r="K174">
            <v>7599367.4899999993</v>
          </cell>
          <cell r="L174">
            <v>6557926.9700000007</v>
          </cell>
          <cell r="M174">
            <v>6995747.2599999998</v>
          </cell>
          <cell r="N174">
            <v>5045348.34</v>
          </cell>
          <cell r="O174">
            <v>6991469.5499999989</v>
          </cell>
        </row>
        <row r="200">
          <cell r="D200">
            <v>32852638.671714101</v>
          </cell>
          <cell r="E200">
            <v>29006589.329172958</v>
          </cell>
          <cell r="F200">
            <v>27640317.097351622</v>
          </cell>
          <cell r="G200">
            <v>19072747.091606524</v>
          </cell>
          <cell r="H200">
            <v>13094665.303904446</v>
          </cell>
          <cell r="I200">
            <v>10441868.971499177</v>
          </cell>
          <cell r="J200">
            <v>7644096.0075623002</v>
          </cell>
          <cell r="K200">
            <v>8241900.0369669097</v>
          </cell>
          <cell r="L200">
            <v>9238365.1368257962</v>
          </cell>
          <cell r="M200">
            <v>16422128.384004632</v>
          </cell>
          <cell r="N200">
            <v>24464696.048186779</v>
          </cell>
          <cell r="O200">
            <v>36020146.010844097</v>
          </cell>
        </row>
        <row r="201">
          <cell r="D201">
            <v>8209208.2939787712</v>
          </cell>
          <cell r="E201">
            <v>7171673.5921670441</v>
          </cell>
          <cell r="F201">
            <v>6858805.0163550498</v>
          </cell>
          <cell r="G201">
            <v>5800978.8662811778</v>
          </cell>
          <cell r="H201">
            <v>4058647.0116447923</v>
          </cell>
          <cell r="I201">
            <v>4583960.921302883</v>
          </cell>
          <cell r="J201">
            <v>622642.19161639689</v>
          </cell>
          <cell r="K201">
            <v>5317375.6049357168</v>
          </cell>
          <cell r="L201">
            <v>3402076.3808797454</v>
          </cell>
          <cell r="M201">
            <v>4831151.2302754819</v>
          </cell>
          <cell r="N201">
            <v>6324418.3226982355</v>
          </cell>
          <cell r="O201">
            <v>8655720.031330198</v>
          </cell>
          <cell r="P201">
            <v>65836657.463465482</v>
          </cell>
        </row>
        <row r="204">
          <cell r="D204">
            <v>2286069.1033305554</v>
          </cell>
          <cell r="E204">
            <v>366123.62150000012</v>
          </cell>
          <cell r="F204">
            <v>2022453.0662701395</v>
          </cell>
          <cell r="G204">
            <v>1005286.3932124993</v>
          </cell>
          <cell r="H204">
            <v>1078607.2613222227</v>
          </cell>
          <cell r="I204">
            <v>1505850.7620000001</v>
          </cell>
          <cell r="J204">
            <v>947457.08775000006</v>
          </cell>
          <cell r="K204">
            <v>1108607.1752499999</v>
          </cell>
          <cell r="L204">
            <v>748022.79449999996</v>
          </cell>
          <cell r="M204">
            <v>1546074.9429000001</v>
          </cell>
          <cell r="N204">
            <v>1967482.4444429993</v>
          </cell>
          <cell r="O204">
            <v>1602399.4161706674</v>
          </cell>
          <cell r="P204">
            <v>16184434.068649085</v>
          </cell>
        </row>
        <row r="205">
          <cell r="D205">
            <v>1326920.78215962</v>
          </cell>
          <cell r="E205">
            <v>1049801.0412697112</v>
          </cell>
          <cell r="F205">
            <v>1087987.6920276775</v>
          </cell>
          <cell r="G205">
            <v>965229.59035049553</v>
          </cell>
          <cell r="H205">
            <v>674304.57821747451</v>
          </cell>
          <cell r="I205">
            <v>463043.80454248143</v>
          </cell>
          <cell r="J205">
            <v>229069.38598556269</v>
          </cell>
          <cell r="K205">
            <v>210625.33194923261</v>
          </cell>
          <cell r="L205">
            <v>313557.82154155365</v>
          </cell>
          <cell r="M205">
            <v>699245.35289394844</v>
          </cell>
          <cell r="N205">
            <v>931860.96731208719</v>
          </cell>
          <cell r="O205">
            <v>1445553.9246765082</v>
          </cell>
          <cell r="P205">
            <v>9397200.2729263529</v>
          </cell>
        </row>
        <row r="206">
          <cell r="D206">
            <v>3082429.4890472237</v>
          </cell>
          <cell r="E206">
            <v>1082090.9661666662</v>
          </cell>
          <cell r="F206">
            <v>4162340.8524916675</v>
          </cell>
          <cell r="G206">
            <v>128297.16925555449</v>
          </cell>
          <cell r="H206">
            <v>2160675.2354277777</v>
          </cell>
          <cell r="I206">
            <v>1783685.3682499998</v>
          </cell>
          <cell r="J206">
            <v>1382354.0072500003</v>
          </cell>
          <cell r="K206">
            <v>1653354.8407499997</v>
          </cell>
          <cell r="L206">
            <v>1304457.4219999998</v>
          </cell>
          <cell r="M206">
            <v>2279808.7720833337</v>
          </cell>
          <cell r="N206">
            <v>2114393.5197826382</v>
          </cell>
          <cell r="O206">
            <v>2203154.475995834</v>
          </cell>
          <cell r="P206">
            <v>23337042.118500698</v>
          </cell>
        </row>
        <row r="207">
          <cell r="D207">
            <v>6664.6625658499997</v>
          </cell>
          <cell r="E207">
            <v>5897.9395264166669</v>
          </cell>
          <cell r="F207">
            <v>4605.515821077779</v>
          </cell>
          <cell r="G207">
            <v>4707.0025577333336</v>
          </cell>
          <cell r="H207">
            <v>3308.5745063944451</v>
          </cell>
          <cell r="I207">
            <v>1401.2286276249993</v>
          </cell>
          <cell r="J207">
            <v>220.76999999999998</v>
          </cell>
          <cell r="K207">
            <v>1962.5200000000004</v>
          </cell>
          <cell r="L207">
            <v>548.85999999999945</v>
          </cell>
          <cell r="M207">
            <v>2932.3549999999996</v>
          </cell>
          <cell r="N207">
            <v>89384.865000000005</v>
          </cell>
          <cell r="O207">
            <v>-85274.33</v>
          </cell>
        </row>
        <row r="208">
          <cell r="D208">
            <v>2036956.235849211</v>
          </cell>
          <cell r="E208">
            <v>2923851.8185548889</v>
          </cell>
          <cell r="F208">
            <v>741073.62715784507</v>
          </cell>
          <cell r="G208">
            <v>1694763.5437733326</v>
          </cell>
          <cell r="H208">
            <v>1677916.6393041252</v>
          </cell>
          <cell r="I208">
            <v>1470403.8599999999</v>
          </cell>
          <cell r="J208">
            <v>1208674.2000000002</v>
          </cell>
          <cell r="K208">
            <v>1883968.17</v>
          </cell>
          <cell r="L208">
            <v>1445352.4800000002</v>
          </cell>
          <cell r="M208">
            <v>1706734.8338025003</v>
          </cell>
          <cell r="N208">
            <v>2048070.4670088862</v>
          </cell>
          <cell r="O208">
            <v>1654568.5736230663</v>
          </cell>
          <cell r="P208">
            <v>20492334.449073855</v>
          </cell>
        </row>
        <row r="209">
          <cell r="D209">
            <v>6727599.9294236656</v>
          </cell>
          <cell r="E209">
            <v>9337614.0002066661</v>
          </cell>
          <cell r="F209">
            <v>3668529.3563617514</v>
          </cell>
          <cell r="G209">
            <v>5904423.4621941661</v>
          </cell>
          <cell r="H209">
            <v>6311018.0241726665</v>
          </cell>
          <cell r="I209">
            <v>5977309.8041272499</v>
          </cell>
          <cell r="J209">
            <v>5707683.2400000012</v>
          </cell>
          <cell r="K209">
            <v>6818455.1600000001</v>
          </cell>
          <cell r="L209">
            <v>5143107.4800000004</v>
          </cell>
          <cell r="M209">
            <v>6768900.4980270835</v>
          </cell>
          <cell r="N209">
            <v>6089051.3395335004</v>
          </cell>
          <cell r="O209">
            <v>6319844.8409243338</v>
          </cell>
          <cell r="P209">
            <v>74773537.134971097</v>
          </cell>
        </row>
        <row r="210">
          <cell r="D210">
            <v>49343.94</v>
          </cell>
          <cell r="E210">
            <v>43260.89</v>
          </cell>
          <cell r="F210">
            <v>47997.709999999992</v>
          </cell>
          <cell r="G210">
            <v>20571.19000000001</v>
          </cell>
          <cell r="H210">
            <v>28894.409999999993</v>
          </cell>
          <cell r="I210">
            <v>16796.61</v>
          </cell>
          <cell r="J210">
            <v>16355.810000000003</v>
          </cell>
          <cell r="K210">
            <v>13575.84</v>
          </cell>
          <cell r="L210">
            <v>18921.03</v>
          </cell>
          <cell r="M210">
            <v>36888.018333333326</v>
          </cell>
          <cell r="N210">
            <v>30447.391666666674</v>
          </cell>
          <cell r="O210">
            <v>28235.309999999998</v>
          </cell>
          <cell r="P210">
            <v>351288.14999999997</v>
          </cell>
        </row>
        <row r="211">
          <cell r="D211">
            <v>8621022.3882449996</v>
          </cell>
          <cell r="E211">
            <v>12102353.799991665</v>
          </cell>
          <cell r="F211">
            <v>6242340.596623336</v>
          </cell>
          <cell r="G211">
            <v>8248197.3247583322</v>
          </cell>
          <cell r="H211">
            <v>8365439.1357483314</v>
          </cell>
          <cell r="I211">
            <v>7676633.0565600023</v>
          </cell>
          <cell r="J211">
            <v>8618473.3499999996</v>
          </cell>
          <cell r="K211">
            <v>8692811.5599999987</v>
          </cell>
          <cell r="L211">
            <v>7685008.6000000006</v>
          </cell>
          <cell r="M211">
            <v>8876735.6437500007</v>
          </cell>
          <cell r="N211">
            <v>6268510.4313054159</v>
          </cell>
          <cell r="O211">
            <v>9043602.487719167</v>
          </cell>
          <cell r="P211">
            <v>100441128.37470125</v>
          </cell>
        </row>
        <row r="212">
          <cell r="D212">
            <v>4378598.3768111104</v>
          </cell>
          <cell r="E212">
            <v>5175821.9395694453</v>
          </cell>
          <cell r="F212">
            <v>2544158.7452888917</v>
          </cell>
          <cell r="G212">
            <v>3274713.7933999989</v>
          </cell>
          <cell r="H212">
            <v>2655154.3553472222</v>
          </cell>
          <cell r="I212">
            <v>2242315.8119000001</v>
          </cell>
          <cell r="J212">
            <v>1817239.8699999994</v>
          </cell>
          <cell r="K212">
            <v>1242900.8900000001</v>
          </cell>
          <cell r="L212">
            <v>2771927.6328986101</v>
          </cell>
          <cell r="M212">
            <v>4000096.6804166678</v>
          </cell>
          <cell r="N212">
            <v>2445284.1466291645</v>
          </cell>
          <cell r="O212">
            <v>4508215.6121527795</v>
          </cell>
        </row>
      </sheetData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5"/>
  <sheetViews>
    <sheetView tabSelected="1" zoomScale="90" zoomScaleNormal="90" workbookViewId="0">
      <pane xSplit="3" ySplit="9" topLeftCell="D10" activePane="bottomRight" state="frozenSplit"/>
      <selection activeCell="V25" sqref="V25"/>
      <selection pane="topRight" activeCell="V25" sqref="V25"/>
      <selection pane="bottomLeft" activeCell="V25" sqref="V25"/>
      <selection pane="bottomRight" activeCell="J29" sqref="J29"/>
    </sheetView>
  </sheetViews>
  <sheetFormatPr defaultRowHeight="14.5" x14ac:dyDescent="0.35"/>
  <cols>
    <col min="1" max="1" width="2.81640625" customWidth="1"/>
    <col min="2" max="2" width="32.1796875" customWidth="1"/>
    <col min="3" max="3" width="9.1796875" bestFit="1" customWidth="1"/>
    <col min="4" max="4" width="16" bestFit="1" customWidth="1"/>
    <col min="5" max="5" width="2.453125" customWidth="1"/>
    <col min="6" max="6" width="16" bestFit="1" customWidth="1"/>
    <col min="7" max="7" width="10.26953125" customWidth="1"/>
    <col min="8" max="8" width="2.453125" customWidth="1"/>
    <col min="9" max="9" width="16" bestFit="1" customWidth="1"/>
    <col min="10" max="10" width="10.453125" customWidth="1"/>
    <col min="11" max="11" width="2.453125" customWidth="1"/>
    <col min="12" max="12" width="16" bestFit="1" customWidth="1"/>
    <col min="13" max="13" width="10.453125" customWidth="1"/>
    <col min="14" max="14" width="2.453125" customWidth="1"/>
    <col min="15" max="15" width="16" bestFit="1" customWidth="1"/>
    <col min="16" max="16" width="10.453125" customWidth="1"/>
    <col min="17" max="17" width="2.453125" customWidth="1"/>
    <col min="18" max="18" width="16" bestFit="1" customWidth="1"/>
    <col min="19" max="19" width="10.26953125" customWidth="1"/>
    <col min="20" max="20" width="2.453125" customWidth="1"/>
    <col min="21" max="21" width="15.1796875" customWidth="1"/>
    <col min="22" max="22" width="16" bestFit="1" customWidth="1"/>
    <col min="23" max="23" width="10.453125" customWidth="1"/>
    <col min="24" max="24" width="9.1796875" customWidth="1"/>
    <col min="25" max="25" width="9.26953125" customWidth="1"/>
  </cols>
  <sheetData>
    <row r="1" spans="2:24" x14ac:dyDescent="0.35">
      <c r="B1" s="333" t="s">
        <v>0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60"/>
    </row>
    <row r="2" spans="2:24" x14ac:dyDescent="0.35">
      <c r="B2" s="333" t="s">
        <v>316</v>
      </c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60"/>
    </row>
    <row r="3" spans="2:24" x14ac:dyDescent="0.35">
      <c r="B3" s="334" t="s">
        <v>280</v>
      </c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288"/>
    </row>
    <row r="4" spans="2:24" x14ac:dyDescent="0.35">
      <c r="B4" s="334" t="s">
        <v>347</v>
      </c>
      <c r="C4" s="334"/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288"/>
    </row>
    <row r="5" spans="2:24" x14ac:dyDescent="0.35"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331"/>
      <c r="S5" s="331"/>
      <c r="T5" s="331"/>
      <c r="U5" s="289"/>
      <c r="V5" s="289"/>
      <c r="W5" s="289"/>
      <c r="X5" s="288"/>
    </row>
    <row r="6" spans="2:24" x14ac:dyDescent="0.35">
      <c r="D6" s="278" t="s">
        <v>326</v>
      </c>
      <c r="H6" s="264"/>
      <c r="P6" s="264"/>
      <c r="Q6" s="264"/>
      <c r="R6" s="331"/>
      <c r="S6" s="331"/>
      <c r="T6" s="331"/>
      <c r="U6" s="278" t="s">
        <v>326</v>
      </c>
    </row>
    <row r="7" spans="2:24" x14ac:dyDescent="0.35">
      <c r="B7" s="5"/>
      <c r="C7" s="5"/>
      <c r="D7" s="278" t="s">
        <v>314</v>
      </c>
      <c r="E7" s="5"/>
      <c r="F7" s="5"/>
      <c r="G7" s="5" t="s">
        <v>341</v>
      </c>
      <c r="H7" s="5"/>
      <c r="I7" s="5" t="s">
        <v>335</v>
      </c>
      <c r="J7" s="5" t="s">
        <v>335</v>
      </c>
      <c r="K7" s="5"/>
      <c r="L7" s="5" t="s">
        <v>336</v>
      </c>
      <c r="M7" s="5" t="s">
        <v>336</v>
      </c>
      <c r="N7" s="5"/>
      <c r="O7" s="5" t="s">
        <v>340</v>
      </c>
      <c r="P7" s="5" t="s">
        <v>340</v>
      </c>
      <c r="Q7" s="5"/>
      <c r="R7" s="5" t="s">
        <v>348</v>
      </c>
      <c r="S7" s="5" t="s">
        <v>348</v>
      </c>
      <c r="T7" s="5"/>
      <c r="U7" s="5" t="s">
        <v>314</v>
      </c>
      <c r="V7" s="5"/>
      <c r="W7" s="5"/>
      <c r="X7" s="5"/>
    </row>
    <row r="8" spans="2:24" x14ac:dyDescent="0.35">
      <c r="B8" s="5"/>
      <c r="C8" s="5" t="s">
        <v>17</v>
      </c>
      <c r="D8" s="5" t="s">
        <v>299</v>
      </c>
      <c r="E8" s="5"/>
      <c r="F8" s="5" t="s">
        <v>334</v>
      </c>
      <c r="G8" s="5" t="s">
        <v>17</v>
      </c>
      <c r="H8" s="5"/>
      <c r="I8" s="5" t="s">
        <v>212</v>
      </c>
      <c r="J8" s="5" t="s">
        <v>212</v>
      </c>
      <c r="K8" s="5"/>
      <c r="L8" s="5" t="s">
        <v>282</v>
      </c>
      <c r="M8" s="5" t="s">
        <v>282</v>
      </c>
      <c r="N8" s="5"/>
      <c r="O8" s="5" t="s">
        <v>342</v>
      </c>
      <c r="P8" s="5" t="s">
        <v>342</v>
      </c>
      <c r="Q8" s="5"/>
      <c r="R8" s="5" t="s">
        <v>349</v>
      </c>
      <c r="S8" s="5" t="s">
        <v>349</v>
      </c>
      <c r="T8" s="5"/>
      <c r="U8" s="5" t="s">
        <v>298</v>
      </c>
      <c r="V8" s="5" t="s">
        <v>348</v>
      </c>
      <c r="W8" s="5" t="s">
        <v>348</v>
      </c>
      <c r="X8" s="5"/>
    </row>
    <row r="9" spans="2:24" x14ac:dyDescent="0.35">
      <c r="B9" s="218" t="s">
        <v>4</v>
      </c>
      <c r="C9" s="218" t="s">
        <v>21</v>
      </c>
      <c r="D9" s="218" t="s">
        <v>300</v>
      </c>
      <c r="E9" s="218"/>
      <c r="F9" s="218" t="s">
        <v>244</v>
      </c>
      <c r="G9" s="218" t="s">
        <v>291</v>
      </c>
      <c r="H9" s="218"/>
      <c r="I9" s="218" t="s">
        <v>244</v>
      </c>
      <c r="J9" s="218" t="s">
        <v>292</v>
      </c>
      <c r="K9" s="218"/>
      <c r="L9" s="218" t="s">
        <v>244</v>
      </c>
      <c r="M9" s="218" t="s">
        <v>292</v>
      </c>
      <c r="N9" s="218"/>
      <c r="O9" s="218" t="s">
        <v>244</v>
      </c>
      <c r="P9" s="218" t="s">
        <v>292</v>
      </c>
      <c r="Q9" s="218"/>
      <c r="R9" s="332" t="s">
        <v>244</v>
      </c>
      <c r="S9" s="332" t="s">
        <v>292</v>
      </c>
      <c r="T9" s="332"/>
      <c r="U9" s="218" t="s">
        <v>259</v>
      </c>
      <c r="V9" s="218" t="s">
        <v>244</v>
      </c>
      <c r="W9" s="218" t="s">
        <v>292</v>
      </c>
      <c r="X9" s="218"/>
    </row>
    <row r="10" spans="2:24" x14ac:dyDescent="0.35">
      <c r="B10" s="5" t="s">
        <v>25</v>
      </c>
      <c r="C10" s="5" t="s">
        <v>26</v>
      </c>
      <c r="D10" s="5" t="s">
        <v>27</v>
      </c>
      <c r="E10" s="5"/>
      <c r="F10" s="250" t="s">
        <v>28</v>
      </c>
      <c r="G10" s="7" t="s">
        <v>304</v>
      </c>
      <c r="H10" s="5"/>
      <c r="I10" s="250" t="s">
        <v>261</v>
      </c>
      <c r="J10" s="7" t="s">
        <v>305</v>
      </c>
      <c r="K10" s="5"/>
      <c r="L10" s="250" t="s">
        <v>111</v>
      </c>
      <c r="M10" s="7" t="s">
        <v>306</v>
      </c>
      <c r="N10" s="7"/>
      <c r="O10" s="250" t="s">
        <v>29</v>
      </c>
      <c r="P10" s="7" t="s">
        <v>307</v>
      </c>
      <c r="Q10" s="5"/>
      <c r="R10" s="5" t="s">
        <v>353</v>
      </c>
      <c r="S10" s="5" t="s">
        <v>352</v>
      </c>
      <c r="T10" s="5"/>
      <c r="U10" s="5" t="s">
        <v>354</v>
      </c>
      <c r="V10" s="250" t="s">
        <v>355</v>
      </c>
      <c r="W10" s="7" t="s">
        <v>356</v>
      </c>
      <c r="X10" s="5"/>
    </row>
    <row r="11" spans="2:24" x14ac:dyDescent="0.35">
      <c r="B11" t="s">
        <v>7</v>
      </c>
      <c r="C11" s="8" t="s">
        <v>30</v>
      </c>
      <c r="D11" s="279">
        <f>'Base Rate Impacts'!P10</f>
        <v>566044289.26872718</v>
      </c>
      <c r="E11" s="8"/>
      <c r="F11" s="265">
        <f>'Base Rate Impacts'!Q10</f>
        <v>64991044.661294617</v>
      </c>
      <c r="G11" s="224">
        <f>F11/$D11</f>
        <v>0.11481618292670449</v>
      </c>
      <c r="H11" s="9"/>
      <c r="I11" s="265">
        <f>'Sch. 141 Impacts'!Q10</f>
        <v>-19233241.542500384</v>
      </c>
      <c r="J11" s="224">
        <f>I11/$D11</f>
        <v>-3.3978333333859467E-2</v>
      </c>
      <c r="K11" s="155"/>
      <c r="L11" s="265">
        <f>'Sch. 141X Impacts'!Q10</f>
        <v>4328500.8799865898</v>
      </c>
      <c r="M11" s="224">
        <f>L11/$D11</f>
        <v>7.6469296873899768E-3</v>
      </c>
      <c r="N11" s="155"/>
      <c r="O11" s="265">
        <f>'Sch. 149 Impacts'!Q10</f>
        <v>-6829673.6129359556</v>
      </c>
      <c r="P11" s="224">
        <f>O11/$D11</f>
        <v>-1.206561702399509E-2</v>
      </c>
      <c r="Q11" s="155"/>
      <c r="R11" s="284">
        <f>SUM(I11,L11,O11)</f>
        <v>-21734414.275449749</v>
      </c>
      <c r="S11" s="224">
        <f>R11/$D11</f>
        <v>-3.8397020670464577E-2</v>
      </c>
      <c r="T11" s="155"/>
      <c r="U11" s="284">
        <f>SUM(D11,F11,I11,L11,O11)</f>
        <v>609300919.65457213</v>
      </c>
      <c r="V11" s="287">
        <f>U11-D11</f>
        <v>43256630.385844946</v>
      </c>
      <c r="W11" s="224">
        <f>V11/$D11</f>
        <v>7.6419162256240056E-2</v>
      </c>
      <c r="X11" s="224"/>
    </row>
    <row r="12" spans="2:24" x14ac:dyDescent="0.35">
      <c r="B12" t="s">
        <v>31</v>
      </c>
      <c r="C12" s="8">
        <v>16</v>
      </c>
      <c r="D12" s="279">
        <f>'Base Rate Impacts'!P11</f>
        <v>8431.7461799999983</v>
      </c>
      <c r="E12" s="8"/>
      <c r="F12" s="265">
        <f>'Base Rate Impacts'!Q11</f>
        <v>1002.8200000000006</v>
      </c>
      <c r="G12" s="224">
        <f>F12/$D12</f>
        <v>0.11893384580037261</v>
      </c>
      <c r="H12" s="9"/>
      <c r="I12" s="265">
        <f>'Sch. 141 Impacts'!Q11</f>
        <v>-291.45999999999992</v>
      </c>
      <c r="J12" s="224">
        <f t="shared" ref="J12:J27" si="0">I12/$D12</f>
        <v>-3.4566979813901368E-2</v>
      </c>
      <c r="K12" s="155"/>
      <c r="L12" s="265">
        <f>'Sch. 141X Impacts'!Q11</f>
        <v>64.219999999999516</v>
      </c>
      <c r="M12" s="224">
        <f t="shared" ref="M12:M27" si="1">L12/$D12</f>
        <v>7.6164531793341443E-3</v>
      </c>
      <c r="N12" s="155"/>
      <c r="O12" s="265">
        <f>'Sch. 149 Impacts'!Q11</f>
        <v>-105.21705999999999</v>
      </c>
      <c r="P12" s="224">
        <f t="shared" ref="P12:P27" si="2">O12/$D12</f>
        <v>-1.2478679712818396E-2</v>
      </c>
      <c r="Q12" s="155"/>
      <c r="R12" s="284">
        <f t="shared" ref="R12:R23" si="3">SUM(I12,L12,O12)</f>
        <v>-332.45706000000041</v>
      </c>
      <c r="S12" s="224">
        <f t="shared" ref="S12:S23" si="4">R12/$D12</f>
        <v>-3.9429206347385622E-2</v>
      </c>
      <c r="T12" s="155"/>
      <c r="U12" s="284">
        <f t="shared" ref="U12:U23" si="5">SUM(D12,F12,I12,L12,O12)</f>
        <v>9102.1091199999973</v>
      </c>
      <c r="V12" s="287">
        <f t="shared" ref="V12:V23" si="6">U12-D12</f>
        <v>670.36293999999907</v>
      </c>
      <c r="W12" s="224">
        <f t="shared" ref="W12:W26" si="7">V12/$D12</f>
        <v>7.9504639452986858E-2</v>
      </c>
      <c r="X12" s="224"/>
    </row>
    <row r="13" spans="2:24" x14ac:dyDescent="0.35">
      <c r="B13" t="s">
        <v>8</v>
      </c>
      <c r="C13" s="8">
        <v>31</v>
      </c>
      <c r="D13" s="279">
        <f>'Base Rate Impacts'!P12</f>
        <v>180482314.8075338</v>
      </c>
      <c r="E13" s="8"/>
      <c r="F13" s="265">
        <f>'Base Rate Impacts'!Q12</f>
        <v>28963024.13000001</v>
      </c>
      <c r="G13" s="224">
        <f t="shared" ref="G13:G27" si="8">F13/$D13</f>
        <v>0.16047569071178058</v>
      </c>
      <c r="H13" s="9"/>
      <c r="I13" s="265">
        <f>'Sch. 141 Impacts'!Q12</f>
        <v>-6148767.6566600865</v>
      </c>
      <c r="J13" s="224">
        <f t="shared" si="0"/>
        <v>-3.4068532771297441E-2</v>
      </c>
      <c r="K13" s="155"/>
      <c r="L13" s="265">
        <f>'Sch. 141X Impacts'!Q12</f>
        <v>1283448.5940397903</v>
      </c>
      <c r="M13" s="224">
        <f t="shared" si="1"/>
        <v>7.1112152756266393E-3</v>
      </c>
      <c r="N13" s="155"/>
      <c r="O13" s="265">
        <f>'Sch. 149 Impacts'!Q12</f>
        <v>-2547444.9200152764</v>
      </c>
      <c r="P13" s="224">
        <f t="shared" si="2"/>
        <v>-1.4114651193009519E-2</v>
      </c>
      <c r="Q13" s="155"/>
      <c r="R13" s="284">
        <f t="shared" si="3"/>
        <v>-7412763.9826355726</v>
      </c>
      <c r="S13" s="224">
        <f t="shared" si="4"/>
        <v>-4.1071968688680321E-2</v>
      </c>
      <c r="T13" s="155"/>
      <c r="U13" s="284">
        <f t="shared" si="5"/>
        <v>202032574.95489824</v>
      </c>
      <c r="V13" s="287">
        <f t="shared" si="6"/>
        <v>21550260.147364438</v>
      </c>
      <c r="W13" s="224">
        <f t="shared" si="7"/>
        <v>0.11940372202310026</v>
      </c>
      <c r="X13" s="224"/>
    </row>
    <row r="14" spans="2:24" x14ac:dyDescent="0.35">
      <c r="B14" t="s">
        <v>9</v>
      </c>
      <c r="C14" s="8">
        <v>41</v>
      </c>
      <c r="D14" s="279">
        <f>'Base Rate Impacts'!P13</f>
        <v>37721770.257694609</v>
      </c>
      <c r="E14" s="8"/>
      <c r="F14" s="265">
        <f>'Base Rate Impacts'!Q13</f>
        <v>1668734.2812285563</v>
      </c>
      <c r="G14" s="224">
        <f t="shared" si="8"/>
        <v>4.4237963113307556E-2</v>
      </c>
      <c r="H14" s="9"/>
      <c r="I14" s="265">
        <f>'Sch. 141 Impacts'!Q13</f>
        <v>-1234386.9089443744</v>
      </c>
      <c r="J14" s="224">
        <f t="shared" si="0"/>
        <v>-3.2723461823549495E-2</v>
      </c>
      <c r="K14" s="155"/>
      <c r="L14" s="265">
        <f>'Sch. 141X Impacts'!Q13</f>
        <v>213016.38735006578</v>
      </c>
      <c r="M14" s="224">
        <f t="shared" si="1"/>
        <v>5.6470411090161921E-3</v>
      </c>
      <c r="N14" s="155"/>
      <c r="O14" s="265">
        <f>'Sch. 149 Impacts'!Q13</f>
        <v>-409504.00942275528</v>
      </c>
      <c r="P14" s="224">
        <f t="shared" si="2"/>
        <v>-1.0855906459989727E-2</v>
      </c>
      <c r="Q14" s="155"/>
      <c r="R14" s="284">
        <f t="shared" si="3"/>
        <v>-1430874.5310170639</v>
      </c>
      <c r="S14" s="224">
        <f t="shared" si="4"/>
        <v>-3.793232717452303E-2</v>
      </c>
      <c r="T14" s="155"/>
      <c r="U14" s="284">
        <f t="shared" si="5"/>
        <v>37959630.007906102</v>
      </c>
      <c r="V14" s="287">
        <f t="shared" si="6"/>
        <v>237859.75021149218</v>
      </c>
      <c r="W14" s="224">
        <f t="shared" si="7"/>
        <v>6.305635938784521E-3</v>
      </c>
      <c r="X14" s="224"/>
    </row>
    <row r="15" spans="2:24" x14ac:dyDescent="0.35">
      <c r="B15" t="s">
        <v>10</v>
      </c>
      <c r="C15" s="8">
        <v>85</v>
      </c>
      <c r="D15" s="279">
        <f>'Base Rate Impacts'!P14</f>
        <v>6472335.3473928766</v>
      </c>
      <c r="E15" s="8"/>
      <c r="F15" s="265">
        <f>'Base Rate Impacts'!Q14</f>
        <v>163450.74750719132</v>
      </c>
      <c r="G15" s="224">
        <f t="shared" si="8"/>
        <v>2.5253751348503745E-2</v>
      </c>
      <c r="H15" s="9"/>
      <c r="I15" s="265">
        <f>'Sch. 141 Impacts'!Q14</f>
        <v>-154970.82254109214</v>
      </c>
      <c r="J15" s="224">
        <f t="shared" si="0"/>
        <v>-2.394357124952062E-2</v>
      </c>
      <c r="K15" s="155"/>
      <c r="L15" s="265">
        <f>'Sch. 141X Impacts'!Q14</f>
        <v>21685.501761068044</v>
      </c>
      <c r="M15" s="224">
        <f t="shared" si="1"/>
        <v>3.3504910665364688E-3</v>
      </c>
      <c r="N15" s="155"/>
      <c r="O15" s="265">
        <f>'Sch. 149 Impacts'!Q14</f>
        <v>-53570.476767228472</v>
      </c>
      <c r="P15" s="224">
        <f t="shared" si="2"/>
        <v>-8.2768388675669002E-3</v>
      </c>
      <c r="Q15" s="155"/>
      <c r="R15" s="284">
        <f t="shared" si="3"/>
        <v>-186855.79754725259</v>
      </c>
      <c r="S15" s="224">
        <f t="shared" si="4"/>
        <v>-2.8869919050551054E-2</v>
      </c>
      <c r="T15" s="155"/>
      <c r="U15" s="284">
        <f t="shared" si="5"/>
        <v>6448930.2973528141</v>
      </c>
      <c r="V15" s="287">
        <f t="shared" si="6"/>
        <v>-23405.050040062517</v>
      </c>
      <c r="W15" s="224">
        <f t="shared" si="7"/>
        <v>-3.6161677020475017E-3</v>
      </c>
      <c r="X15" s="224"/>
    </row>
    <row r="16" spans="2:24" x14ac:dyDescent="0.35">
      <c r="B16" t="s">
        <v>11</v>
      </c>
      <c r="C16" s="8">
        <v>86</v>
      </c>
      <c r="D16" s="279">
        <f>'Base Rate Impacts'!P15</f>
        <v>4920932.0508334171</v>
      </c>
      <c r="E16" s="8"/>
      <c r="F16" s="265">
        <f>'Base Rate Impacts'!Q15</f>
        <v>783.9199999999837</v>
      </c>
      <c r="G16" s="224">
        <f t="shared" si="8"/>
        <v>1.5930315474834035E-4</v>
      </c>
      <c r="H16" s="9"/>
      <c r="I16" s="265">
        <f>'Sch. 141 Impacts'!Q15</f>
        <v>-159857.77006112447</v>
      </c>
      <c r="J16" s="224">
        <f t="shared" si="0"/>
        <v>-3.2485262631100686E-2</v>
      </c>
      <c r="K16" s="155"/>
      <c r="L16" s="265">
        <f>'Sch. 141X Impacts'!Q15</f>
        <v>27322.332710135579</v>
      </c>
      <c r="M16" s="224">
        <f t="shared" si="1"/>
        <v>5.5522678281054953E-3</v>
      </c>
      <c r="N16" s="155"/>
      <c r="O16" s="265">
        <f>'Sch. 149 Impacts'!Q15</f>
        <v>-38998.381132644368</v>
      </c>
      <c r="P16" s="224">
        <f t="shared" si="2"/>
        <v>-7.9249989087005462E-3</v>
      </c>
      <c r="Q16" s="155"/>
      <c r="R16" s="284">
        <f t="shared" si="3"/>
        <v>-171533.81848363325</v>
      </c>
      <c r="S16" s="224">
        <f t="shared" si="4"/>
        <v>-3.4857993711695734E-2</v>
      </c>
      <c r="T16" s="155"/>
      <c r="U16" s="284">
        <f t="shared" si="5"/>
        <v>4750182.152349784</v>
      </c>
      <c r="V16" s="287">
        <f t="shared" si="6"/>
        <v>-170749.89848363306</v>
      </c>
      <c r="W16" s="224">
        <f t="shared" si="7"/>
        <v>-3.4698690556947354E-2</v>
      </c>
      <c r="X16" s="224"/>
    </row>
    <row r="17" spans="2:27" x14ac:dyDescent="0.35">
      <c r="B17" t="s">
        <v>12</v>
      </c>
      <c r="C17" s="8">
        <v>87</v>
      </c>
      <c r="D17" s="279">
        <f>'Base Rate Impacts'!P16</f>
        <v>7852326.1605737153</v>
      </c>
      <c r="E17" s="8"/>
      <c r="F17" s="265">
        <f>'Base Rate Impacts'!Q16</f>
        <v>366780.12999999989</v>
      </c>
      <c r="G17" s="224">
        <f t="shared" si="8"/>
        <v>4.6709742119678051E-2</v>
      </c>
      <c r="H17" s="9"/>
      <c r="I17" s="265">
        <f>'Sch. 141 Impacts'!Q16</f>
        <v>-107717.1534900488</v>
      </c>
      <c r="J17" s="224">
        <f t="shared" si="0"/>
        <v>-1.3717865418134727E-2</v>
      </c>
      <c r="K17" s="155"/>
      <c r="L17" s="265">
        <f>'Sch. 141X Impacts'!Q16</f>
        <v>15133.517334554579</v>
      </c>
      <c r="M17" s="224">
        <f t="shared" si="1"/>
        <v>1.9272655038884525E-3</v>
      </c>
      <c r="N17" s="155"/>
      <c r="O17" s="265">
        <f>'Sch. 149 Impacts'!Q16</f>
        <v>-47140.825079371411</v>
      </c>
      <c r="P17" s="224">
        <f t="shared" si="2"/>
        <v>-6.0034216759950725E-3</v>
      </c>
      <c r="Q17" s="155"/>
      <c r="R17" s="284">
        <f t="shared" si="3"/>
        <v>-139724.46123486565</v>
      </c>
      <c r="S17" s="224">
        <f t="shared" si="4"/>
        <v>-1.7794021590241349E-2</v>
      </c>
      <c r="T17" s="155"/>
      <c r="U17" s="284">
        <f t="shared" si="5"/>
        <v>8079381.8293388495</v>
      </c>
      <c r="V17" s="287">
        <f t="shared" si="6"/>
        <v>227055.66876513418</v>
      </c>
      <c r="W17" s="224">
        <f t="shared" si="7"/>
        <v>2.8915720529436691E-2</v>
      </c>
      <c r="X17" s="224"/>
    </row>
    <row r="18" spans="2:27" x14ac:dyDescent="0.35">
      <c r="B18" t="s">
        <v>351</v>
      </c>
      <c r="C18" s="8" t="s">
        <v>33</v>
      </c>
      <c r="D18" s="279">
        <f>'Base Rate Impacts'!P17</f>
        <v>23023.685802228316</v>
      </c>
      <c r="E18" s="8"/>
      <c r="F18" s="265">
        <f>'Base Rate Impacts'!Q17</f>
        <v>4335.4199999999983</v>
      </c>
      <c r="G18" s="224">
        <f t="shared" si="8"/>
        <v>0.18830260442402322</v>
      </c>
      <c r="H18" s="9"/>
      <c r="I18" s="265">
        <f>'Sch. 141 Impacts'!Q17</f>
        <v>-927.8391410602776</v>
      </c>
      <c r="J18" s="224">
        <f t="shared" si="0"/>
        <v>-4.0299331263914225E-2</v>
      </c>
      <c r="K18" s="208"/>
      <c r="L18" s="265">
        <f>'Sch. 141X Impacts'!Q17</f>
        <v>298.22785260064381</v>
      </c>
      <c r="M18" s="224">
        <f t="shared" si="1"/>
        <v>1.29530890563048E-2</v>
      </c>
      <c r="N18" s="155"/>
      <c r="O18" s="265">
        <f>'Sch. 149 Impacts'!Q17</f>
        <v>-395.59640402345775</v>
      </c>
      <c r="P18" s="224">
        <f t="shared" si="2"/>
        <v>-1.718214917548825E-2</v>
      </c>
      <c r="Q18" s="155"/>
      <c r="R18" s="284">
        <f t="shared" si="3"/>
        <v>-1025.2076924830915</v>
      </c>
      <c r="S18" s="224">
        <f t="shared" si="4"/>
        <v>-4.4528391383097672E-2</v>
      </c>
      <c r="T18" s="155"/>
      <c r="U18" s="284">
        <f t="shared" si="5"/>
        <v>26333.898109745223</v>
      </c>
      <c r="V18" s="287">
        <f t="shared" si="6"/>
        <v>3310.2123075169075</v>
      </c>
      <c r="W18" s="224">
        <f t="shared" si="7"/>
        <v>0.14377421304092558</v>
      </c>
      <c r="X18" s="224"/>
    </row>
    <row r="19" spans="2:27" x14ac:dyDescent="0.35">
      <c r="B19" t="s">
        <v>34</v>
      </c>
      <c r="C19" t="s">
        <v>35</v>
      </c>
      <c r="D19" s="279">
        <f>'Base Rate Impacts'!P18</f>
        <v>4492896.6165647525</v>
      </c>
      <c r="F19" s="265">
        <f>'Base Rate Impacts'!Q18</f>
        <v>345393.63227352715</v>
      </c>
      <c r="G19" s="224">
        <f t="shared" si="8"/>
        <v>7.6875490746905611E-2</v>
      </c>
      <c r="H19" s="9"/>
      <c r="I19" s="265">
        <f>'Sch. 141 Impacts'!Q18</f>
        <v>-175675.17262597135</v>
      </c>
      <c r="J19" s="224">
        <f t="shared" si="0"/>
        <v>-3.9100648783744273E-2</v>
      </c>
      <c r="K19" s="208"/>
      <c r="L19" s="265">
        <f>'Sch. 141X Impacts'!Q18</f>
        <v>56388.931351886073</v>
      </c>
      <c r="M19" s="224">
        <f t="shared" si="1"/>
        <v>1.2550685262595868E-2</v>
      </c>
      <c r="N19" s="155"/>
      <c r="O19" s="265">
        <f>'Sch. 149 Impacts'!Q18</f>
        <v>-127462.32027323937</v>
      </c>
      <c r="P19" s="224">
        <f t="shared" si="2"/>
        <v>-2.8369742540547586E-2</v>
      </c>
      <c r="Q19" s="155"/>
      <c r="R19" s="284">
        <f t="shared" si="3"/>
        <v>-246748.56154732464</v>
      </c>
      <c r="S19" s="224">
        <f t="shared" si="4"/>
        <v>-5.4919706061695987E-2</v>
      </c>
      <c r="T19" s="155"/>
      <c r="U19" s="284">
        <f t="shared" si="5"/>
        <v>4591541.6872909553</v>
      </c>
      <c r="V19" s="287">
        <f t="shared" si="6"/>
        <v>98645.070726202801</v>
      </c>
      <c r="W19" s="224">
        <f t="shared" si="7"/>
        <v>2.1955784685209683E-2</v>
      </c>
      <c r="X19" s="224"/>
    </row>
    <row r="20" spans="2:27" x14ac:dyDescent="0.35">
      <c r="B20" t="s">
        <v>36</v>
      </c>
      <c r="C20" t="s">
        <v>37</v>
      </c>
      <c r="D20" s="279">
        <f>'Base Rate Impacts'!P19</f>
        <v>7701790.5107386047</v>
      </c>
      <c r="F20" s="265">
        <f>'Base Rate Impacts'!Q19</f>
        <v>716705.91000000027</v>
      </c>
      <c r="G20" s="224">
        <f t="shared" si="8"/>
        <v>9.3057050694990651E-2</v>
      </c>
      <c r="H20" s="9"/>
      <c r="I20" s="265">
        <f>'Sch. 141 Impacts'!Q19</f>
        <v>-298509.94864672702</v>
      </c>
      <c r="J20" s="224">
        <f t="shared" si="0"/>
        <v>-3.8758513131526319E-2</v>
      </c>
      <c r="K20" s="208"/>
      <c r="L20" s="265">
        <f>'Sch. 141X Impacts'!Q19</f>
        <v>95437.488374995097</v>
      </c>
      <c r="M20" s="224">
        <f t="shared" si="1"/>
        <v>1.2391597543704497E-2</v>
      </c>
      <c r="N20" s="155"/>
      <c r="O20" s="265">
        <f>'Sch. 149 Impacts'!Q19</f>
        <v>-247500.40791675434</v>
      </c>
      <c r="P20" s="224">
        <f t="shared" si="2"/>
        <v>-3.2135437541655355E-2</v>
      </c>
      <c r="Q20" s="155"/>
      <c r="R20" s="284">
        <f t="shared" si="3"/>
        <v>-450572.86818848626</v>
      </c>
      <c r="S20" s="224">
        <f t="shared" si="4"/>
        <v>-5.8502353129477179E-2</v>
      </c>
      <c r="T20" s="155"/>
      <c r="U20" s="284">
        <f t="shared" si="5"/>
        <v>7967923.5525501193</v>
      </c>
      <c r="V20" s="287">
        <f t="shared" si="6"/>
        <v>266133.04181151465</v>
      </c>
      <c r="W20" s="224">
        <f t="shared" si="7"/>
        <v>3.4554697565513555E-2</v>
      </c>
      <c r="X20" s="224"/>
    </row>
    <row r="21" spans="2:27" x14ac:dyDescent="0.35">
      <c r="B21" t="s">
        <v>38</v>
      </c>
      <c r="C21" t="s">
        <v>39</v>
      </c>
      <c r="D21" s="279">
        <f>'Base Rate Impacts'!P20</f>
        <v>76576.498531000005</v>
      </c>
      <c r="F21" s="265">
        <f>'Base Rate Impacts'!Q20</f>
        <v>-776.07999999999993</v>
      </c>
      <c r="G21" s="224">
        <f t="shared" si="8"/>
        <v>-1.0134702093826138E-2</v>
      </c>
      <c r="H21" s="9"/>
      <c r="I21" s="265">
        <f>'Sch. 141 Impacts'!Q20</f>
        <v>-3382.4162797638301</v>
      </c>
      <c r="J21" s="224">
        <f t="shared" si="0"/>
        <v>-4.4170422318207024E-2</v>
      </c>
      <c r="K21" s="208"/>
      <c r="L21" s="265">
        <f>'Sch. 141X Impacts'!Q20</f>
        <v>1085.8368811878063</v>
      </c>
      <c r="M21" s="224">
        <f t="shared" si="1"/>
        <v>1.4179766664941378E-2</v>
      </c>
      <c r="N21" s="155"/>
      <c r="O21" s="265">
        <f>'Sch. 149 Impacts'!Q20</f>
        <v>-1457.8458224999999</v>
      </c>
      <c r="P21" s="224">
        <f t="shared" si="2"/>
        <v>-1.9037770732097774E-2</v>
      </c>
      <c r="Q21" s="155"/>
      <c r="R21" s="284">
        <f t="shared" si="3"/>
        <v>-3754.4252210760237</v>
      </c>
      <c r="S21" s="224">
        <f t="shared" si="4"/>
        <v>-4.9028426385363422E-2</v>
      </c>
      <c r="T21" s="155"/>
      <c r="U21" s="284">
        <f t="shared" si="5"/>
        <v>72045.993309923972</v>
      </c>
      <c r="V21" s="287">
        <f t="shared" si="6"/>
        <v>-4530.5052210760332</v>
      </c>
      <c r="W21" s="224">
        <f t="shared" si="7"/>
        <v>-5.9163128479189683E-2</v>
      </c>
      <c r="X21" s="224"/>
    </row>
    <row r="22" spans="2:27" x14ac:dyDescent="0.35">
      <c r="B22" t="s">
        <v>350</v>
      </c>
      <c r="C22" t="s">
        <v>41</v>
      </c>
      <c r="D22" s="279">
        <f>'Base Rate Impacts'!P21</f>
        <v>4082109.4848146331</v>
      </c>
      <c r="F22" s="265">
        <f>'Base Rate Impacts'!Q21</f>
        <v>1065989.42</v>
      </c>
      <c r="G22" s="224">
        <f t="shared" si="8"/>
        <v>0.26113690090024766</v>
      </c>
      <c r="H22" s="9"/>
      <c r="I22" s="265">
        <f>'Sch. 141 Impacts'!Q21</f>
        <v>-152926.33031827497</v>
      </c>
      <c r="J22" s="224">
        <f t="shared" si="0"/>
        <v>-3.7462574408441987E-2</v>
      </c>
      <c r="K22" s="155"/>
      <c r="L22" s="265">
        <f>'Sch. 141X Impacts'!Q21</f>
        <v>48636.399754998762</v>
      </c>
      <c r="M22" s="224">
        <f t="shared" si="1"/>
        <v>1.1914526040010738E-2</v>
      </c>
      <c r="N22" s="155"/>
      <c r="O22" s="265">
        <f>'Sch. 149 Impacts'!Q21</f>
        <v>-202891.07931689653</v>
      </c>
      <c r="P22" s="224">
        <f t="shared" si="2"/>
        <v>-4.9702507997800488E-2</v>
      </c>
      <c r="Q22" s="155"/>
      <c r="R22" s="284">
        <f t="shared" si="3"/>
        <v>-307181.00988017273</v>
      </c>
      <c r="S22" s="224">
        <f t="shared" si="4"/>
        <v>-7.5250556366231736E-2</v>
      </c>
      <c r="T22" s="155"/>
      <c r="U22" s="284">
        <f t="shared" si="5"/>
        <v>4840917.8949344605</v>
      </c>
      <c r="V22" s="287">
        <f t="shared" si="6"/>
        <v>758808.41011982737</v>
      </c>
      <c r="W22" s="224">
        <f t="shared" si="7"/>
        <v>0.18588634453401598</v>
      </c>
      <c r="X22" s="224"/>
    </row>
    <row r="23" spans="2:27" x14ac:dyDescent="0.35">
      <c r="B23" t="s">
        <v>13</v>
      </c>
      <c r="D23" s="279">
        <f>'Base Rate Impacts'!P22</f>
        <v>1896683.4197041513</v>
      </c>
      <c r="F23" s="265">
        <f>'Base Rate Impacts'!Q22</f>
        <v>38602.938156810822</v>
      </c>
      <c r="G23" s="224">
        <f t="shared" si="8"/>
        <v>2.035286319043807E-2</v>
      </c>
      <c r="H23" s="273"/>
      <c r="I23" s="265">
        <f>'Sch. 141 Impacts'!Q22</f>
        <v>-35274.722042470239</v>
      </c>
      <c r="J23" s="224">
        <f t="shared" si="0"/>
        <v>-1.8598107452203312E-2</v>
      </c>
      <c r="K23" s="274"/>
      <c r="L23" s="265">
        <f>'Sch. 141X Impacts'!Q22</f>
        <v>11662.625379653648</v>
      </c>
      <c r="M23" s="224">
        <f t="shared" si="1"/>
        <v>6.1489573106896294E-3</v>
      </c>
      <c r="N23" s="274"/>
      <c r="O23" s="265">
        <f>'Sch. 149 Impacts'!Q22</f>
        <v>-91529.37680040233</v>
      </c>
      <c r="P23" s="224">
        <f t="shared" si="2"/>
        <v>-4.8257593148929023E-2</v>
      </c>
      <c r="Q23" s="274"/>
      <c r="R23" s="284">
        <f t="shared" si="3"/>
        <v>-115141.47346321892</v>
      </c>
      <c r="S23" s="224">
        <f t="shared" si="4"/>
        <v>-6.0706743290442705E-2</v>
      </c>
      <c r="T23" s="274"/>
      <c r="U23" s="284">
        <f t="shared" si="5"/>
        <v>1820144.8843977433</v>
      </c>
      <c r="V23" s="287">
        <f t="shared" si="6"/>
        <v>-76538.53530640807</v>
      </c>
      <c r="W23" s="224">
        <f t="shared" si="7"/>
        <v>-4.0353880100004624E-2</v>
      </c>
      <c r="X23" s="275"/>
      <c r="Y23" s="256"/>
    </row>
    <row r="24" spans="2:27" x14ac:dyDescent="0.35">
      <c r="B24" t="s">
        <v>6</v>
      </c>
      <c r="D24" s="16">
        <f>SUM(D11:D23)</f>
        <v>821775479.85509121</v>
      </c>
      <c r="F24" s="266">
        <f>SUM(F11:F23)</f>
        <v>98325071.930460706</v>
      </c>
      <c r="G24" s="225">
        <f t="shared" si="8"/>
        <v>0.11964955677163668</v>
      </c>
      <c r="H24" s="273"/>
      <c r="I24" s="266">
        <f>SUM(I11:I23)</f>
        <v>-27705929.74325138</v>
      </c>
      <c r="J24" s="225">
        <f t="shared" si="0"/>
        <v>-3.3714719436672577E-2</v>
      </c>
      <c r="K24" s="255"/>
      <c r="L24" s="266">
        <f>SUM(L11:L23)</f>
        <v>6102680.9427775256</v>
      </c>
      <c r="M24" s="225">
        <f t="shared" si="1"/>
        <v>7.426214449539976E-3</v>
      </c>
      <c r="N24" s="255"/>
      <c r="O24" s="266">
        <f>SUM(O11:O23)</f>
        <v>-10597674.068947049</v>
      </c>
      <c r="P24" s="225">
        <f t="shared" si="2"/>
        <v>-1.289606994700767E-2</v>
      </c>
      <c r="Q24" s="255"/>
      <c r="R24" s="266">
        <f>SUM(R11:R23)</f>
        <v>-32200922.869420893</v>
      </c>
      <c r="S24" s="225">
        <f>R24/$D24</f>
        <v>-3.9184574934140265E-2</v>
      </c>
      <c r="T24" s="255"/>
      <c r="U24" s="266">
        <f>SUM(U11:U23)</f>
        <v>887899628.9161309</v>
      </c>
      <c r="V24" s="266">
        <f>SUM(V11:V23)</f>
        <v>66124149.06103988</v>
      </c>
      <c r="W24" s="225">
        <f t="shared" si="7"/>
        <v>8.0464981837496494E-2</v>
      </c>
      <c r="X24" s="275"/>
      <c r="Y24" s="255"/>
    </row>
    <row r="25" spans="2:27" s="24" customFormat="1" x14ac:dyDescent="0.35">
      <c r="B25" s="17"/>
      <c r="C25" s="18"/>
      <c r="D25" s="18"/>
      <c r="E25" s="18"/>
      <c r="F25" s="267"/>
      <c r="G25" s="283"/>
      <c r="H25" s="20"/>
      <c r="I25" s="267"/>
      <c r="J25" s="283"/>
      <c r="K25" s="20"/>
      <c r="L25" s="267"/>
      <c r="M25" s="283"/>
      <c r="N25" s="20"/>
      <c r="O25" s="267"/>
      <c r="P25" s="283"/>
      <c r="Q25" s="20"/>
      <c r="R25" s="20"/>
      <c r="S25" s="20"/>
      <c r="T25" s="20"/>
      <c r="U25" s="20"/>
      <c r="V25" s="267"/>
      <c r="W25" s="283"/>
      <c r="X25" s="276"/>
      <c r="Y25" s="39"/>
    </row>
    <row r="26" spans="2:27" s="24" customFormat="1" x14ac:dyDescent="0.35">
      <c r="B26" s="17" t="s">
        <v>267</v>
      </c>
      <c r="C26" s="17"/>
      <c r="D26" s="280">
        <f>'Base Rate Impacts'!P25</f>
        <v>5622676.1599999992</v>
      </c>
      <c r="E26" s="17"/>
      <c r="F26" s="265">
        <f>'Base Rate Impacts'!Q25</f>
        <v>-443824.04999999987</v>
      </c>
      <c r="G26" s="224">
        <f t="shared" si="8"/>
        <v>-7.8934663382783182E-2</v>
      </c>
      <c r="H26" s="251"/>
      <c r="I26" s="265">
        <f>'Sch. 141 Impacts'!Q25</f>
        <v>-227387.04999999987</v>
      </c>
      <c r="J26" s="224">
        <f t="shared" si="0"/>
        <v>-4.0441071747585745E-2</v>
      </c>
      <c r="K26" s="19"/>
      <c r="L26" s="265">
        <f>'Sch. 141X Impacts'!Q25</f>
        <v>73243.629999999961</v>
      </c>
      <c r="M26" s="224">
        <f t="shared" si="1"/>
        <v>1.3026471366261288E-2</v>
      </c>
      <c r="N26" s="274"/>
      <c r="O26" s="265"/>
      <c r="P26" s="224">
        <f>O26/$D26</f>
        <v>0</v>
      </c>
      <c r="Q26" s="229"/>
      <c r="R26" s="284">
        <f t="shared" ref="R26" si="9">SUM(I26,L26,O26)</f>
        <v>-154143.41999999993</v>
      </c>
      <c r="S26" s="224">
        <f>R26/$D26</f>
        <v>-2.7414600381324459E-2</v>
      </c>
      <c r="T26" s="229"/>
      <c r="U26" s="284">
        <f>SUM(D26,F26,I26,L26,O26)</f>
        <v>5024708.6899999995</v>
      </c>
      <c r="V26" s="287">
        <f>U26-D26</f>
        <v>-597967.46999999974</v>
      </c>
      <c r="W26" s="224">
        <f t="shared" si="7"/>
        <v>-0.10634926376410762</v>
      </c>
      <c r="X26" s="275"/>
      <c r="Y26" s="276"/>
      <c r="Z26" s="25"/>
      <c r="AA26" s="28"/>
    </row>
    <row r="27" spans="2:27" s="24" customFormat="1" x14ac:dyDescent="0.35">
      <c r="B27" s="197" t="s">
        <v>302</v>
      </c>
      <c r="C27" s="197"/>
      <c r="D27" s="281">
        <f>D24+D26</f>
        <v>827398156.01509118</v>
      </c>
      <c r="E27" s="197"/>
      <c r="F27" s="268">
        <f>F24+F26</f>
        <v>97881247.880460709</v>
      </c>
      <c r="G27" s="225">
        <f t="shared" si="8"/>
        <v>0.11830005562482233</v>
      </c>
      <c r="H27" s="38"/>
      <c r="I27" s="268">
        <f>I24+I26</f>
        <v>-27933316.79325138</v>
      </c>
      <c r="J27" s="225">
        <f t="shared" si="0"/>
        <v>-3.376042911164271E-2</v>
      </c>
      <c r="K27" s="19"/>
      <c r="L27" s="268">
        <f>L24+L26</f>
        <v>6175924.5727775255</v>
      </c>
      <c r="M27" s="225">
        <f t="shared" si="1"/>
        <v>7.4642716180586708E-3</v>
      </c>
      <c r="N27" s="19"/>
      <c r="O27" s="268">
        <f>O24+O26</f>
        <v>-10597674.068947049</v>
      </c>
      <c r="P27" s="225">
        <f t="shared" si="2"/>
        <v>-1.2808433269887242E-2</v>
      </c>
      <c r="Q27" s="19"/>
      <c r="R27" s="268">
        <f>R24+R26</f>
        <v>-32355066.289420895</v>
      </c>
      <c r="S27" s="225">
        <f t="shared" ref="S27" si="10">R27/$D27</f>
        <v>-3.9104590763471267E-2</v>
      </c>
      <c r="T27" s="19"/>
      <c r="U27" s="268">
        <f>U24+U26</f>
        <v>892924337.60613096</v>
      </c>
      <c r="V27" s="268">
        <f>V24+V26</f>
        <v>65526181.591039881</v>
      </c>
      <c r="W27" s="225">
        <f>V27/$D27</f>
        <v>7.9195464861351136E-2</v>
      </c>
      <c r="X27" s="275"/>
      <c r="Y27" s="276"/>
    </row>
    <row r="28" spans="2:27" x14ac:dyDescent="0.35">
      <c r="F28" s="269"/>
      <c r="G28" s="284"/>
      <c r="H28" s="256"/>
      <c r="I28" s="269"/>
      <c r="J28" s="284"/>
      <c r="K28" s="256"/>
      <c r="L28" s="269"/>
      <c r="M28" s="284"/>
      <c r="N28" s="255"/>
      <c r="O28" s="269"/>
      <c r="P28" s="284"/>
      <c r="Q28" s="256"/>
      <c r="R28" s="256"/>
      <c r="S28" s="256"/>
      <c r="T28" s="256"/>
      <c r="U28" s="256"/>
      <c r="V28" s="269"/>
      <c r="W28" s="284"/>
      <c r="X28" s="277"/>
      <c r="Y28" s="256"/>
    </row>
    <row r="29" spans="2:27" x14ac:dyDescent="0.35">
      <c r="F29" s="269"/>
      <c r="G29" s="284"/>
      <c r="H29" s="256"/>
      <c r="I29" s="269"/>
      <c r="J29" s="284"/>
      <c r="K29" s="256"/>
      <c r="L29" s="269"/>
      <c r="M29" s="284"/>
      <c r="N29" s="255"/>
      <c r="O29" s="269"/>
      <c r="P29" s="284"/>
      <c r="Q29" s="256"/>
      <c r="R29" s="256"/>
      <c r="S29" s="256"/>
      <c r="T29" s="256"/>
      <c r="U29" s="256"/>
      <c r="V29" s="269"/>
      <c r="W29" s="284"/>
      <c r="X29" s="277"/>
      <c r="Y29" s="256"/>
    </row>
    <row r="30" spans="2:27" s="24" customFormat="1" x14ac:dyDescent="0.35">
      <c r="B30" s="33" t="s">
        <v>42</v>
      </c>
      <c r="C30" s="33"/>
      <c r="D30" s="33"/>
      <c r="E30" s="33"/>
      <c r="F30" s="270"/>
      <c r="G30" s="285"/>
      <c r="H30" s="39"/>
      <c r="I30" s="270"/>
      <c r="J30" s="285"/>
      <c r="K30" s="39"/>
      <c r="L30" s="270"/>
      <c r="M30" s="285"/>
      <c r="N30" s="39"/>
      <c r="O30" s="270"/>
      <c r="P30" s="285"/>
      <c r="Q30" s="39"/>
      <c r="R30" s="39"/>
      <c r="S30" s="39"/>
      <c r="T30" s="39"/>
      <c r="U30" s="39"/>
      <c r="V30" s="270"/>
      <c r="W30" s="285"/>
      <c r="X30" s="276"/>
      <c r="Y30" s="39"/>
    </row>
    <row r="31" spans="2:27" s="24" customFormat="1" x14ac:dyDescent="0.35">
      <c r="B31" s="197" t="s">
        <v>43</v>
      </c>
      <c r="C31" s="197"/>
      <c r="D31" s="35">
        <f>D11+D12</f>
        <v>566052721.01490724</v>
      </c>
      <c r="E31" s="197"/>
      <c r="F31" s="35">
        <f>F11+F12</f>
        <v>64992047.481294617</v>
      </c>
      <c r="G31" s="224">
        <f t="shared" ref="G31:G38" si="11">F31/$D31</f>
        <v>0.11481624426213653</v>
      </c>
      <c r="H31" s="38"/>
      <c r="I31" s="35">
        <f>I11+I12</f>
        <v>-19233533.002500385</v>
      </c>
      <c r="J31" s="224">
        <f t="shared" ref="J31:J38" si="12">I31/$D31</f>
        <v>-3.3978342102155293E-2</v>
      </c>
      <c r="K31" s="39"/>
      <c r="L31" s="35">
        <f>L11+L12</f>
        <v>4328565.0999865895</v>
      </c>
      <c r="M31" s="224">
        <f t="shared" ref="M31:M38" si="13">L31/$D31</f>
        <v>7.6469292334213424E-3</v>
      </c>
      <c r="N31" s="195"/>
      <c r="O31" s="35">
        <f>O11+O12</f>
        <v>-6829778.8299959553</v>
      </c>
      <c r="P31" s="224">
        <f t="shared" ref="P31:P38" si="14">O31/$D31</f>
        <v>-1.2065623176849087E-2</v>
      </c>
      <c r="Q31" s="39"/>
      <c r="R31" s="35">
        <f>R11+R12</f>
        <v>-21734746.732509751</v>
      </c>
      <c r="S31" s="224">
        <f t="shared" ref="S31:S32" si="15">R31/$D31</f>
        <v>-3.8397036045583033E-2</v>
      </c>
      <c r="T31" s="39"/>
      <c r="U31" s="35">
        <f>U11+U12</f>
        <v>609310021.76369214</v>
      </c>
      <c r="V31" s="35">
        <f>V11+V12</f>
        <v>43257300.748784944</v>
      </c>
      <c r="W31" s="224">
        <f t="shared" ref="W31:W38" si="16">V31/$D31</f>
        <v>7.6419208216553638E-2</v>
      </c>
      <c r="X31" s="275"/>
      <c r="Y31" s="36"/>
    </row>
    <row r="32" spans="2:27" s="24" customFormat="1" x14ac:dyDescent="0.35">
      <c r="B32" s="37" t="s">
        <v>44</v>
      </c>
      <c r="C32" s="37"/>
      <c r="D32" s="35">
        <f>D13+D18</f>
        <v>180505338.49333602</v>
      </c>
      <c r="E32" s="37"/>
      <c r="F32" s="35">
        <f>F13+F18</f>
        <v>28967359.550000012</v>
      </c>
      <c r="G32" s="224">
        <f t="shared" si="11"/>
        <v>0.16047924007006276</v>
      </c>
      <c r="H32" s="38"/>
      <c r="I32" s="35">
        <f>I13+I18</f>
        <v>-6149695.4958011471</v>
      </c>
      <c r="J32" s="224">
        <f t="shared" si="12"/>
        <v>-3.4069327517580232E-2</v>
      </c>
      <c r="K32" s="39"/>
      <c r="L32" s="35">
        <f>L13+L18</f>
        <v>1283746.821892391</v>
      </c>
      <c r="M32" s="224">
        <f t="shared" si="13"/>
        <v>7.1119604140671162E-3</v>
      </c>
      <c r="N32" s="195"/>
      <c r="O32" s="35">
        <f>O13+O18</f>
        <v>-2547840.5164192999</v>
      </c>
      <c r="P32" s="224">
        <f t="shared" si="14"/>
        <v>-1.4115042456283708E-2</v>
      </c>
      <c r="Q32" s="39"/>
      <c r="R32" s="35">
        <f>R13+R18</f>
        <v>-7413789.190328056</v>
      </c>
      <c r="S32" s="224">
        <f t="shared" si="15"/>
        <v>-4.1072409559796824E-2</v>
      </c>
      <c r="T32" s="39"/>
      <c r="U32" s="35">
        <f t="shared" ref="U32:V36" si="17">U13+U18</f>
        <v>202058908.85300797</v>
      </c>
      <c r="V32" s="35">
        <f t="shared" si="17"/>
        <v>21553570.359671954</v>
      </c>
      <c r="W32" s="224">
        <f t="shared" si="16"/>
        <v>0.11940683051026593</v>
      </c>
      <c r="X32" s="275"/>
      <c r="Y32" s="39"/>
    </row>
    <row r="33" spans="2:25" s="24" customFormat="1" x14ac:dyDescent="0.35">
      <c r="B33" s="197" t="s">
        <v>45</v>
      </c>
      <c r="C33" s="197"/>
      <c r="D33" s="35">
        <f>D14+D19</f>
        <v>42214666.87425936</v>
      </c>
      <c r="E33" s="197"/>
      <c r="F33" s="35">
        <f>F14+F19</f>
        <v>2014127.9135020834</v>
      </c>
      <c r="G33" s="224">
        <f t="shared" si="11"/>
        <v>4.7711567155116166E-2</v>
      </c>
      <c r="H33" s="38"/>
      <c r="I33" s="35">
        <f>I14+I19</f>
        <v>-1410062.0815703457</v>
      </c>
      <c r="J33" s="224">
        <f t="shared" si="12"/>
        <v>-3.3402184263833179E-2</v>
      </c>
      <c r="K33" s="39"/>
      <c r="L33" s="35">
        <f>L14+L19</f>
        <v>269405.31870195188</v>
      </c>
      <c r="M33" s="224">
        <f t="shared" si="13"/>
        <v>6.3817942589575035E-3</v>
      </c>
      <c r="N33" s="195"/>
      <c r="O33" s="35">
        <f>O14+O19</f>
        <v>-536966.32969599462</v>
      </c>
      <c r="P33" s="224">
        <f>O33/$D33</f>
        <v>-1.2719899728106417E-2</v>
      </c>
      <c r="Q33" s="39"/>
      <c r="R33" s="35">
        <f>R14+R19</f>
        <v>-1677623.0925643886</v>
      </c>
      <c r="S33" s="224">
        <f>R33/$D33</f>
        <v>-3.9740289732982097E-2</v>
      </c>
      <c r="T33" s="39"/>
      <c r="U33" s="35">
        <f t="shared" si="17"/>
        <v>42551171.695197061</v>
      </c>
      <c r="V33" s="35">
        <f t="shared" si="17"/>
        <v>336504.82093769498</v>
      </c>
      <c r="W33" s="224">
        <f t="shared" si="16"/>
        <v>7.9712774221340765E-3</v>
      </c>
      <c r="X33" s="275"/>
      <c r="Y33" s="39"/>
    </row>
    <row r="34" spans="2:25" s="24" customFormat="1" x14ac:dyDescent="0.35">
      <c r="B34" s="197" t="s">
        <v>46</v>
      </c>
      <c r="C34" s="197"/>
      <c r="D34" s="35">
        <f>D15+D20</f>
        <v>14174125.858131481</v>
      </c>
      <c r="E34" s="197"/>
      <c r="F34" s="35">
        <f>F15+F20</f>
        <v>880156.65750719164</v>
      </c>
      <c r="G34" s="224">
        <f t="shared" si="11"/>
        <v>6.209600975161788E-2</v>
      </c>
      <c r="H34" s="38"/>
      <c r="I34" s="35">
        <f>I15+I20</f>
        <v>-453480.77118781919</v>
      </c>
      <c r="J34" s="224">
        <f t="shared" si="12"/>
        <v>-3.1993561770700951E-2</v>
      </c>
      <c r="K34" s="39"/>
      <c r="L34" s="35">
        <f>L15+L20</f>
        <v>117122.99013606313</v>
      </c>
      <c r="M34" s="224">
        <f t="shared" si="13"/>
        <v>8.2631543777968823E-3</v>
      </c>
      <c r="N34" s="195"/>
      <c r="O34" s="35">
        <f>O15+O20</f>
        <v>-301070.88468398282</v>
      </c>
      <c r="P34" s="224">
        <f t="shared" si="14"/>
        <v>-2.1240878463856944E-2</v>
      </c>
      <c r="Q34" s="39"/>
      <c r="R34" s="35">
        <f>R15+R20</f>
        <v>-637428.66573573882</v>
      </c>
      <c r="S34" s="224">
        <f t="shared" ref="S34:S38" si="18">R34/$D34</f>
        <v>-4.4971285856761009E-2</v>
      </c>
      <c r="T34" s="39"/>
      <c r="U34" s="35">
        <f t="shared" si="17"/>
        <v>14416853.849902933</v>
      </c>
      <c r="V34" s="35">
        <f t="shared" si="17"/>
        <v>242727.99177145213</v>
      </c>
      <c r="W34" s="224">
        <f t="shared" si="16"/>
        <v>1.7124723894856822E-2</v>
      </c>
      <c r="X34" s="275"/>
      <c r="Y34" s="39"/>
    </row>
    <row r="35" spans="2:25" s="24" customFormat="1" x14ac:dyDescent="0.35">
      <c r="B35" s="197" t="s">
        <v>47</v>
      </c>
      <c r="C35" s="197"/>
      <c r="D35" s="35">
        <f>D16+D21</f>
        <v>4997508.5493644169</v>
      </c>
      <c r="E35" s="197"/>
      <c r="F35" s="35">
        <f>F16+F21</f>
        <v>7.8399999999837746</v>
      </c>
      <c r="G35" s="224">
        <f t="shared" si="11"/>
        <v>1.5687817084336686E-6</v>
      </c>
      <c r="H35" s="38"/>
      <c r="I35" s="35">
        <f>I16+I21</f>
        <v>-163240.18634088829</v>
      </c>
      <c r="J35" s="224">
        <f t="shared" si="12"/>
        <v>-3.2664313573140195E-2</v>
      </c>
      <c r="K35" s="39"/>
      <c r="L35" s="35">
        <f>L16+L21</f>
        <v>28408.169591323385</v>
      </c>
      <c r="M35" s="224">
        <f t="shared" si="13"/>
        <v>5.6844664317655521E-3</v>
      </c>
      <c r="N35" s="195"/>
      <c r="O35" s="35">
        <f>O16+O21</f>
        <v>-40456.226955144368</v>
      </c>
      <c r="P35" s="224">
        <f t="shared" si="14"/>
        <v>-8.0952791887248677E-3</v>
      </c>
      <c r="Q35" s="39"/>
      <c r="R35" s="35">
        <f>R16+R21</f>
        <v>-175288.24370470928</v>
      </c>
      <c r="S35" s="224">
        <f t="shared" si="18"/>
        <v>-3.5075126330099515E-2</v>
      </c>
      <c r="T35" s="39"/>
      <c r="U35" s="35">
        <f t="shared" si="17"/>
        <v>4822228.1456597084</v>
      </c>
      <c r="V35" s="35">
        <f t="shared" si="17"/>
        <v>-175280.40370470908</v>
      </c>
      <c r="W35" s="224">
        <f t="shared" si="16"/>
        <v>-3.5073557548391039E-2</v>
      </c>
      <c r="X35" s="275"/>
      <c r="Y35" s="39"/>
    </row>
    <row r="36" spans="2:25" s="24" customFormat="1" x14ac:dyDescent="0.35">
      <c r="B36" s="17" t="s">
        <v>48</v>
      </c>
      <c r="C36" s="17"/>
      <c r="D36" s="35">
        <f>D17+D22</f>
        <v>11934435.645388348</v>
      </c>
      <c r="E36" s="17"/>
      <c r="F36" s="35">
        <f>F17+F22</f>
        <v>1432769.5499999998</v>
      </c>
      <c r="G36" s="224">
        <f t="shared" si="11"/>
        <v>0.12005339779544953</v>
      </c>
      <c r="H36" s="38"/>
      <c r="I36" s="35">
        <f>I17+I22</f>
        <v>-260643.48380832377</v>
      </c>
      <c r="J36" s="224">
        <f t="shared" si="12"/>
        <v>-2.1839615341094111E-2</v>
      </c>
      <c r="K36" s="38"/>
      <c r="L36" s="35">
        <f>L17+L22</f>
        <v>63769.917089553339</v>
      </c>
      <c r="M36" s="224">
        <f t="shared" si="13"/>
        <v>5.3433542217134521E-3</v>
      </c>
      <c r="N36" s="195"/>
      <c r="O36" s="35">
        <f>O17+O22</f>
        <v>-250031.90439626796</v>
      </c>
      <c r="P36" s="224">
        <f t="shared" si="14"/>
        <v>-2.095045897648995E-2</v>
      </c>
      <c r="Q36" s="38"/>
      <c r="R36" s="35">
        <f>R17+R22</f>
        <v>-446905.47111503838</v>
      </c>
      <c r="S36" s="224">
        <f t="shared" si="18"/>
        <v>-3.7446720095870613E-2</v>
      </c>
      <c r="T36" s="38"/>
      <c r="U36" s="35">
        <f t="shared" si="17"/>
        <v>12920299.724273309</v>
      </c>
      <c r="V36" s="35">
        <f t="shared" si="17"/>
        <v>985864.07888496155</v>
      </c>
      <c r="W36" s="224">
        <f t="shared" si="16"/>
        <v>8.2606677699578926E-2</v>
      </c>
      <c r="X36" s="275"/>
      <c r="Y36" s="39"/>
    </row>
    <row r="37" spans="2:25" s="24" customFormat="1" x14ac:dyDescent="0.35">
      <c r="B37" s="253" t="s">
        <v>13</v>
      </c>
      <c r="C37" s="17"/>
      <c r="D37" s="35">
        <f>D23</f>
        <v>1896683.4197041513</v>
      </c>
      <c r="E37" s="17"/>
      <c r="F37" s="35">
        <f>F23</f>
        <v>38602.938156810822</v>
      </c>
      <c r="G37" s="224">
        <f t="shared" si="11"/>
        <v>2.035286319043807E-2</v>
      </c>
      <c r="H37" s="38"/>
      <c r="I37" s="35">
        <f>I23</f>
        <v>-35274.722042470239</v>
      </c>
      <c r="J37" s="224">
        <f t="shared" si="12"/>
        <v>-1.8598107452203312E-2</v>
      </c>
      <c r="K37" s="38"/>
      <c r="L37" s="35">
        <f>L23</f>
        <v>11662.625379653648</v>
      </c>
      <c r="M37" s="224">
        <f t="shared" si="13"/>
        <v>6.1489573106896294E-3</v>
      </c>
      <c r="N37" s="195"/>
      <c r="O37" s="35">
        <f>O23</f>
        <v>-91529.37680040233</v>
      </c>
      <c r="P37" s="224">
        <f t="shared" si="14"/>
        <v>-4.8257593148929023E-2</v>
      </c>
      <c r="Q37" s="38"/>
      <c r="R37" s="35">
        <f>R23</f>
        <v>-115141.47346321892</v>
      </c>
      <c r="S37" s="224">
        <f t="shared" si="18"/>
        <v>-6.0706743290442705E-2</v>
      </c>
      <c r="T37" s="38"/>
      <c r="U37" s="35">
        <f>U23</f>
        <v>1820144.8843977433</v>
      </c>
      <c r="V37" s="35">
        <f>V23</f>
        <v>-76538.53530640807</v>
      </c>
      <c r="W37" s="224">
        <f t="shared" si="16"/>
        <v>-4.0353880100004624E-2</v>
      </c>
      <c r="X37" s="275"/>
      <c r="Y37" s="39"/>
    </row>
    <row r="38" spans="2:25" s="24" customFormat="1" x14ac:dyDescent="0.35">
      <c r="B38" s="40" t="s">
        <v>14</v>
      </c>
      <c r="C38" s="40"/>
      <c r="D38" s="282">
        <f>SUM(D31:D37)</f>
        <v>821775479.85509121</v>
      </c>
      <c r="E38" s="17"/>
      <c r="F38" s="272">
        <f>SUM(F31:F37)</f>
        <v>98325071.930460721</v>
      </c>
      <c r="G38" s="225">
        <f t="shared" si="11"/>
        <v>0.11964955677163669</v>
      </c>
      <c r="H38" s="38"/>
      <c r="I38" s="272">
        <f>SUM(I31:I37)</f>
        <v>-27705929.74325138</v>
      </c>
      <c r="J38" s="225">
        <f t="shared" si="12"/>
        <v>-3.3714719436672577E-2</v>
      </c>
      <c r="K38" s="38"/>
      <c r="L38" s="272">
        <f>SUM(L31:L37)</f>
        <v>6102680.9427775256</v>
      </c>
      <c r="M38" s="225">
        <f t="shared" si="13"/>
        <v>7.426214449539976E-3</v>
      </c>
      <c r="N38" s="195"/>
      <c r="O38" s="272">
        <f>SUM(O31:O37)</f>
        <v>-10597674.068947047</v>
      </c>
      <c r="P38" s="225">
        <f t="shared" si="14"/>
        <v>-1.2896069947007668E-2</v>
      </c>
      <c r="Q38" s="38"/>
      <c r="R38" s="272">
        <f>SUM(R31:R37)</f>
        <v>-32200922.869420905</v>
      </c>
      <c r="S38" s="225">
        <f t="shared" si="18"/>
        <v>-3.9184574934140279E-2</v>
      </c>
      <c r="T38" s="38"/>
      <c r="U38" s="272">
        <f>SUM(U31:U37)</f>
        <v>887899628.91613102</v>
      </c>
      <c r="V38" s="272">
        <f>SUM(V31:V37)</f>
        <v>66124149.06103988</v>
      </c>
      <c r="W38" s="225">
        <f t="shared" si="16"/>
        <v>8.0464981837496494E-2</v>
      </c>
      <c r="X38" s="275"/>
      <c r="Y38" s="39"/>
    </row>
    <row r="39" spans="2:25" s="24" customFormat="1" x14ac:dyDescent="0.35">
      <c r="B39" s="17"/>
      <c r="C39" s="17"/>
      <c r="D39" s="17"/>
      <c r="E39" s="17"/>
      <c r="F39" s="271"/>
      <c r="G39" s="286"/>
      <c r="H39" s="38"/>
      <c r="I39" s="271"/>
      <c r="J39" s="286"/>
      <c r="K39" s="38"/>
      <c r="L39" s="271"/>
      <c r="M39" s="286"/>
      <c r="N39" s="195"/>
      <c r="O39" s="271"/>
      <c r="P39" s="286"/>
      <c r="Q39" s="38"/>
      <c r="R39" s="271"/>
      <c r="S39" s="286"/>
      <c r="T39" s="38"/>
      <c r="U39" s="38"/>
      <c r="V39" s="271"/>
      <c r="W39" s="286"/>
      <c r="X39" s="275"/>
      <c r="Y39" s="39"/>
    </row>
    <row r="40" spans="2:25" s="24" customFormat="1" x14ac:dyDescent="0.35">
      <c r="B40" s="17" t="s">
        <v>267</v>
      </c>
      <c r="C40" s="17"/>
      <c r="D40" s="280">
        <f>D26</f>
        <v>5622676.1599999992</v>
      </c>
      <c r="E40" s="17"/>
      <c r="F40" s="271">
        <f>F26</f>
        <v>-443824.04999999987</v>
      </c>
      <c r="G40" s="224">
        <f t="shared" ref="G40:G41" si="19">F40/$D40</f>
        <v>-7.8934663382783182E-2</v>
      </c>
      <c r="H40" s="38"/>
      <c r="I40" s="271">
        <f>I26</f>
        <v>-227387.04999999987</v>
      </c>
      <c r="J40" s="224">
        <f t="shared" ref="J40:J41" si="20">I40/$D40</f>
        <v>-4.0441071747585745E-2</v>
      </c>
      <c r="K40" s="38"/>
      <c r="L40" s="271">
        <f>L26</f>
        <v>73243.629999999961</v>
      </c>
      <c r="M40" s="224">
        <f t="shared" ref="M40:M41" si="21">L40/$D40</f>
        <v>1.3026471366261288E-2</v>
      </c>
      <c r="N40" s="195"/>
      <c r="O40" s="271">
        <f>O26</f>
        <v>0</v>
      </c>
      <c r="P40" s="224">
        <f t="shared" ref="P40:P41" si="22">O40/$D40</f>
        <v>0</v>
      </c>
      <c r="Q40" s="38"/>
      <c r="R40" s="271">
        <f>R26</f>
        <v>-154143.41999999993</v>
      </c>
      <c r="S40" s="224">
        <f t="shared" ref="S40:S41" si="23">R40/$D40</f>
        <v>-2.7414600381324459E-2</v>
      </c>
      <c r="T40" s="38"/>
      <c r="U40" s="271">
        <f>U26</f>
        <v>5024708.6899999995</v>
      </c>
      <c r="V40" s="271">
        <f>V26</f>
        <v>-597967.46999999974</v>
      </c>
      <c r="W40" s="224">
        <f t="shared" ref="W40:W41" si="24">V40/$D40</f>
        <v>-0.10634926376410762</v>
      </c>
      <c r="X40" s="275"/>
      <c r="Y40" s="39"/>
    </row>
    <row r="41" spans="2:25" s="31" customFormat="1" x14ac:dyDescent="0.35">
      <c r="B41" s="197" t="s">
        <v>302</v>
      </c>
      <c r="C41" s="197"/>
      <c r="D41" s="282">
        <f>D38+D40</f>
        <v>827398156.01509118</v>
      </c>
      <c r="E41" s="197"/>
      <c r="F41" s="272">
        <f>F38+F40</f>
        <v>97881247.880460724</v>
      </c>
      <c r="G41" s="225">
        <f t="shared" si="19"/>
        <v>0.11830005562482235</v>
      </c>
      <c r="H41" s="38"/>
      <c r="I41" s="272">
        <f>I38+I40</f>
        <v>-27933316.79325138</v>
      </c>
      <c r="J41" s="225">
        <f t="shared" si="20"/>
        <v>-3.376042911164271E-2</v>
      </c>
      <c r="K41" s="38"/>
      <c r="L41" s="272">
        <f>L38+L40</f>
        <v>6175924.5727775255</v>
      </c>
      <c r="M41" s="225">
        <f t="shared" si="21"/>
        <v>7.4642716180586708E-3</v>
      </c>
      <c r="N41" s="195"/>
      <c r="O41" s="272">
        <f>O38+O40</f>
        <v>-10597674.068947047</v>
      </c>
      <c r="P41" s="225">
        <f t="shared" si="22"/>
        <v>-1.280843326988724E-2</v>
      </c>
      <c r="Q41" s="38"/>
      <c r="R41" s="272">
        <f>R38+R40</f>
        <v>-32355066.289420903</v>
      </c>
      <c r="S41" s="225">
        <f t="shared" si="23"/>
        <v>-3.9104590763471281E-2</v>
      </c>
      <c r="T41" s="38"/>
      <c r="U41" s="272">
        <f>U38+U40</f>
        <v>892924337.60613108</v>
      </c>
      <c r="V41" s="272">
        <f>V38+V40</f>
        <v>65526181.591039881</v>
      </c>
      <c r="W41" s="225">
        <f t="shared" si="24"/>
        <v>7.9195464861351136E-2</v>
      </c>
      <c r="X41" s="275"/>
      <c r="Y41" s="38"/>
    </row>
    <row r="42" spans="2:25" s="24" customFormat="1" x14ac:dyDescent="0.35">
      <c r="B42" s="31"/>
      <c r="C42" s="31"/>
      <c r="D42" s="31"/>
      <c r="E42" s="31"/>
      <c r="F42" s="31"/>
      <c r="G42" s="31"/>
      <c r="H42" s="31"/>
      <c r="K42" s="39"/>
      <c r="N42" s="31"/>
      <c r="P42" s="31"/>
      <c r="Q42" s="31"/>
      <c r="R42" s="31"/>
      <c r="S42" s="31"/>
      <c r="T42" s="31"/>
      <c r="U42" s="31"/>
      <c r="V42" s="31"/>
      <c r="W42" s="42"/>
    </row>
    <row r="43" spans="2:25" x14ac:dyDescent="0.35">
      <c r="B43" s="197" t="s">
        <v>343</v>
      </c>
      <c r="F43" s="32"/>
      <c r="G43" s="32"/>
      <c r="J43" s="165"/>
      <c r="N43" s="32"/>
      <c r="V43" s="32"/>
    </row>
    <row r="44" spans="2:25" x14ac:dyDescent="0.35">
      <c r="F44" s="32"/>
      <c r="G44" s="32"/>
      <c r="N44" s="32"/>
      <c r="V44" s="32"/>
    </row>
    <row r="45" spans="2:25" x14ac:dyDescent="0.35">
      <c r="B45" s="166"/>
    </row>
  </sheetData>
  <mergeCells count="4">
    <mergeCell ref="B1:W1"/>
    <mergeCell ref="B2:W2"/>
    <mergeCell ref="B3:W3"/>
    <mergeCell ref="B4:W4"/>
  </mergeCells>
  <printOptions horizontalCentered="1"/>
  <pageMargins left="0.45" right="0.45" top="0.75" bottom="0.75" header="0.3" footer="0.3"/>
  <pageSetup scale="52" orientation="landscape" blackAndWhite="1" r:id="rId1"/>
  <headerFooter>
    <oddFooter>&amp;L&amp;F 
&amp;A&amp;RExhibit No. ___(JAP-15)
                   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T29" sqref="T29"/>
    </sheetView>
  </sheetViews>
  <sheetFormatPr defaultRowHeight="14.5" x14ac:dyDescent="0.35"/>
  <sheetData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Normal="100" workbookViewId="0">
      <selection activeCell="C7" sqref="C7"/>
    </sheetView>
  </sheetViews>
  <sheetFormatPr defaultRowHeight="14.5" x14ac:dyDescent="0.35"/>
  <cols>
    <col min="1" max="1" width="37.7265625" customWidth="1"/>
    <col min="3" max="3" width="16.54296875" bestFit="1" customWidth="1"/>
    <col min="4" max="5" width="10.7265625" bestFit="1" customWidth="1"/>
    <col min="6" max="6" width="15.7265625" bestFit="1" customWidth="1"/>
    <col min="7" max="7" width="13.7265625" bestFit="1" customWidth="1"/>
    <col min="8" max="8" width="7.81640625" bestFit="1" customWidth="1"/>
  </cols>
  <sheetData>
    <row r="1" spans="1:8" x14ac:dyDescent="0.35">
      <c r="A1" s="337" t="s">
        <v>0</v>
      </c>
      <c r="B1" s="337"/>
      <c r="C1" s="337"/>
      <c r="D1" s="337"/>
      <c r="E1" s="337"/>
      <c r="F1" s="337"/>
      <c r="G1" s="337"/>
      <c r="H1" s="337"/>
    </row>
    <row r="2" spans="1:8" x14ac:dyDescent="0.35">
      <c r="A2" s="337" t="s">
        <v>290</v>
      </c>
      <c r="B2" s="337"/>
      <c r="C2" s="337"/>
      <c r="D2" s="337"/>
      <c r="E2" s="337"/>
      <c r="F2" s="337"/>
      <c r="G2" s="337"/>
      <c r="H2" s="337"/>
    </row>
    <row r="3" spans="1:8" x14ac:dyDescent="0.35">
      <c r="A3" s="338" t="s">
        <v>311</v>
      </c>
      <c r="B3" s="339"/>
      <c r="C3" s="339"/>
      <c r="D3" s="339"/>
      <c r="E3" s="339"/>
      <c r="F3" s="339"/>
      <c r="G3" s="339"/>
      <c r="H3" s="339"/>
    </row>
    <row r="4" spans="1:8" x14ac:dyDescent="0.35">
      <c r="D4" s="4"/>
      <c r="E4" s="4"/>
    </row>
    <row r="5" spans="1:8" x14ac:dyDescent="0.3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19</v>
      </c>
      <c r="H5" s="5"/>
    </row>
    <row r="6" spans="1:8" x14ac:dyDescent="0.35">
      <c r="A6" s="5"/>
      <c r="B6" s="5" t="s">
        <v>17</v>
      </c>
      <c r="C6" s="5" t="s">
        <v>3</v>
      </c>
      <c r="D6" s="5" t="s">
        <v>19</v>
      </c>
      <c r="E6" s="5" t="s">
        <v>19</v>
      </c>
      <c r="F6" s="5" t="s">
        <v>15</v>
      </c>
      <c r="G6" s="5" t="s">
        <v>2</v>
      </c>
      <c r="H6" s="5" t="s">
        <v>20</v>
      </c>
    </row>
    <row r="7" spans="1:8" x14ac:dyDescent="0.3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35">
      <c r="A8" t="s">
        <v>7</v>
      </c>
      <c r="B8" s="8">
        <v>23</v>
      </c>
      <c r="C8" s="183">
        <f>'Normalized Therms'!P9</f>
        <v>609248231.82931805</v>
      </c>
      <c r="D8" s="11">
        <v>-3.8500000000000001E-3</v>
      </c>
      <c r="E8" s="11">
        <v>-3.8500000000000001E-3</v>
      </c>
      <c r="F8" s="161">
        <f>ROUND(C8*D8,2)</f>
        <v>-2345605.69</v>
      </c>
      <c r="G8" s="12">
        <f>ROUND((E8-D8)*C8,2)</f>
        <v>0</v>
      </c>
      <c r="H8" s="2">
        <f>-G8/F8</f>
        <v>0</v>
      </c>
    </row>
    <row r="9" spans="1:8" x14ac:dyDescent="0.35">
      <c r="A9" t="s">
        <v>31</v>
      </c>
      <c r="B9" s="8">
        <v>16</v>
      </c>
      <c r="C9" s="183">
        <f>'Normalized Therms'!P10</f>
        <v>9386</v>
      </c>
      <c r="D9" s="11">
        <v>-3.8500000000000001E-3</v>
      </c>
      <c r="E9" s="11">
        <v>-3.8500000000000001E-3</v>
      </c>
      <c r="F9" s="161">
        <f t="shared" ref="F9:F14" si="0">ROUND(C9*D9,2)</f>
        <v>-36.14</v>
      </c>
      <c r="G9" s="12">
        <f t="shared" ref="G9:G14" si="1">ROUND((E9-D9)*C9,2)</f>
        <v>0</v>
      </c>
      <c r="H9" s="2">
        <f t="shared" ref="H9:H14" si="2">-G9/F9</f>
        <v>0</v>
      </c>
    </row>
    <row r="10" spans="1:8" x14ac:dyDescent="0.35">
      <c r="A10" t="s">
        <v>8</v>
      </c>
      <c r="B10" s="8">
        <v>31</v>
      </c>
      <c r="C10" s="183">
        <f>'Normalized Therms'!P12</f>
        <v>234140158.08963937</v>
      </c>
      <c r="D10" s="11">
        <v>-3.8400000000000001E-3</v>
      </c>
      <c r="E10" s="11">
        <v>-3.8400000000000001E-3</v>
      </c>
      <c r="F10" s="161">
        <f t="shared" si="0"/>
        <v>-899098.21</v>
      </c>
      <c r="G10" s="12">
        <f t="shared" si="1"/>
        <v>0</v>
      </c>
      <c r="H10" s="2">
        <f t="shared" si="2"/>
        <v>0</v>
      </c>
    </row>
    <row r="11" spans="1:8" x14ac:dyDescent="0.35">
      <c r="A11" t="s">
        <v>9</v>
      </c>
      <c r="B11" s="8">
        <v>41</v>
      </c>
      <c r="C11" s="183">
        <f>'Normalized Therms'!P13</f>
        <v>65836657.463465482</v>
      </c>
      <c r="D11" s="11">
        <v>-3.7799999999999999E-3</v>
      </c>
      <c r="E11" s="11">
        <v>-3.7799999999999999E-3</v>
      </c>
      <c r="F11" s="161">
        <f t="shared" si="0"/>
        <v>-248862.57</v>
      </c>
      <c r="G11" s="12">
        <f t="shared" si="1"/>
        <v>0</v>
      </c>
      <c r="H11" s="2">
        <f t="shared" si="2"/>
        <v>0</v>
      </c>
    </row>
    <row r="12" spans="1:8" x14ac:dyDescent="0.35">
      <c r="A12" t="s">
        <v>10</v>
      </c>
      <c r="B12" s="8">
        <v>85</v>
      </c>
      <c r="C12" s="183">
        <f>'Normalized Therms'!P14</f>
        <v>16184434.068649085</v>
      </c>
      <c r="D12" s="11">
        <v>-3.7599999999999999E-3</v>
      </c>
      <c r="E12" s="11">
        <v>-3.7599999999999999E-3</v>
      </c>
      <c r="F12" s="161">
        <f>ROUND(C12*D12,2)</f>
        <v>-60853.47</v>
      </c>
      <c r="G12" s="12">
        <f t="shared" si="1"/>
        <v>0</v>
      </c>
      <c r="H12" s="2">
        <f t="shared" si="2"/>
        <v>0</v>
      </c>
    </row>
    <row r="13" spans="1:8" x14ac:dyDescent="0.35">
      <c r="A13" t="s">
        <v>11</v>
      </c>
      <c r="B13" s="8">
        <v>86</v>
      </c>
      <c r="C13" s="183">
        <f>'Normalized Therms'!P15</f>
        <v>9397200.2729263529</v>
      </c>
      <c r="D13" s="11">
        <v>-3.7599999999999999E-3</v>
      </c>
      <c r="E13" s="11">
        <v>-3.7599999999999999E-3</v>
      </c>
      <c r="F13" s="161">
        <f t="shared" si="0"/>
        <v>-35333.47</v>
      </c>
      <c r="G13" s="12">
        <f t="shared" si="1"/>
        <v>0</v>
      </c>
      <c r="H13" s="2">
        <f t="shared" si="2"/>
        <v>0</v>
      </c>
    </row>
    <row r="14" spans="1:8" x14ac:dyDescent="0.35">
      <c r="A14" t="s">
        <v>12</v>
      </c>
      <c r="B14" s="8">
        <v>87</v>
      </c>
      <c r="C14" s="183">
        <f>'Normalized Therms'!P16</f>
        <v>23337042.118500698</v>
      </c>
      <c r="D14" s="11">
        <v>-3.7399999999999998E-3</v>
      </c>
      <c r="E14" s="11">
        <v>-3.7399999999999998E-3</v>
      </c>
      <c r="F14" s="161">
        <f t="shared" si="0"/>
        <v>-87280.54</v>
      </c>
      <c r="G14" s="12">
        <f t="shared" si="1"/>
        <v>0</v>
      </c>
      <c r="H14" s="2">
        <f t="shared" si="2"/>
        <v>0</v>
      </c>
    </row>
    <row r="15" spans="1:8" x14ac:dyDescent="0.35">
      <c r="A15" t="s">
        <v>6</v>
      </c>
      <c r="C15" s="15">
        <f>SUM(C8:C14)</f>
        <v>958153109.84249902</v>
      </c>
      <c r="D15" s="9"/>
      <c r="E15" s="9"/>
      <c r="F15" s="162">
        <f>SUM(F8:F14)</f>
        <v>-3677070.0900000003</v>
      </c>
      <c r="G15" s="16">
        <f>SUM(G8:G14)</f>
        <v>0</v>
      </c>
      <c r="H15" s="3">
        <f>-G15/F15</f>
        <v>0</v>
      </c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selection activeCell="C7" sqref="C7"/>
    </sheetView>
  </sheetViews>
  <sheetFormatPr defaultRowHeight="14.5" x14ac:dyDescent="0.35"/>
  <cols>
    <col min="1" max="1" width="40" bestFit="1" customWidth="1"/>
    <col min="3" max="3" width="16.54296875" bestFit="1" customWidth="1"/>
    <col min="4" max="5" width="10" bestFit="1" customWidth="1"/>
    <col min="6" max="6" width="15.7265625" bestFit="1" customWidth="1"/>
    <col min="7" max="7" width="11.54296875" bestFit="1" customWidth="1"/>
    <col min="8" max="8" width="7.81640625" bestFit="1" customWidth="1"/>
  </cols>
  <sheetData>
    <row r="1" spans="1:8" x14ac:dyDescent="0.35">
      <c r="A1" s="337" t="s">
        <v>0</v>
      </c>
      <c r="B1" s="337"/>
      <c r="C1" s="337"/>
      <c r="D1" s="337"/>
      <c r="E1" s="337"/>
      <c r="F1" s="337"/>
      <c r="G1" s="337"/>
      <c r="H1" s="337"/>
    </row>
    <row r="2" spans="1:8" x14ac:dyDescent="0.35">
      <c r="A2" s="337" t="s">
        <v>264</v>
      </c>
      <c r="B2" s="337"/>
      <c r="C2" s="337"/>
      <c r="D2" s="337"/>
      <c r="E2" s="337"/>
      <c r="F2" s="337"/>
      <c r="G2" s="337"/>
      <c r="H2" s="337"/>
    </row>
    <row r="3" spans="1:8" x14ac:dyDescent="0.35">
      <c r="A3" s="337" t="s">
        <v>311</v>
      </c>
      <c r="B3" s="337"/>
      <c r="C3" s="337"/>
      <c r="D3" s="337"/>
      <c r="E3" s="337"/>
      <c r="F3" s="337"/>
      <c r="G3" s="337"/>
      <c r="H3" s="337"/>
    </row>
    <row r="4" spans="1:8" x14ac:dyDescent="0.35">
      <c r="D4" s="4"/>
      <c r="E4" s="4"/>
    </row>
    <row r="5" spans="1:8" x14ac:dyDescent="0.3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50</v>
      </c>
      <c r="H5" s="5"/>
    </row>
    <row r="6" spans="1:8" x14ac:dyDescent="0.35">
      <c r="A6" s="5"/>
      <c r="B6" s="5" t="s">
        <v>17</v>
      </c>
      <c r="C6" s="5" t="s">
        <v>3</v>
      </c>
      <c r="D6" s="5" t="s">
        <v>50</v>
      </c>
      <c r="E6" s="5" t="s">
        <v>50</v>
      </c>
      <c r="F6" s="5" t="s">
        <v>15</v>
      </c>
      <c r="G6" s="5" t="s">
        <v>2</v>
      </c>
      <c r="H6" s="5" t="s">
        <v>20</v>
      </c>
    </row>
    <row r="7" spans="1:8" x14ac:dyDescent="0.3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35">
      <c r="A8" t="s">
        <v>7</v>
      </c>
      <c r="B8" s="8" t="s">
        <v>30</v>
      </c>
      <c r="C8" s="183">
        <f>SUM('Normalized Therms'!P9,'Normalized Therms'!P11)</f>
        <v>609248315.15931809</v>
      </c>
      <c r="D8" s="11">
        <v>1.8149999999999999E-2</v>
      </c>
      <c r="E8" s="11">
        <v>1.8149999999999999E-2</v>
      </c>
      <c r="F8" s="161">
        <f>C8*D8</f>
        <v>11057856.920141622</v>
      </c>
      <c r="G8" s="12">
        <f>(E8-D8)*C8</f>
        <v>0</v>
      </c>
      <c r="H8" s="2">
        <f>G8/F8</f>
        <v>0</v>
      </c>
    </row>
    <row r="9" spans="1:8" x14ac:dyDescent="0.35">
      <c r="A9" t="s">
        <v>31</v>
      </c>
      <c r="B9" s="8">
        <v>16</v>
      </c>
      <c r="C9" s="198">
        <f>'Normalized Therms'!P10</f>
        <v>9386</v>
      </c>
      <c r="D9" s="11">
        <v>1.8149999999999999E-2</v>
      </c>
      <c r="E9" s="11">
        <v>1.8149999999999999E-2</v>
      </c>
      <c r="F9" s="161">
        <f t="shared" ref="F9:F14" si="0">C9*D9</f>
        <v>170.35589999999999</v>
      </c>
      <c r="G9" s="12">
        <f t="shared" ref="G9:G14" si="1">(E9-D9)*C9</f>
        <v>0</v>
      </c>
      <c r="H9" s="2">
        <f t="shared" ref="H9:H15" si="2">G9/F9</f>
        <v>0</v>
      </c>
    </row>
    <row r="10" spans="1:8" x14ac:dyDescent="0.35">
      <c r="A10" t="s">
        <v>8</v>
      </c>
      <c r="B10" s="8">
        <v>31</v>
      </c>
      <c r="C10" s="183">
        <f>'Normalized Therms'!P12</f>
        <v>234140158.08963937</v>
      </c>
      <c r="D10" s="11">
        <v>1.8149999999999999E-2</v>
      </c>
      <c r="E10" s="11">
        <v>1.8149999999999999E-2</v>
      </c>
      <c r="F10" s="161">
        <f t="shared" si="0"/>
        <v>4249643.8693269547</v>
      </c>
      <c r="G10" s="12">
        <f t="shared" si="1"/>
        <v>0</v>
      </c>
      <c r="H10" s="2">
        <f t="shared" si="2"/>
        <v>0</v>
      </c>
    </row>
    <row r="11" spans="1:8" x14ac:dyDescent="0.35">
      <c r="A11" t="s">
        <v>9</v>
      </c>
      <c r="B11" s="8">
        <v>41</v>
      </c>
      <c r="C11" s="183">
        <f>'Normalized Therms'!P13</f>
        <v>65836657.463465482</v>
      </c>
      <c r="D11" s="11">
        <v>1.8149999999999999E-2</v>
      </c>
      <c r="E11" s="11">
        <v>1.8149999999999999E-2</v>
      </c>
      <c r="F11" s="161">
        <f t="shared" si="0"/>
        <v>1194935.3329618985</v>
      </c>
      <c r="G11" s="12">
        <f t="shared" si="1"/>
        <v>0</v>
      </c>
      <c r="H11" s="2">
        <f t="shared" si="2"/>
        <v>0</v>
      </c>
    </row>
    <row r="12" spans="1:8" x14ac:dyDescent="0.35">
      <c r="A12" t="s">
        <v>10</v>
      </c>
      <c r="B12" s="8">
        <v>85</v>
      </c>
      <c r="C12" s="183">
        <f>'Normalized Therms'!P14</f>
        <v>16184434.068649085</v>
      </c>
      <c r="D12" s="11">
        <v>1.5429999999999999E-2</v>
      </c>
      <c r="E12" s="11">
        <v>1.5429999999999999E-2</v>
      </c>
      <c r="F12" s="161">
        <f t="shared" si="0"/>
        <v>249725.81767925539</v>
      </c>
      <c r="G12" s="12">
        <f t="shared" si="1"/>
        <v>0</v>
      </c>
      <c r="H12" s="2">
        <f t="shared" si="2"/>
        <v>0</v>
      </c>
    </row>
    <row r="13" spans="1:8" x14ac:dyDescent="0.35">
      <c r="A13" t="s">
        <v>11</v>
      </c>
      <c r="B13" s="8">
        <v>86</v>
      </c>
      <c r="C13" s="183">
        <f>'Normalized Therms'!P15</f>
        <v>9397200.2729263529</v>
      </c>
      <c r="D13" s="11">
        <v>1.5429999999999999E-2</v>
      </c>
      <c r="E13" s="11">
        <v>1.5429999999999999E-2</v>
      </c>
      <c r="F13" s="161">
        <f>C13*D13</f>
        <v>144998.80021125361</v>
      </c>
      <c r="G13" s="12">
        <f t="shared" si="1"/>
        <v>0</v>
      </c>
      <c r="H13" s="2">
        <f t="shared" si="2"/>
        <v>0</v>
      </c>
    </row>
    <row r="14" spans="1:8" x14ac:dyDescent="0.35">
      <c r="A14" t="s">
        <v>12</v>
      </c>
      <c r="B14" s="8">
        <v>87</v>
      </c>
      <c r="C14" s="183">
        <f>'Normalized Therms'!P16</f>
        <v>23337042.118500698</v>
      </c>
      <c r="D14" s="11">
        <v>1.5429999999999999E-2</v>
      </c>
      <c r="E14" s="11">
        <v>1.5429999999999999E-2</v>
      </c>
      <c r="F14" s="161">
        <f t="shared" si="0"/>
        <v>360090.55988846574</v>
      </c>
      <c r="G14" s="12">
        <f t="shared" si="1"/>
        <v>0</v>
      </c>
      <c r="H14" s="2">
        <f t="shared" si="2"/>
        <v>0</v>
      </c>
    </row>
    <row r="15" spans="1:8" x14ac:dyDescent="0.35">
      <c r="A15" t="s">
        <v>6</v>
      </c>
      <c r="C15" s="15">
        <f>SUM(C8:C14)</f>
        <v>958153193.17249894</v>
      </c>
      <c r="D15" s="9"/>
      <c r="E15" s="9"/>
      <c r="F15" s="162">
        <f>SUM(F8:F14)</f>
        <v>17257421.656109452</v>
      </c>
      <c r="G15" s="16">
        <f>SUM(G8:G14)</f>
        <v>0</v>
      </c>
      <c r="H15" s="3">
        <f t="shared" si="2"/>
        <v>0</v>
      </c>
    </row>
    <row r="16" spans="1:8" x14ac:dyDescent="0.35">
      <c r="A16" s="17"/>
      <c r="B16" s="18"/>
      <c r="C16" s="21"/>
      <c r="D16" s="20"/>
      <c r="E16" s="20"/>
      <c r="F16" s="20"/>
      <c r="G16" s="23"/>
      <c r="H16" s="24"/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2"/>
  <sheetViews>
    <sheetView zoomScaleNormal="100" workbookViewId="0">
      <pane ySplit="7" topLeftCell="A23" activePane="bottomLeft" state="frozen"/>
      <selection pane="bottomLeft" activeCell="K17" sqref="K17"/>
    </sheetView>
  </sheetViews>
  <sheetFormatPr defaultColWidth="9.1796875" defaultRowHeight="12.5" x14ac:dyDescent="0.25"/>
  <cols>
    <col min="1" max="1" width="3.54296875" style="75" customWidth="1"/>
    <col min="2" max="2" width="17.81640625" style="75" customWidth="1"/>
    <col min="3" max="3" width="8.7265625" style="75" bestFit="1" customWidth="1"/>
    <col min="4" max="4" width="18.7265625" style="75" customWidth="1"/>
    <col min="5" max="6" width="12.81640625" style="75" customWidth="1"/>
    <col min="7" max="7" width="15.453125" style="75" bestFit="1" customWidth="1"/>
    <col min="8" max="8" width="16.54296875" style="75" bestFit="1" customWidth="1"/>
    <col min="9" max="9" width="15.453125" style="75" bestFit="1" customWidth="1"/>
    <col min="10" max="10" width="15.453125" style="75" customWidth="1"/>
    <col min="11" max="11" width="11.81640625" style="75" bestFit="1" customWidth="1"/>
    <col min="12" max="12" width="11.26953125" style="75" bestFit="1" customWidth="1"/>
    <col min="13" max="13" width="10.54296875" style="75" customWidth="1"/>
    <col min="14" max="16384" width="9.1796875" style="75"/>
  </cols>
  <sheetData>
    <row r="1" spans="1:10" ht="15" customHeight="1" x14ac:dyDescent="0.25">
      <c r="A1" s="337" t="s">
        <v>0</v>
      </c>
      <c r="B1" s="337"/>
      <c r="C1" s="337"/>
      <c r="D1" s="337"/>
      <c r="E1" s="337"/>
      <c r="F1" s="337"/>
      <c r="G1" s="337"/>
      <c r="H1" s="337"/>
      <c r="I1" s="337"/>
      <c r="J1" s="74"/>
    </row>
    <row r="2" spans="1:10" ht="15" customHeight="1" x14ac:dyDescent="0.25">
      <c r="A2" s="337" t="s">
        <v>265</v>
      </c>
      <c r="B2" s="337"/>
      <c r="C2" s="337"/>
      <c r="D2" s="337"/>
      <c r="E2" s="337"/>
      <c r="F2" s="337"/>
      <c r="G2" s="337"/>
      <c r="H2" s="337"/>
      <c r="I2" s="337"/>
      <c r="J2" s="74"/>
    </row>
    <row r="3" spans="1:10" ht="15" customHeight="1" x14ac:dyDescent="0.25">
      <c r="A3" s="337" t="s">
        <v>277</v>
      </c>
      <c r="B3" s="337"/>
      <c r="C3" s="337"/>
      <c r="D3" s="337"/>
      <c r="E3" s="337"/>
      <c r="F3" s="337"/>
      <c r="G3" s="337"/>
      <c r="H3" s="337"/>
      <c r="I3" s="337"/>
      <c r="J3" s="74"/>
    </row>
    <row r="5" spans="1:10" ht="14.5" x14ac:dyDescent="0.35">
      <c r="D5" s="5" t="s">
        <v>15</v>
      </c>
      <c r="E5" s="76"/>
      <c r="F5" s="76"/>
      <c r="G5" s="76" t="s">
        <v>116</v>
      </c>
      <c r="H5" s="76" t="s">
        <v>116</v>
      </c>
      <c r="I5" s="76" t="s">
        <v>1</v>
      </c>
    </row>
    <row r="6" spans="1:10" ht="14.5" x14ac:dyDescent="0.35">
      <c r="C6" s="76" t="s">
        <v>17</v>
      </c>
      <c r="D6" s="5" t="s">
        <v>3</v>
      </c>
      <c r="E6" s="261" t="s">
        <v>5</v>
      </c>
      <c r="F6" s="76" t="s">
        <v>73</v>
      </c>
      <c r="G6" s="76" t="s">
        <v>2</v>
      </c>
      <c r="H6" s="76" t="s">
        <v>2</v>
      </c>
      <c r="I6" s="76" t="s">
        <v>2</v>
      </c>
    </row>
    <row r="7" spans="1:10" ht="14.5" x14ac:dyDescent="0.35">
      <c r="A7" s="340" t="s">
        <v>117</v>
      </c>
      <c r="B7" s="340"/>
      <c r="C7" s="78" t="s">
        <v>21</v>
      </c>
      <c r="D7" s="238" t="str">
        <f>'Base Rate Impacts'!$D$8</f>
        <v>Jan 18 - Dec 18</v>
      </c>
      <c r="E7" s="78" t="s">
        <v>246</v>
      </c>
      <c r="F7" s="154" t="s">
        <v>17</v>
      </c>
      <c r="G7" s="78" t="s">
        <v>208</v>
      </c>
      <c r="H7" s="154" t="s">
        <v>209</v>
      </c>
      <c r="I7" s="154" t="s">
        <v>210</v>
      </c>
    </row>
    <row r="8" spans="1:10" ht="14.5" x14ac:dyDescent="0.35">
      <c r="A8" s="75" t="s">
        <v>7</v>
      </c>
      <c r="C8" s="76" t="s">
        <v>75</v>
      </c>
      <c r="D8" s="138">
        <f>SUM('Normalized Therms'!P9,'Normalized Therms'!P11)</f>
        <v>609248315.15931809</v>
      </c>
      <c r="E8" s="135">
        <v>5.3699999999999998E-3</v>
      </c>
      <c r="F8" s="135">
        <v>5.3699999999999998E-3</v>
      </c>
      <c r="G8" s="79">
        <f>D8*(E8)</f>
        <v>3271663.4524055379</v>
      </c>
      <c r="H8" s="79">
        <f>D8*(F8)</f>
        <v>3271663.4524055379</v>
      </c>
      <c r="I8" s="157">
        <f>H8-G8</f>
        <v>0</v>
      </c>
    </row>
    <row r="9" spans="1:10" ht="14.5" x14ac:dyDescent="0.35">
      <c r="C9" s="76"/>
      <c r="D9" s="139"/>
      <c r="E9" s="135"/>
      <c r="F9" s="135"/>
      <c r="G9" s="79"/>
      <c r="H9" s="79"/>
      <c r="I9" s="157"/>
    </row>
    <row r="10" spans="1:10" ht="14.5" x14ac:dyDescent="0.35">
      <c r="A10" s="75" t="s">
        <v>76</v>
      </c>
      <c r="C10" s="77">
        <v>31</v>
      </c>
      <c r="D10" s="140">
        <f>'Normalized Therms'!P12</f>
        <v>234140158.08963937</v>
      </c>
      <c r="E10" s="135">
        <v>4.28E-3</v>
      </c>
      <c r="F10" s="135">
        <v>4.28E-3</v>
      </c>
      <c r="G10" s="79">
        <f>D10*(E10)</f>
        <v>1002119.8766236565</v>
      </c>
      <c r="H10" s="79">
        <f>D10*(F10)</f>
        <v>1002119.8766236565</v>
      </c>
      <c r="I10" s="157">
        <f t="shared" ref="I10:I47" si="0">H10-G10</f>
        <v>0</v>
      </c>
    </row>
    <row r="11" spans="1:10" ht="14.5" x14ac:dyDescent="0.35">
      <c r="A11" s="75" t="s">
        <v>76</v>
      </c>
      <c r="C11" s="77" t="s">
        <v>33</v>
      </c>
      <c r="D11" s="140">
        <f>'Normalized Therms'!P17</f>
        <v>36359.963605097219</v>
      </c>
      <c r="E11" s="135">
        <v>4.28E-3</v>
      </c>
      <c r="F11" s="135">
        <v>4.28E-3</v>
      </c>
      <c r="G11" s="79">
        <f>D11*(E11)</f>
        <v>155.62064422981609</v>
      </c>
      <c r="H11" s="79">
        <f>D11*(F11)</f>
        <v>155.62064422981609</v>
      </c>
      <c r="I11" s="157">
        <f t="shared" si="0"/>
        <v>0</v>
      </c>
    </row>
    <row r="12" spans="1:10" ht="14.5" x14ac:dyDescent="0.35">
      <c r="C12" s="76"/>
      <c r="D12" s="139"/>
      <c r="E12" s="135"/>
      <c r="F12" s="135"/>
      <c r="G12" s="79"/>
      <c r="H12" s="79"/>
      <c r="I12" s="157"/>
    </row>
    <row r="13" spans="1:10" ht="14.5" x14ac:dyDescent="0.35">
      <c r="A13" s="75" t="s">
        <v>77</v>
      </c>
      <c r="C13" s="76">
        <v>41</v>
      </c>
      <c r="D13" s="140">
        <f>'Normalized Therms'!P13</f>
        <v>65836657.463465482</v>
      </c>
      <c r="E13" s="135">
        <v>2.2499999999999998E-3</v>
      </c>
      <c r="F13" s="135">
        <v>2.2499999999999998E-3</v>
      </c>
      <c r="G13" s="79">
        <f>D13*(E13)</f>
        <v>148132.47929279733</v>
      </c>
      <c r="H13" s="79">
        <f>D13*(F13)</f>
        <v>148132.47929279733</v>
      </c>
      <c r="I13" s="157">
        <f t="shared" si="0"/>
        <v>0</v>
      </c>
    </row>
    <row r="14" spans="1:10" ht="14.5" x14ac:dyDescent="0.35">
      <c r="A14" s="75" t="s">
        <v>77</v>
      </c>
      <c r="C14" s="76" t="s">
        <v>35</v>
      </c>
      <c r="D14" s="156">
        <f>'Normalized Therms'!P18</f>
        <v>20492334.449073855</v>
      </c>
      <c r="E14" s="135">
        <v>2.2499999999999998E-3</v>
      </c>
      <c r="F14" s="135">
        <v>2.2499999999999998E-3</v>
      </c>
      <c r="G14" s="79">
        <f>D14*(E14)</f>
        <v>46107.752510416169</v>
      </c>
      <c r="H14" s="79">
        <f>D14*(F14)</f>
        <v>46107.752510416169</v>
      </c>
      <c r="I14" s="157">
        <f t="shared" si="0"/>
        <v>0</v>
      </c>
    </row>
    <row r="15" spans="1:10" ht="14.5" x14ac:dyDescent="0.35">
      <c r="C15" s="76"/>
      <c r="D15" s="80"/>
      <c r="E15" s="135"/>
      <c r="F15" s="135"/>
      <c r="G15" s="79"/>
      <c r="H15" s="79"/>
      <c r="I15" s="157"/>
    </row>
    <row r="16" spans="1:10" ht="14.5" x14ac:dyDescent="0.35">
      <c r="A16" s="75" t="s">
        <v>10</v>
      </c>
      <c r="C16" s="76">
        <v>85</v>
      </c>
      <c r="D16" s="81"/>
      <c r="E16" s="135"/>
      <c r="F16" s="135"/>
      <c r="G16" s="79"/>
      <c r="H16" s="79"/>
      <c r="I16" s="157"/>
    </row>
    <row r="17" spans="1:10" ht="14.5" x14ac:dyDescent="0.35">
      <c r="B17" s="75" t="s">
        <v>88</v>
      </c>
      <c r="C17" s="76"/>
      <c r="D17" s="81">
        <f>'Normalized Therms'!$P$14*'12ME Dec18 Bill Freq'!N13</f>
        <v>7617621.6730000013</v>
      </c>
      <c r="E17" s="136">
        <v>1.5299999999999999E-3</v>
      </c>
      <c r="F17" s="136">
        <v>1.5299999999999999E-3</v>
      </c>
      <c r="G17" s="79"/>
      <c r="H17" s="79"/>
      <c r="I17" s="157"/>
      <c r="J17" s="142"/>
    </row>
    <row r="18" spans="1:10" ht="14.5" x14ac:dyDescent="0.35">
      <c r="B18" s="75" t="s">
        <v>89</v>
      </c>
      <c r="C18" s="76"/>
      <c r="D18" s="81">
        <f>'Normalized Therms'!$P$14*'12ME Dec18 Bill Freq'!N14</f>
        <v>4021281.8229999999</v>
      </c>
      <c r="E18" s="136">
        <v>9.5E-4</v>
      </c>
      <c r="F18" s="136">
        <v>9.5E-4</v>
      </c>
      <c r="G18" s="79"/>
      <c r="H18" s="79"/>
      <c r="I18" s="157"/>
      <c r="J18" s="142"/>
    </row>
    <row r="19" spans="1:10" ht="14.5" x14ac:dyDescent="0.35">
      <c r="B19" s="75" t="s">
        <v>90</v>
      </c>
      <c r="C19" s="76"/>
      <c r="D19" s="81">
        <f>'Normalized Therms'!$P$14*'12ME Dec18 Bill Freq'!N15</f>
        <v>4545530.572649084</v>
      </c>
      <c r="E19" s="136">
        <v>5.2999999999999998E-4</v>
      </c>
      <c r="F19" s="136">
        <v>5.2999999999999998E-4</v>
      </c>
      <c r="G19" s="79"/>
      <c r="H19" s="79"/>
      <c r="I19" s="157"/>
      <c r="J19" s="142"/>
    </row>
    <row r="20" spans="1:10" ht="14.5" x14ac:dyDescent="0.35">
      <c r="B20" s="75" t="s">
        <v>6</v>
      </c>
      <c r="C20" s="76"/>
      <c r="D20" s="82">
        <f>SUM(D17:D19)</f>
        <v>16184434.068649085</v>
      </c>
      <c r="E20" s="135"/>
      <c r="F20" s="135"/>
      <c r="G20" s="164">
        <f>SUMPRODUCT(D17:D19,E17:E19)</f>
        <v>17884.310095044017</v>
      </c>
      <c r="H20" s="164">
        <f>SUMPRODUCT(D17:D19,F17:F19)</f>
        <v>17884.310095044017</v>
      </c>
      <c r="I20" s="157">
        <f t="shared" si="0"/>
        <v>0</v>
      </c>
    </row>
    <row r="21" spans="1:10" ht="14.5" x14ac:dyDescent="0.35">
      <c r="C21" s="76"/>
      <c r="D21" s="80"/>
      <c r="E21" s="135"/>
      <c r="F21" s="135"/>
      <c r="G21" s="79"/>
      <c r="H21" s="79"/>
      <c r="I21" s="157"/>
    </row>
    <row r="22" spans="1:10" ht="14.5" x14ac:dyDescent="0.35">
      <c r="A22" s="75" t="s">
        <v>10</v>
      </c>
      <c r="C22" s="76">
        <v>86</v>
      </c>
      <c r="D22" s="140">
        <f>'Normalized Therms'!P15</f>
        <v>9397200.2729263529</v>
      </c>
      <c r="E22" s="135">
        <v>2.1900000000000001E-3</v>
      </c>
      <c r="F22" s="135">
        <v>2.1900000000000001E-3</v>
      </c>
      <c r="G22" s="79">
        <f>D22*(E22)</f>
        <v>20579.868597708715</v>
      </c>
      <c r="H22" s="79">
        <f>D22*(F22)</f>
        <v>20579.868597708715</v>
      </c>
      <c r="I22" s="157">
        <f t="shared" si="0"/>
        <v>0</v>
      </c>
    </row>
    <row r="23" spans="1:10" ht="14.5" x14ac:dyDescent="0.35">
      <c r="A23" s="75" t="s">
        <v>10</v>
      </c>
      <c r="C23" s="76" t="s">
        <v>39</v>
      </c>
      <c r="D23" s="156">
        <f>'Normalized Therms'!P20</f>
        <v>351288.14999999997</v>
      </c>
      <c r="E23" s="135">
        <v>2.1900000000000001E-3</v>
      </c>
      <c r="F23" s="135">
        <v>2.1900000000000001E-3</v>
      </c>
      <c r="G23" s="79">
        <f>D23*(E23)</f>
        <v>769.32104849999996</v>
      </c>
      <c r="H23" s="79">
        <f>D23*(F23)</f>
        <v>769.32104849999996</v>
      </c>
      <c r="I23" s="157">
        <f t="shared" si="0"/>
        <v>0</v>
      </c>
    </row>
    <row r="24" spans="1:10" ht="14.5" x14ac:dyDescent="0.35">
      <c r="C24" s="76"/>
      <c r="D24" s="80"/>
      <c r="E24" s="135"/>
      <c r="F24" s="135"/>
      <c r="G24" s="79"/>
      <c r="H24" s="79"/>
      <c r="I24" s="157"/>
    </row>
    <row r="25" spans="1:10" ht="14.5" x14ac:dyDescent="0.35">
      <c r="A25" s="75" t="s">
        <v>10</v>
      </c>
      <c r="C25" s="76">
        <v>87</v>
      </c>
      <c r="D25" s="80"/>
      <c r="E25" s="135"/>
      <c r="F25" s="135"/>
      <c r="G25" s="79"/>
      <c r="H25" s="79"/>
      <c r="I25" s="157"/>
    </row>
    <row r="26" spans="1:10" ht="14.5" x14ac:dyDescent="0.35">
      <c r="B26" s="75" t="s">
        <v>88</v>
      </c>
      <c r="C26" s="76"/>
      <c r="D26" s="81">
        <f>'Normalized Therms'!$P$16*'12ME Dec18 Bill Freq'!N26</f>
        <v>1500625.1840000001</v>
      </c>
      <c r="E26" s="136">
        <v>1.5299999999999999E-3</v>
      </c>
      <c r="F26" s="136">
        <v>1.5299999999999999E-3</v>
      </c>
      <c r="G26" s="79"/>
      <c r="H26" s="79"/>
      <c r="I26" s="157"/>
    </row>
    <row r="27" spans="1:10" ht="14.5" x14ac:dyDescent="0.35">
      <c r="B27" s="75" t="s">
        <v>89</v>
      </c>
      <c r="C27" s="76"/>
      <c r="D27" s="81">
        <f>'Normalized Therms'!$P$16*'12ME Dec18 Bill Freq'!N27</f>
        <v>1470839.4030000002</v>
      </c>
      <c r="E27" s="136">
        <v>9.5E-4</v>
      </c>
      <c r="F27" s="136">
        <v>9.5E-4</v>
      </c>
      <c r="G27" s="79"/>
      <c r="H27" s="79"/>
      <c r="I27" s="157"/>
    </row>
    <row r="28" spans="1:10" ht="14.5" x14ac:dyDescent="0.35">
      <c r="B28" s="75" t="s">
        <v>99</v>
      </c>
      <c r="C28" s="76"/>
      <c r="D28" s="81">
        <f>'Normalized Therms'!$P$16*'12ME Dec18 Bill Freq'!N28</f>
        <v>2603460.2510000006</v>
      </c>
      <c r="E28" s="136">
        <v>6.2E-4</v>
      </c>
      <c r="F28" s="136">
        <v>6.2E-4</v>
      </c>
      <c r="G28" s="79"/>
      <c r="H28" s="79"/>
      <c r="I28" s="157"/>
      <c r="J28" s="84"/>
    </row>
    <row r="29" spans="1:10" ht="14.5" x14ac:dyDescent="0.35">
      <c r="B29" s="75" t="s">
        <v>100</v>
      </c>
      <c r="C29" s="76"/>
      <c r="D29" s="81">
        <f>'Normalized Therms'!$P$16*'12ME Dec18 Bill Freq'!N29</f>
        <v>3197116.5290000001</v>
      </c>
      <c r="E29" s="136">
        <v>4.2000000000000002E-4</v>
      </c>
      <c r="F29" s="136">
        <v>4.2000000000000002E-4</v>
      </c>
      <c r="G29" s="79"/>
      <c r="H29" s="79"/>
      <c r="I29" s="157"/>
    </row>
    <row r="30" spans="1:10" ht="14.5" x14ac:dyDescent="0.35">
      <c r="B30" s="75" t="s">
        <v>101</v>
      </c>
      <c r="C30" s="76"/>
      <c r="D30" s="81">
        <f>'Normalized Therms'!$P$16*'12ME Dec18 Bill Freq'!N30</f>
        <v>3739136.742000001</v>
      </c>
      <c r="E30" s="136">
        <v>3.1E-4</v>
      </c>
      <c r="F30" s="136">
        <v>3.1E-4</v>
      </c>
      <c r="G30" s="79"/>
      <c r="H30" s="79"/>
      <c r="I30" s="157"/>
      <c r="J30" s="85"/>
    </row>
    <row r="31" spans="1:10" ht="14.5" x14ac:dyDescent="0.35">
      <c r="B31" s="75" t="s">
        <v>102</v>
      </c>
      <c r="C31" s="76"/>
      <c r="D31" s="81">
        <f>'Normalized Therms'!$P$16*'12ME Dec18 Bill Freq'!N31</f>
        <v>10825864.009500695</v>
      </c>
      <c r="E31" s="136">
        <v>2.5000000000000001E-4</v>
      </c>
      <c r="F31" s="136">
        <v>2.5000000000000001E-4</v>
      </c>
      <c r="G31" s="79"/>
      <c r="H31" s="79"/>
      <c r="I31" s="157"/>
    </row>
    <row r="32" spans="1:10" ht="14.5" x14ac:dyDescent="0.35">
      <c r="B32" s="75" t="s">
        <v>6</v>
      </c>
      <c r="C32" s="76"/>
      <c r="D32" s="82">
        <f>SUM(D26:D31)</f>
        <v>23337042.118500698</v>
      </c>
      <c r="E32" s="135"/>
      <c r="F32" s="135"/>
      <c r="G32" s="114">
        <f>SUMPRODUCT(D26:D31,E26:E31)</f>
        <v>10515.786654565174</v>
      </c>
      <c r="H32" s="164">
        <f>SUMPRODUCT(D26:D31,F26:F31)</f>
        <v>10515.786654565174</v>
      </c>
      <c r="I32" s="157">
        <f t="shared" si="0"/>
        <v>0</v>
      </c>
    </row>
    <row r="33" spans="1:10" ht="14.5" x14ac:dyDescent="0.35">
      <c r="C33" s="76"/>
      <c r="D33" s="82"/>
      <c r="E33" s="135"/>
      <c r="F33" s="135"/>
      <c r="G33" s="83"/>
      <c r="H33" s="79"/>
      <c r="I33" s="157"/>
      <c r="J33" s="86"/>
    </row>
    <row r="34" spans="1:10" ht="14.5" x14ac:dyDescent="0.35">
      <c r="A34" s="75" t="s">
        <v>118</v>
      </c>
      <c r="C34" s="76" t="s">
        <v>37</v>
      </c>
      <c r="D34" s="82"/>
      <c r="E34" s="135"/>
      <c r="F34" s="135"/>
      <c r="G34" s="83"/>
      <c r="H34" s="79"/>
      <c r="I34" s="157"/>
      <c r="J34" s="86"/>
    </row>
    <row r="35" spans="1:10" ht="14.5" x14ac:dyDescent="0.35">
      <c r="B35" s="75" t="s">
        <v>88</v>
      </c>
      <c r="C35" s="76"/>
      <c r="D35" s="87">
        <f>'Normalized Therms'!$P$19*'12ME Dec18 Bill Freq'!N43</f>
        <v>28123063.68</v>
      </c>
      <c r="E35" s="136">
        <v>1.5299999999999999E-3</v>
      </c>
      <c r="F35" s="136">
        <v>1.5299999999999999E-3</v>
      </c>
      <c r="G35" s="83"/>
      <c r="H35" s="79"/>
      <c r="I35" s="157"/>
      <c r="J35" s="86"/>
    </row>
    <row r="36" spans="1:10" ht="14.5" x14ac:dyDescent="0.35">
      <c r="B36" s="75" t="s">
        <v>89</v>
      </c>
      <c r="C36" s="76"/>
      <c r="D36" s="87">
        <f>'Normalized Therms'!$P$19*'12ME Dec18 Bill Freq'!N44</f>
        <v>18732272.720000003</v>
      </c>
      <c r="E36" s="136">
        <v>9.5E-4</v>
      </c>
      <c r="F36" s="136">
        <v>9.5E-4</v>
      </c>
      <c r="G36" s="83"/>
      <c r="H36" s="79"/>
      <c r="I36" s="157"/>
      <c r="J36" s="88"/>
    </row>
    <row r="37" spans="1:10" ht="14.5" x14ac:dyDescent="0.35">
      <c r="B37" s="75" t="s">
        <v>90</v>
      </c>
      <c r="C37" s="76"/>
      <c r="D37" s="87">
        <f>'Normalized Therms'!$P$19*'12ME Dec18 Bill Freq'!N45</f>
        <v>27918200.734971087</v>
      </c>
      <c r="E37" s="136">
        <v>5.2999999999999998E-4</v>
      </c>
      <c r="F37" s="136">
        <v>5.2999999999999998E-4</v>
      </c>
      <c r="G37" s="83"/>
      <c r="H37" s="79"/>
      <c r="I37" s="157"/>
      <c r="J37" s="86"/>
    </row>
    <row r="38" spans="1:10" ht="14.5" x14ac:dyDescent="0.35">
      <c r="B38" s="75" t="s">
        <v>6</v>
      </c>
      <c r="C38" s="76"/>
      <c r="D38" s="82">
        <f>SUM(D35:D37)</f>
        <v>74773537.134971097</v>
      </c>
      <c r="E38" s="135"/>
      <c r="F38" s="135"/>
      <c r="G38" s="114">
        <f>SUMPRODUCT(D35:D37,E35:E37)</f>
        <v>75620.592903934681</v>
      </c>
      <c r="H38" s="164">
        <f>SUMPRODUCT(D35:D37,F35:F37)</f>
        <v>75620.592903934681</v>
      </c>
      <c r="I38" s="157">
        <f t="shared" si="0"/>
        <v>0</v>
      </c>
      <c r="J38" s="86"/>
    </row>
    <row r="39" spans="1:10" ht="14.5" x14ac:dyDescent="0.35">
      <c r="C39" s="76"/>
      <c r="D39" s="82"/>
      <c r="E39" s="135"/>
      <c r="F39" s="135"/>
      <c r="G39" s="83"/>
      <c r="H39" s="79"/>
      <c r="I39" s="157"/>
      <c r="J39" s="86"/>
    </row>
    <row r="40" spans="1:10" ht="14.5" x14ac:dyDescent="0.35">
      <c r="A40" s="75" t="s">
        <v>118</v>
      </c>
      <c r="C40" s="76" t="s">
        <v>41</v>
      </c>
      <c r="D40" s="82"/>
      <c r="E40" s="135"/>
      <c r="F40" s="135"/>
      <c r="G40" s="83"/>
      <c r="H40" s="79"/>
      <c r="I40" s="157"/>
    </row>
    <row r="41" spans="1:10" ht="14.5" x14ac:dyDescent="0.35">
      <c r="B41" s="75" t="s">
        <v>88</v>
      </c>
      <c r="C41" s="76"/>
      <c r="D41" s="87">
        <f>'Normalized Therms'!$P$21*'12ME Dec18 Bill Freq'!N56</f>
        <v>3000000</v>
      </c>
      <c r="E41" s="136">
        <v>1.5299999999999999E-3</v>
      </c>
      <c r="F41" s="136">
        <v>1.5299999999999999E-3</v>
      </c>
      <c r="G41" s="83"/>
      <c r="H41" s="79"/>
      <c r="I41" s="157"/>
    </row>
    <row r="42" spans="1:10" ht="14.5" x14ac:dyDescent="0.35">
      <c r="B42" s="75" t="s">
        <v>89</v>
      </c>
      <c r="C42" s="76"/>
      <c r="D42" s="87">
        <f>'Normalized Therms'!$P$21*'12ME Dec18 Bill Freq'!N57</f>
        <v>3000000</v>
      </c>
      <c r="E42" s="136">
        <v>9.5E-4</v>
      </c>
      <c r="F42" s="136">
        <v>9.5E-4</v>
      </c>
      <c r="G42" s="83"/>
      <c r="H42" s="79"/>
      <c r="I42" s="157"/>
    </row>
    <row r="43" spans="1:10" ht="14.5" x14ac:dyDescent="0.35">
      <c r="B43" s="75" t="s">
        <v>99</v>
      </c>
      <c r="C43" s="76"/>
      <c r="D43" s="87">
        <f>'Normalized Therms'!$P$21*'12ME Dec18 Bill Freq'!N58</f>
        <v>5983755.4799999995</v>
      </c>
      <c r="E43" s="136">
        <v>6.2E-4</v>
      </c>
      <c r="F43" s="136">
        <v>6.2E-4</v>
      </c>
      <c r="G43" s="83"/>
      <c r="H43" s="79"/>
      <c r="I43" s="157"/>
    </row>
    <row r="44" spans="1:10" ht="14.5" x14ac:dyDescent="0.35">
      <c r="B44" s="75" t="s">
        <v>100</v>
      </c>
      <c r="C44" s="76"/>
      <c r="D44" s="87">
        <f>'Normalized Therms'!$P$21*'12ME Dec18 Bill Freq'!N59</f>
        <v>11737512.850000001</v>
      </c>
      <c r="E44" s="136">
        <v>4.2000000000000002E-4</v>
      </c>
      <c r="F44" s="136">
        <v>4.2000000000000002E-4</v>
      </c>
      <c r="G44" s="83"/>
      <c r="H44" s="79"/>
      <c r="I44" s="157"/>
    </row>
    <row r="45" spans="1:10" ht="14.5" x14ac:dyDescent="0.35">
      <c r="B45" s="75" t="s">
        <v>101</v>
      </c>
      <c r="C45" s="76"/>
      <c r="D45" s="87">
        <f>'Normalized Therms'!$P$21*'12ME Dec18 Bill Freq'!N60</f>
        <v>26253607.010000002</v>
      </c>
      <c r="E45" s="136">
        <v>3.1E-4</v>
      </c>
      <c r="F45" s="136">
        <v>3.1E-4</v>
      </c>
      <c r="G45" s="83"/>
      <c r="H45" s="79"/>
      <c r="I45" s="157"/>
    </row>
    <row r="46" spans="1:10" ht="14.5" x14ac:dyDescent="0.35">
      <c r="B46" s="75" t="s">
        <v>102</v>
      </c>
      <c r="C46" s="76"/>
      <c r="D46" s="87">
        <f>'Normalized Therms'!$P$21*'12ME Dec18 Bill Freq'!N61</f>
        <v>50466253.034701236</v>
      </c>
      <c r="E46" s="136">
        <v>2.5000000000000001E-4</v>
      </c>
      <c r="F46" s="136">
        <v>2.5000000000000001E-4</v>
      </c>
      <c r="G46" s="83"/>
      <c r="H46" s="79"/>
      <c r="I46" s="157"/>
      <c r="J46" s="86"/>
    </row>
    <row r="47" spans="1:10" ht="14.5" x14ac:dyDescent="0.35">
      <c r="B47" s="75" t="s">
        <v>6</v>
      </c>
      <c r="C47" s="76"/>
      <c r="D47" s="82">
        <f>SUM(D41:D46)</f>
        <v>100441128.37470123</v>
      </c>
      <c r="E47" s="135"/>
      <c r="F47" s="135"/>
      <c r="G47" s="114">
        <f>SUMPRODUCT(D41:D46,E41:E46)</f>
        <v>36834.86522637531</v>
      </c>
      <c r="H47" s="164">
        <f>SUMPRODUCT(D41:D46,F41:F46)</f>
        <v>36834.86522637531</v>
      </c>
      <c r="I47" s="157">
        <f t="shared" si="0"/>
        <v>0</v>
      </c>
      <c r="J47" s="86"/>
    </row>
    <row r="48" spans="1:10" ht="14.5" x14ac:dyDescent="0.35">
      <c r="D48" s="89"/>
      <c r="E48" s="137"/>
      <c r="F48" s="137"/>
      <c r="G48" s="90"/>
      <c r="H48" s="163"/>
      <c r="I48" s="157"/>
      <c r="J48" s="91"/>
    </row>
    <row r="49" spans="2:12" ht="14.5" x14ac:dyDescent="0.35">
      <c r="B49" s="75" t="s">
        <v>6</v>
      </c>
      <c r="D49" s="92">
        <f>D8+D10+D13+D20+D22+D32+D38+D47+D11+D14+D23</f>
        <v>1154238455.2448504</v>
      </c>
      <c r="E49" s="135"/>
      <c r="F49" s="135"/>
      <c r="G49" s="93">
        <f>G8+G10+G13+G20+G22+G32+G38+G47+G11+G14+G23</f>
        <v>4630383.9260027641</v>
      </c>
      <c r="H49" s="93">
        <f>H8+H10+H13+H20+H22+H32+H38+H47+H11+H14+H23</f>
        <v>4630383.9260027641</v>
      </c>
      <c r="I49" s="93">
        <f>I8+I10+I13+I20+I22+I32+I38+I47+I11+I14+I23</f>
        <v>0</v>
      </c>
      <c r="J49" s="94"/>
    </row>
    <row r="50" spans="2:12" x14ac:dyDescent="0.25">
      <c r="D50" s="91"/>
      <c r="E50" s="91"/>
      <c r="F50" s="91"/>
      <c r="G50" s="91"/>
      <c r="H50" s="91"/>
      <c r="J50" s="86"/>
    </row>
    <row r="51" spans="2:12" x14ac:dyDescent="0.25">
      <c r="D51" s="91"/>
      <c r="E51" s="91"/>
      <c r="F51" s="91"/>
      <c r="G51" s="95"/>
      <c r="H51" s="95"/>
    </row>
    <row r="52" spans="2:12" x14ac:dyDescent="0.25">
      <c r="L52" s="86"/>
    </row>
    <row r="53" spans="2:12" x14ac:dyDescent="0.25">
      <c r="B53" s="96"/>
      <c r="D53" s="97"/>
      <c r="E53" s="97"/>
      <c r="F53" s="97"/>
    </row>
    <row r="54" spans="2:12" x14ac:dyDescent="0.25">
      <c r="C54" s="98"/>
      <c r="D54" s="98"/>
    </row>
    <row r="55" spans="2:12" x14ac:dyDescent="0.25">
      <c r="C55" s="98"/>
      <c r="D55" s="99"/>
      <c r="E55" s="91"/>
      <c r="F55" s="91"/>
    </row>
    <row r="56" spans="2:12" x14ac:dyDescent="0.25">
      <c r="C56" s="98"/>
      <c r="D56" s="91"/>
      <c r="E56" s="98"/>
      <c r="F56" s="98"/>
    </row>
    <row r="57" spans="2:12" x14ac:dyDescent="0.25">
      <c r="C57" s="98"/>
      <c r="D57" s="91"/>
      <c r="E57" s="100"/>
      <c r="F57" s="101"/>
    </row>
    <row r="58" spans="2:12" x14ac:dyDescent="0.25">
      <c r="C58" s="97"/>
      <c r="D58" s="97"/>
      <c r="E58" s="100"/>
      <c r="F58" s="101"/>
    </row>
    <row r="59" spans="2:12" x14ac:dyDescent="0.25">
      <c r="E59" s="100"/>
      <c r="F59" s="101"/>
    </row>
    <row r="60" spans="2:12" x14ac:dyDescent="0.25">
      <c r="E60" s="91"/>
      <c r="F60" s="91"/>
    </row>
    <row r="61" spans="2:12" x14ac:dyDescent="0.25">
      <c r="E61" s="91"/>
      <c r="F61" s="91"/>
    </row>
    <row r="62" spans="2:12" x14ac:dyDescent="0.25">
      <c r="E62" s="91"/>
      <c r="F62" s="91"/>
    </row>
  </sheetData>
  <mergeCells count="4">
    <mergeCell ref="A7:B7"/>
    <mergeCell ref="A1:I1"/>
    <mergeCell ref="A2:I2"/>
    <mergeCell ref="A3:I3"/>
  </mergeCells>
  <printOptions horizontalCentered="1"/>
  <pageMargins left="0.75" right="0.75" top="1" bottom="1" header="0.5" footer="0.5"/>
  <pageSetup scale="65" orientation="landscape" blackAndWhite="1" horizontalDpi="300" verticalDpi="300" r:id="rId1"/>
  <headerFooter alignWithMargins="0">
    <oddFooter>&amp;L&amp;F 
&amp;A&amp;C&amp;P&amp;R&amp;D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"/>
  <sheetViews>
    <sheetView zoomScaleNormal="100" workbookViewId="0">
      <selection activeCell="C23" sqref="C23"/>
    </sheetView>
  </sheetViews>
  <sheetFormatPr defaultRowHeight="14.5" x14ac:dyDescent="0.35"/>
  <cols>
    <col min="1" max="1" width="40" bestFit="1" customWidth="1"/>
    <col min="3" max="3" width="16.54296875" bestFit="1" customWidth="1"/>
    <col min="4" max="5" width="10.7265625" bestFit="1" customWidth="1"/>
    <col min="6" max="6" width="15.7265625" bestFit="1" customWidth="1"/>
    <col min="7" max="7" width="15.7265625" customWidth="1"/>
    <col min="8" max="8" width="7.81640625" bestFit="1" customWidth="1"/>
  </cols>
  <sheetData>
    <row r="1" spans="1:11" x14ac:dyDescent="0.35">
      <c r="A1" s="337" t="s">
        <v>0</v>
      </c>
      <c r="B1" s="337"/>
      <c r="C1" s="337"/>
      <c r="D1" s="337"/>
      <c r="E1" s="337"/>
      <c r="F1" s="337"/>
      <c r="G1" s="337"/>
      <c r="H1" s="337"/>
    </row>
    <row r="2" spans="1:11" x14ac:dyDescent="0.35">
      <c r="A2" s="337" t="s">
        <v>266</v>
      </c>
      <c r="B2" s="337"/>
      <c r="C2" s="337"/>
      <c r="D2" s="337"/>
      <c r="E2" s="337"/>
      <c r="F2" s="337"/>
      <c r="G2" s="337"/>
      <c r="H2" s="337"/>
    </row>
    <row r="3" spans="1:11" x14ac:dyDescent="0.35">
      <c r="A3" s="337" t="s">
        <v>289</v>
      </c>
      <c r="B3" s="337"/>
      <c r="C3" s="337"/>
      <c r="D3" s="337"/>
      <c r="E3" s="337"/>
      <c r="F3" s="337"/>
      <c r="G3" s="337"/>
      <c r="H3" s="337"/>
    </row>
    <row r="4" spans="1:11" x14ac:dyDescent="0.35">
      <c r="D4" s="4"/>
      <c r="E4" s="4"/>
    </row>
    <row r="5" spans="1:11" x14ac:dyDescent="0.3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114</v>
      </c>
      <c r="H5" s="5"/>
    </row>
    <row r="6" spans="1:11" x14ac:dyDescent="0.35">
      <c r="A6" s="5"/>
      <c r="B6" s="5" t="s">
        <v>17</v>
      </c>
      <c r="C6" s="5" t="s">
        <v>3</v>
      </c>
      <c r="D6" s="5" t="s">
        <v>114</v>
      </c>
      <c r="E6" s="5" t="s">
        <v>114</v>
      </c>
      <c r="F6" s="5" t="s">
        <v>15</v>
      </c>
      <c r="G6" s="5" t="s">
        <v>2</v>
      </c>
      <c r="H6" s="5" t="s">
        <v>20</v>
      </c>
    </row>
    <row r="7" spans="1:11" x14ac:dyDescent="0.3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11" x14ac:dyDescent="0.35">
      <c r="A8" t="s">
        <v>7</v>
      </c>
      <c r="B8" s="8" t="s">
        <v>30</v>
      </c>
      <c r="C8" s="183">
        <f>SUM('Normalized Therms'!P9,'Normalized Therms'!P11)</f>
        <v>609248315.15931809</v>
      </c>
      <c r="D8" s="11">
        <v>0</v>
      </c>
      <c r="E8" s="11">
        <v>0</v>
      </c>
      <c r="F8" s="161">
        <f>C8*D8</f>
        <v>0</v>
      </c>
      <c r="G8" s="12">
        <f>(E8-D8)*C8</f>
        <v>0</v>
      </c>
      <c r="H8" s="2" t="e">
        <f>G8/F8</f>
        <v>#DIV/0!</v>
      </c>
      <c r="K8" s="8"/>
    </row>
    <row r="9" spans="1:11" x14ac:dyDescent="0.35">
      <c r="A9" t="s">
        <v>31</v>
      </c>
      <c r="B9" s="8">
        <v>16</v>
      </c>
      <c r="C9" s="183">
        <f>'Normalized Therms'!P10</f>
        <v>9386</v>
      </c>
      <c r="D9" s="11">
        <v>0</v>
      </c>
      <c r="E9" s="11">
        <v>0</v>
      </c>
      <c r="F9" s="161">
        <f t="shared" ref="F9:F20" si="0">C9*D9</f>
        <v>0</v>
      </c>
      <c r="G9" s="12">
        <f t="shared" ref="G9:G20" si="1">(E9-D9)*C9</f>
        <v>0</v>
      </c>
      <c r="H9" s="2" t="e">
        <f t="shared" ref="H9:H24" si="2">G9/F9</f>
        <v>#DIV/0!</v>
      </c>
      <c r="K9" s="8"/>
    </row>
    <row r="10" spans="1:11" x14ac:dyDescent="0.35">
      <c r="A10" t="s">
        <v>8</v>
      </c>
      <c r="B10" s="8">
        <v>31</v>
      </c>
      <c r="C10" s="183">
        <f>'Normalized Therms'!P12</f>
        <v>234140158.08963937</v>
      </c>
      <c r="D10" s="11">
        <v>0</v>
      </c>
      <c r="E10" s="11">
        <v>0</v>
      </c>
      <c r="F10" s="161">
        <f t="shared" si="0"/>
        <v>0</v>
      </c>
      <c r="G10" s="12">
        <f t="shared" si="1"/>
        <v>0</v>
      </c>
      <c r="H10" s="2" t="e">
        <f t="shared" si="2"/>
        <v>#DIV/0!</v>
      </c>
      <c r="K10" s="8"/>
    </row>
    <row r="11" spans="1:11" x14ac:dyDescent="0.35">
      <c r="A11" t="s">
        <v>9</v>
      </c>
      <c r="B11" s="8">
        <v>41</v>
      </c>
      <c r="C11" s="183">
        <f>'Normalized Therms'!P13</f>
        <v>65836657.463465482</v>
      </c>
      <c r="D11" s="11">
        <v>0</v>
      </c>
      <c r="E11" s="11">
        <v>0</v>
      </c>
      <c r="F11" s="161">
        <f t="shared" si="0"/>
        <v>0</v>
      </c>
      <c r="G11" s="12">
        <f t="shared" si="1"/>
        <v>0</v>
      </c>
      <c r="H11" s="2" t="e">
        <f t="shared" si="2"/>
        <v>#DIV/0!</v>
      </c>
      <c r="K11" s="8"/>
    </row>
    <row r="12" spans="1:11" x14ac:dyDescent="0.35">
      <c r="A12" t="s">
        <v>10</v>
      </c>
      <c r="B12" s="8">
        <v>85</v>
      </c>
      <c r="C12" s="183">
        <f>'Normalized Therms'!P14</f>
        <v>16184434.068649085</v>
      </c>
      <c r="D12" s="11">
        <v>0</v>
      </c>
      <c r="E12" s="11">
        <v>0</v>
      </c>
      <c r="F12" s="161">
        <f t="shared" si="0"/>
        <v>0</v>
      </c>
      <c r="G12" s="12">
        <f t="shared" si="1"/>
        <v>0</v>
      </c>
      <c r="H12" s="2" t="e">
        <f t="shared" si="2"/>
        <v>#DIV/0!</v>
      </c>
      <c r="K12" s="8"/>
    </row>
    <row r="13" spans="1:11" x14ac:dyDescent="0.35">
      <c r="A13" t="s">
        <v>11</v>
      </c>
      <c r="B13" s="8">
        <v>86</v>
      </c>
      <c r="C13" s="183">
        <f>'Normalized Therms'!P15</f>
        <v>9397200.2729263529</v>
      </c>
      <c r="D13" s="11">
        <v>0</v>
      </c>
      <c r="E13" s="11">
        <v>0</v>
      </c>
      <c r="F13" s="161">
        <f t="shared" si="0"/>
        <v>0</v>
      </c>
      <c r="G13" s="12">
        <f t="shared" si="1"/>
        <v>0</v>
      </c>
      <c r="H13" s="2" t="e">
        <f t="shared" si="2"/>
        <v>#DIV/0!</v>
      </c>
      <c r="K13" s="8"/>
    </row>
    <row r="14" spans="1:11" x14ac:dyDescent="0.35">
      <c r="A14" t="s">
        <v>12</v>
      </c>
      <c r="B14" s="8">
        <v>87</v>
      </c>
      <c r="C14" s="183">
        <f>'Normalized Therms'!P16</f>
        <v>23337042.118500698</v>
      </c>
      <c r="D14" s="11">
        <v>0</v>
      </c>
      <c r="E14" s="11">
        <v>0</v>
      </c>
      <c r="F14" s="161">
        <f t="shared" si="0"/>
        <v>0</v>
      </c>
      <c r="G14" s="12">
        <f t="shared" si="1"/>
        <v>0</v>
      </c>
      <c r="H14" s="2" t="e">
        <f t="shared" si="2"/>
        <v>#DIV/0!</v>
      </c>
      <c r="K14" s="8"/>
    </row>
    <row r="15" spans="1:11" x14ac:dyDescent="0.35">
      <c r="A15" t="s">
        <v>32</v>
      </c>
      <c r="B15" s="8" t="s">
        <v>33</v>
      </c>
      <c r="C15" s="183">
        <f>'Normalized Therms'!P17</f>
        <v>36359.963605097219</v>
      </c>
      <c r="D15" s="11">
        <v>0</v>
      </c>
      <c r="E15" s="11">
        <v>0</v>
      </c>
      <c r="F15" s="161">
        <f t="shared" si="0"/>
        <v>0</v>
      </c>
      <c r="G15" s="12">
        <f t="shared" si="1"/>
        <v>0</v>
      </c>
      <c r="H15" s="2" t="e">
        <f t="shared" si="2"/>
        <v>#DIV/0!</v>
      </c>
      <c r="K15" s="8"/>
    </row>
    <row r="16" spans="1:11" x14ac:dyDescent="0.35">
      <c r="A16" t="s">
        <v>34</v>
      </c>
      <c r="B16" t="s">
        <v>35</v>
      </c>
      <c r="C16" s="183">
        <f>'Normalized Therms'!P18</f>
        <v>20492334.449073855</v>
      </c>
      <c r="D16" s="11">
        <v>0</v>
      </c>
      <c r="E16" s="11">
        <v>0</v>
      </c>
      <c r="F16" s="161">
        <f t="shared" si="0"/>
        <v>0</v>
      </c>
      <c r="G16" s="12">
        <f t="shared" si="1"/>
        <v>0</v>
      </c>
      <c r="H16" s="2" t="e">
        <f t="shared" si="2"/>
        <v>#DIV/0!</v>
      </c>
    </row>
    <row r="17" spans="1:8" x14ac:dyDescent="0.35">
      <c r="A17" t="s">
        <v>36</v>
      </c>
      <c r="B17" t="s">
        <v>37</v>
      </c>
      <c r="C17" s="183">
        <f>'Normalized Therms'!P19</f>
        <v>74773537.134971097</v>
      </c>
      <c r="D17" s="11">
        <v>0</v>
      </c>
      <c r="E17" s="11">
        <v>0</v>
      </c>
      <c r="F17" s="161">
        <f t="shared" si="0"/>
        <v>0</v>
      </c>
      <c r="G17" s="12">
        <f t="shared" si="1"/>
        <v>0</v>
      </c>
      <c r="H17" s="2" t="e">
        <f t="shared" si="2"/>
        <v>#DIV/0!</v>
      </c>
    </row>
    <row r="18" spans="1:8" x14ac:dyDescent="0.35">
      <c r="A18" t="s">
        <v>38</v>
      </c>
      <c r="B18" t="s">
        <v>39</v>
      </c>
      <c r="C18" s="183">
        <f>'Normalized Therms'!P20</f>
        <v>351288.14999999997</v>
      </c>
      <c r="D18" s="11">
        <v>0</v>
      </c>
      <c r="E18" s="11">
        <v>0</v>
      </c>
      <c r="F18" s="161">
        <f t="shared" si="0"/>
        <v>0</v>
      </c>
      <c r="G18" s="12">
        <f t="shared" si="1"/>
        <v>0</v>
      </c>
      <c r="H18" s="2" t="e">
        <f t="shared" si="2"/>
        <v>#DIV/0!</v>
      </c>
    </row>
    <row r="19" spans="1:8" x14ac:dyDescent="0.35">
      <c r="A19" t="s">
        <v>40</v>
      </c>
      <c r="B19" t="s">
        <v>41</v>
      </c>
      <c r="C19" s="183">
        <f>'Normalized Therms'!P21</f>
        <v>100441128.37470125</v>
      </c>
      <c r="D19" s="11">
        <v>0</v>
      </c>
      <c r="E19" s="11">
        <v>0</v>
      </c>
      <c r="F19" s="161">
        <f t="shared" si="0"/>
        <v>0</v>
      </c>
      <c r="G19" s="12">
        <f t="shared" si="1"/>
        <v>0</v>
      </c>
      <c r="H19" s="2" t="e">
        <f t="shared" si="2"/>
        <v>#DIV/0!</v>
      </c>
    </row>
    <row r="20" spans="1:8" x14ac:dyDescent="0.35">
      <c r="A20" t="s">
        <v>13</v>
      </c>
      <c r="C20" s="183">
        <f>'Normalized Therms'!P22</f>
        <v>37056427.854413897</v>
      </c>
      <c r="D20" s="14">
        <v>0</v>
      </c>
      <c r="E20" s="14">
        <v>0</v>
      </c>
      <c r="F20" s="161">
        <f t="shared" si="0"/>
        <v>0</v>
      </c>
      <c r="G20" s="12">
        <f t="shared" si="1"/>
        <v>0</v>
      </c>
      <c r="H20" s="2" t="e">
        <f t="shared" si="2"/>
        <v>#DIV/0!</v>
      </c>
    </row>
    <row r="21" spans="1:8" x14ac:dyDescent="0.35">
      <c r="A21" t="s">
        <v>6</v>
      </c>
      <c r="C21" s="15">
        <f>SUM(C8:C20)</f>
        <v>1191304269.0992641</v>
      </c>
      <c r="D21" s="9"/>
      <c r="E21" s="9"/>
      <c r="F21" s="162">
        <f t="shared" ref="F21:G21" si="3">SUM(F8:F20)</f>
        <v>0</v>
      </c>
      <c r="G21" s="16">
        <f t="shared" si="3"/>
        <v>0</v>
      </c>
      <c r="H21" s="3" t="e">
        <f t="shared" si="2"/>
        <v>#DIV/0!</v>
      </c>
    </row>
    <row r="22" spans="1:8" x14ac:dyDescent="0.35">
      <c r="A22" s="17"/>
      <c r="B22" s="18"/>
      <c r="C22" s="21"/>
      <c r="D22" s="20"/>
      <c r="E22" s="20"/>
      <c r="F22" s="20"/>
      <c r="G22" s="23"/>
      <c r="H22" s="24"/>
    </row>
    <row r="23" spans="1:8" x14ac:dyDescent="0.35">
      <c r="A23" s="17" t="s">
        <v>267</v>
      </c>
      <c r="B23" s="17"/>
      <c r="C23" s="207">
        <f>'12ME Dec18 Rentals'!$O$30</f>
        <v>351449</v>
      </c>
      <c r="D23" s="103">
        <v>0</v>
      </c>
      <c r="E23" s="103">
        <v>0</v>
      </c>
      <c r="F23" s="161">
        <f>D23*C23</f>
        <v>0</v>
      </c>
      <c r="G23" s="12">
        <v>0</v>
      </c>
      <c r="H23" s="2" t="e">
        <f t="shared" si="2"/>
        <v>#DIV/0!</v>
      </c>
    </row>
    <row r="24" spans="1:8" x14ac:dyDescent="0.35">
      <c r="A24" s="29" t="s">
        <v>6</v>
      </c>
      <c r="B24" s="29"/>
      <c r="C24" s="31"/>
      <c r="D24" s="31"/>
      <c r="E24" s="31"/>
      <c r="F24" s="30">
        <f t="shared" ref="F24:G24" si="4">F21+F23</f>
        <v>0</v>
      </c>
      <c r="G24" s="30">
        <f t="shared" si="4"/>
        <v>0</v>
      </c>
      <c r="H24" s="3" t="e">
        <f t="shared" si="2"/>
        <v>#DIV/0!</v>
      </c>
    </row>
  </sheetData>
  <mergeCells count="3">
    <mergeCell ref="A1:H1"/>
    <mergeCell ref="A2:H2"/>
    <mergeCell ref="A3:H3"/>
  </mergeCells>
  <pageMargins left="0.7" right="0.7" top="0.75" bottom="0.75" header="0.3" footer="0.3"/>
  <pageSetup scale="96" orientation="landscape" blackAndWhite="1" r:id="rId1"/>
  <headerFooter>
    <oddFooter>&amp;L&amp;F
&amp;A&amp;C&amp;P&amp;R&amp;D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23" sqref="C23"/>
    </sheetView>
  </sheetViews>
  <sheetFormatPr defaultRowHeight="14.5" x14ac:dyDescent="0.35"/>
  <cols>
    <col min="1" max="1" width="38.7265625" customWidth="1"/>
    <col min="2" max="2" width="9.1796875" bestFit="1" customWidth="1"/>
    <col min="3" max="3" width="15.81640625" customWidth="1"/>
    <col min="4" max="4" width="16.81640625" bestFit="1" customWidth="1"/>
    <col min="5" max="5" width="16.81640625" customWidth="1"/>
    <col min="6" max="6" width="20.453125" customWidth="1"/>
    <col min="7" max="7" width="15.1796875" customWidth="1"/>
    <col min="8" max="8" width="7.81640625" bestFit="1" customWidth="1"/>
  </cols>
  <sheetData>
    <row r="1" spans="1:9" s="75" customFormat="1" ht="12.5" x14ac:dyDescent="0.25">
      <c r="A1" s="337" t="s">
        <v>0</v>
      </c>
      <c r="B1" s="337"/>
      <c r="C1" s="337"/>
      <c r="D1" s="337"/>
      <c r="E1" s="337"/>
      <c r="F1" s="337"/>
      <c r="G1" s="337"/>
      <c r="H1" s="337"/>
      <c r="I1" s="74"/>
    </row>
    <row r="2" spans="1:9" s="75" customFormat="1" ht="12.5" x14ac:dyDescent="0.25">
      <c r="A2" s="337" t="s">
        <v>268</v>
      </c>
      <c r="B2" s="337"/>
      <c r="C2" s="337"/>
      <c r="D2" s="337"/>
      <c r="E2" s="337"/>
      <c r="F2" s="337"/>
      <c r="G2" s="337"/>
      <c r="H2" s="337"/>
      <c r="I2" s="74"/>
    </row>
    <row r="3" spans="1:9" s="75" customFormat="1" ht="12.5" x14ac:dyDescent="0.25">
      <c r="A3" s="337" t="s">
        <v>311</v>
      </c>
      <c r="B3" s="337"/>
      <c r="C3" s="337"/>
      <c r="D3" s="337"/>
      <c r="E3" s="337"/>
      <c r="F3" s="337"/>
      <c r="G3" s="337"/>
      <c r="H3" s="337"/>
      <c r="I3" s="74"/>
    </row>
    <row r="4" spans="1:9" x14ac:dyDescent="0.35">
      <c r="D4" s="4"/>
      <c r="E4" s="4"/>
    </row>
    <row r="5" spans="1:9" x14ac:dyDescent="0.3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16</v>
      </c>
      <c r="H5" s="5"/>
    </row>
    <row r="6" spans="1:9" x14ac:dyDescent="0.35">
      <c r="A6" s="5"/>
      <c r="B6" s="5" t="s">
        <v>17</v>
      </c>
      <c r="C6" s="5" t="s">
        <v>3</v>
      </c>
      <c r="D6" s="5" t="s">
        <v>16</v>
      </c>
      <c r="E6" s="5" t="s">
        <v>16</v>
      </c>
      <c r="F6" s="5" t="s">
        <v>15</v>
      </c>
      <c r="G6" s="5" t="s">
        <v>2</v>
      </c>
      <c r="H6" s="5" t="s">
        <v>20</v>
      </c>
    </row>
    <row r="7" spans="1:9" x14ac:dyDescent="0.3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35">
      <c r="A8" t="s">
        <v>7</v>
      </c>
      <c r="B8" s="8" t="s">
        <v>30</v>
      </c>
      <c r="C8" s="183">
        <f>SUM('Normalized Therms'!P9,'Normalized Therms'!P11)</f>
        <v>609248315.15931809</v>
      </c>
      <c r="D8" s="135">
        <v>2.2350000000000002E-2</v>
      </c>
      <c r="E8" s="10">
        <v>2.2350000000000002E-2</v>
      </c>
      <c r="F8" s="161">
        <f>C8*D8</f>
        <v>13616699.843810759</v>
      </c>
      <c r="G8" s="12">
        <f>(E8-D8)*C8</f>
        <v>0</v>
      </c>
      <c r="H8" s="2">
        <f>G8/F8</f>
        <v>0</v>
      </c>
    </row>
    <row r="9" spans="1:9" x14ac:dyDescent="0.35">
      <c r="A9" t="s">
        <v>31</v>
      </c>
      <c r="B9" s="8">
        <v>16</v>
      </c>
      <c r="C9" s="198">
        <f>'Normalized Therms'!P10</f>
        <v>9386</v>
      </c>
      <c r="D9" s="135">
        <v>2.2350000000000002E-2</v>
      </c>
      <c r="E9" s="135">
        <v>2.2350000000000002E-2</v>
      </c>
      <c r="F9" s="161">
        <f t="shared" ref="F9:F19" si="0">C9*D9</f>
        <v>209.77710000000002</v>
      </c>
      <c r="G9" s="12">
        <f t="shared" ref="G9:G20" si="1">(E9-D9)*C9</f>
        <v>0</v>
      </c>
      <c r="H9" s="2">
        <f t="shared" ref="H9:H24" si="2">G9/F9</f>
        <v>0</v>
      </c>
    </row>
    <row r="10" spans="1:9" x14ac:dyDescent="0.35">
      <c r="A10" t="s">
        <v>8</v>
      </c>
      <c r="B10" s="8">
        <v>31</v>
      </c>
      <c r="C10" s="183">
        <f>'Normalized Therms'!P12</f>
        <v>234140158.08963937</v>
      </c>
      <c r="D10" s="135">
        <v>2.528E-2</v>
      </c>
      <c r="E10" s="10">
        <v>2.528E-2</v>
      </c>
      <c r="F10" s="161">
        <f t="shared" si="0"/>
        <v>5919063.196506083</v>
      </c>
      <c r="G10" s="12">
        <f>(E10-D10)*C10</f>
        <v>0</v>
      </c>
      <c r="H10" s="2">
        <f t="shared" si="2"/>
        <v>0</v>
      </c>
    </row>
    <row r="11" spans="1:9" x14ac:dyDescent="0.35">
      <c r="A11" t="s">
        <v>9</v>
      </c>
      <c r="B11" s="8">
        <v>41</v>
      </c>
      <c r="C11" s="183">
        <f>'Normalized Therms'!P13</f>
        <v>65836657.463465482</v>
      </c>
      <c r="D11" s="135">
        <v>8.94E-3</v>
      </c>
      <c r="E11" s="10">
        <v>8.94E-3</v>
      </c>
      <c r="F11" s="161">
        <f t="shared" si="0"/>
        <v>588579.71772338136</v>
      </c>
      <c r="G11" s="12">
        <f t="shared" si="1"/>
        <v>0</v>
      </c>
      <c r="H11" s="2">
        <f t="shared" si="2"/>
        <v>0</v>
      </c>
    </row>
    <row r="12" spans="1:9" x14ac:dyDescent="0.35">
      <c r="A12" t="s">
        <v>10</v>
      </c>
      <c r="B12" s="8">
        <v>85</v>
      </c>
      <c r="C12" s="183">
        <f>'Normalized Therms'!P14</f>
        <v>16184434.068649085</v>
      </c>
      <c r="D12" s="135">
        <v>5.0499999999999998E-3</v>
      </c>
      <c r="E12" s="10">
        <v>5.0499999999999998E-3</v>
      </c>
      <c r="F12" s="161">
        <f t="shared" si="0"/>
        <v>81731.39204667788</v>
      </c>
      <c r="G12" s="12">
        <f t="shared" si="1"/>
        <v>0</v>
      </c>
      <c r="H12" s="2">
        <f t="shared" si="2"/>
        <v>0</v>
      </c>
    </row>
    <row r="13" spans="1:9" x14ac:dyDescent="0.35">
      <c r="A13" t="s">
        <v>11</v>
      </c>
      <c r="B13" s="8">
        <v>86</v>
      </c>
      <c r="C13" s="183">
        <f>'Normalized Therms'!P15</f>
        <v>9397200.2729263529</v>
      </c>
      <c r="D13" s="135">
        <v>7.6699999999999997E-3</v>
      </c>
      <c r="E13" s="10">
        <v>7.6699999999999997E-3</v>
      </c>
      <c r="F13" s="161">
        <f t="shared" si="0"/>
        <v>72076.526093345121</v>
      </c>
      <c r="G13" s="12">
        <f t="shared" si="1"/>
        <v>0</v>
      </c>
      <c r="H13" s="2">
        <f t="shared" si="2"/>
        <v>0</v>
      </c>
    </row>
    <row r="14" spans="1:9" x14ac:dyDescent="0.35">
      <c r="A14" t="s">
        <v>12</v>
      </c>
      <c r="B14" s="8">
        <v>87</v>
      </c>
      <c r="C14" s="183">
        <f>'Normalized Therms'!P16</f>
        <v>23337042.118500698</v>
      </c>
      <c r="D14" s="135">
        <v>2.7299999999999998E-3</v>
      </c>
      <c r="E14" s="10">
        <v>2.7299999999999998E-3</v>
      </c>
      <c r="F14" s="161">
        <f t="shared" si="0"/>
        <v>63710.124983506903</v>
      </c>
      <c r="G14" s="12">
        <f t="shared" si="1"/>
        <v>0</v>
      </c>
      <c r="H14" s="2">
        <f t="shared" si="2"/>
        <v>0</v>
      </c>
    </row>
    <row r="15" spans="1:9" x14ac:dyDescent="0.35">
      <c r="A15" t="s">
        <v>32</v>
      </c>
      <c r="B15" s="8" t="s">
        <v>33</v>
      </c>
      <c r="C15" s="183">
        <f>'Normalized Therms'!P17</f>
        <v>36359.963605097219</v>
      </c>
      <c r="D15" s="135">
        <v>2.528E-2</v>
      </c>
      <c r="E15" s="135">
        <v>2.528E-2</v>
      </c>
      <c r="F15" s="161">
        <f t="shared" si="0"/>
        <v>919.17987993685767</v>
      </c>
      <c r="G15" s="12">
        <f t="shared" si="1"/>
        <v>0</v>
      </c>
      <c r="H15" s="2">
        <f t="shared" si="2"/>
        <v>0</v>
      </c>
    </row>
    <row r="16" spans="1:9" x14ac:dyDescent="0.35">
      <c r="A16" t="s">
        <v>34</v>
      </c>
      <c r="B16" t="s">
        <v>35</v>
      </c>
      <c r="C16" s="183">
        <f>'Normalized Therms'!P18</f>
        <v>20492334.449073855</v>
      </c>
      <c r="D16" s="135">
        <v>8.94E-3</v>
      </c>
      <c r="E16" s="135">
        <v>8.94E-3</v>
      </c>
      <c r="F16" s="161">
        <f t="shared" si="0"/>
        <v>183201.46997472027</v>
      </c>
      <c r="G16" s="12">
        <f t="shared" si="1"/>
        <v>0</v>
      </c>
      <c r="H16" s="2">
        <f t="shared" si="2"/>
        <v>0</v>
      </c>
    </row>
    <row r="17" spans="1:11" x14ac:dyDescent="0.35">
      <c r="A17" t="s">
        <v>36</v>
      </c>
      <c r="B17" t="s">
        <v>37</v>
      </c>
      <c r="C17" s="183">
        <f>'Normalized Therms'!P19</f>
        <v>74773537.134971097</v>
      </c>
      <c r="D17" s="135">
        <v>5.0499999999999998E-3</v>
      </c>
      <c r="E17" s="135">
        <v>5.0499999999999998E-3</v>
      </c>
      <c r="F17" s="161">
        <f t="shared" si="0"/>
        <v>377606.36253160401</v>
      </c>
      <c r="G17" s="12">
        <f t="shared" si="1"/>
        <v>0</v>
      </c>
      <c r="H17" s="2">
        <f t="shared" si="2"/>
        <v>0</v>
      </c>
    </row>
    <row r="18" spans="1:11" x14ac:dyDescent="0.35">
      <c r="A18" t="s">
        <v>38</v>
      </c>
      <c r="B18" t="s">
        <v>39</v>
      </c>
      <c r="C18" s="183">
        <f>'Normalized Therms'!P20</f>
        <v>351288.14999999997</v>
      </c>
      <c r="D18" s="135">
        <v>7.6699999999999997E-3</v>
      </c>
      <c r="E18" s="135">
        <v>7.6699999999999997E-3</v>
      </c>
      <c r="F18" s="161">
        <f t="shared" si="0"/>
        <v>2694.3801104999998</v>
      </c>
      <c r="G18" s="12">
        <f t="shared" si="1"/>
        <v>0</v>
      </c>
      <c r="H18" s="2">
        <f t="shared" si="2"/>
        <v>0</v>
      </c>
    </row>
    <row r="19" spans="1:11" x14ac:dyDescent="0.35">
      <c r="A19" t="s">
        <v>40</v>
      </c>
      <c r="B19" t="s">
        <v>41</v>
      </c>
      <c r="C19" s="183">
        <f>'Normalized Therms'!P21</f>
        <v>100441128.37470125</v>
      </c>
      <c r="D19" s="135">
        <v>2.7299999999999998E-3</v>
      </c>
      <c r="E19" s="135">
        <v>2.7299999999999998E-3</v>
      </c>
      <c r="F19" s="161">
        <f t="shared" si="0"/>
        <v>274204.2804629344</v>
      </c>
      <c r="G19" s="12">
        <f t="shared" si="1"/>
        <v>0</v>
      </c>
      <c r="H19" s="2">
        <f t="shared" si="2"/>
        <v>0</v>
      </c>
    </row>
    <row r="20" spans="1:11" x14ac:dyDescent="0.35">
      <c r="A20" t="s">
        <v>13</v>
      </c>
      <c r="C20" s="183">
        <f>'Normalized Therms'!P22</f>
        <v>37056427.854413897</v>
      </c>
      <c r="D20" s="14">
        <v>3.4299999999999999E-3</v>
      </c>
      <c r="E20" s="14">
        <v>3.4299999999999999E-3</v>
      </c>
      <c r="F20" s="161">
        <f>C20*D20</f>
        <v>127103.54754063966</v>
      </c>
      <c r="G20" s="12">
        <f t="shared" si="1"/>
        <v>0</v>
      </c>
      <c r="H20" s="2">
        <f t="shared" si="2"/>
        <v>0</v>
      </c>
    </row>
    <row r="21" spans="1:11" x14ac:dyDescent="0.35">
      <c r="A21" t="s">
        <v>6</v>
      </c>
      <c r="C21" s="15">
        <f>SUM(C8:C20)</f>
        <v>1191304269.0992641</v>
      </c>
      <c r="D21" s="9"/>
      <c r="E21" s="9"/>
      <c r="F21" s="162">
        <f t="shared" ref="F21:G21" si="3">SUM(F8:F20)</f>
        <v>21307799.798764087</v>
      </c>
      <c r="G21" s="16">
        <f t="shared" si="3"/>
        <v>0</v>
      </c>
      <c r="H21" s="3">
        <f t="shared" si="2"/>
        <v>0</v>
      </c>
    </row>
    <row r="22" spans="1:11" s="24" customFormat="1" x14ac:dyDescent="0.35">
      <c r="A22" s="17"/>
      <c r="B22" s="18"/>
      <c r="C22" s="21"/>
      <c r="D22" s="20"/>
      <c r="E22" s="20"/>
      <c r="F22" s="20"/>
      <c r="G22" s="23"/>
    </row>
    <row r="23" spans="1:11" s="24" customFormat="1" x14ac:dyDescent="0.35">
      <c r="A23" s="17" t="s">
        <v>267</v>
      </c>
      <c r="B23" s="17"/>
      <c r="C23" s="207">
        <f>'12ME Dec18 Rentals'!$O$30</f>
        <v>351449</v>
      </c>
      <c r="D23" s="26">
        <v>0.52</v>
      </c>
      <c r="E23" s="26">
        <v>0.52</v>
      </c>
      <c r="F23" s="161">
        <f>D23*C23</f>
        <v>182753.48</v>
      </c>
      <c r="G23" s="12">
        <f t="shared" ref="G23" si="4">(E23-D23)*C23</f>
        <v>0</v>
      </c>
      <c r="H23" s="2">
        <f t="shared" si="2"/>
        <v>0</v>
      </c>
      <c r="I23" s="27"/>
      <c r="J23" s="25"/>
      <c r="K23" s="28"/>
    </row>
    <row r="24" spans="1:11" s="24" customFormat="1" x14ac:dyDescent="0.35">
      <c r="A24" s="29" t="s">
        <v>6</v>
      </c>
      <c r="B24" s="29"/>
      <c r="C24" s="31"/>
      <c r="D24" s="31"/>
      <c r="E24" s="31"/>
      <c r="F24" s="30">
        <f t="shared" ref="F24:G24" si="5">F21+F23</f>
        <v>21490553.278764088</v>
      </c>
      <c r="G24" s="30">
        <f t="shared" si="5"/>
        <v>0</v>
      </c>
      <c r="H24" s="3">
        <f t="shared" si="2"/>
        <v>0</v>
      </c>
      <c r="I24" s="27"/>
    </row>
    <row r="25" spans="1:11" x14ac:dyDescent="0.35">
      <c r="F25" s="12"/>
    </row>
    <row r="26" spans="1:11" x14ac:dyDescent="0.35">
      <c r="C26" s="32"/>
      <c r="F26" s="12"/>
    </row>
    <row r="27" spans="1:11" x14ac:dyDescent="0.3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9"/>
  <sheetViews>
    <sheetView zoomScaleNormal="100" workbookViewId="0">
      <pane ySplit="7" topLeftCell="A8" activePane="bottomLeft" state="frozen"/>
      <selection pane="bottomLeft" activeCell="G42" sqref="G42:G51"/>
    </sheetView>
  </sheetViews>
  <sheetFormatPr defaultColWidth="9.1796875" defaultRowHeight="14.5" x14ac:dyDescent="0.35"/>
  <cols>
    <col min="1" max="1" width="3.26953125" style="168" customWidth="1"/>
    <col min="2" max="2" width="43.7265625" style="168" bestFit="1" customWidth="1"/>
    <col min="3" max="3" width="9.1796875" style="168"/>
    <col min="4" max="4" width="16.54296875" style="168" bestFit="1" customWidth="1"/>
    <col min="5" max="5" width="13.7265625" style="168" bestFit="1" customWidth="1"/>
    <col min="6" max="6" width="13.7265625" style="168" customWidth="1"/>
    <col min="7" max="7" width="15" style="168" bestFit="1" customWidth="1"/>
    <col min="8" max="8" width="16" style="168" bestFit="1" customWidth="1"/>
    <col min="9" max="16384" width="9.1796875" style="168"/>
  </cols>
  <sheetData>
    <row r="1" spans="1:8" x14ac:dyDescent="0.35">
      <c r="A1" s="333" t="s">
        <v>0</v>
      </c>
      <c r="B1" s="333"/>
      <c r="C1" s="333"/>
      <c r="D1" s="333"/>
      <c r="E1" s="333"/>
      <c r="F1" s="333"/>
      <c r="G1" s="333"/>
      <c r="H1" s="333"/>
    </row>
    <row r="2" spans="1:8" x14ac:dyDescent="0.35">
      <c r="A2" s="333" t="s">
        <v>275</v>
      </c>
      <c r="B2" s="333"/>
      <c r="C2" s="333"/>
      <c r="D2" s="333"/>
      <c r="E2" s="333"/>
      <c r="F2" s="333"/>
      <c r="G2" s="333"/>
      <c r="H2" s="333"/>
    </row>
    <row r="3" spans="1:8" x14ac:dyDescent="0.35">
      <c r="A3" s="333" t="s">
        <v>259</v>
      </c>
      <c r="B3" s="333"/>
      <c r="C3" s="333"/>
      <c r="D3" s="333"/>
      <c r="E3" s="333"/>
      <c r="F3" s="333"/>
      <c r="G3" s="333"/>
      <c r="H3" s="333"/>
    </row>
    <row r="4" spans="1:8" x14ac:dyDescent="0.35">
      <c r="A4" s="167"/>
      <c r="B4" s="167"/>
      <c r="C4" s="167"/>
      <c r="D4" s="167"/>
      <c r="E4" s="167"/>
      <c r="F4" s="167"/>
    </row>
    <row r="5" spans="1:8" x14ac:dyDescent="0.35">
      <c r="A5" s="185"/>
      <c r="B5" s="185"/>
      <c r="C5" s="185"/>
      <c r="D5" s="5" t="s">
        <v>15</v>
      </c>
      <c r="E5" s="184" t="s">
        <v>5</v>
      </c>
      <c r="F5" s="184" t="s">
        <v>1</v>
      </c>
      <c r="G5" s="5"/>
      <c r="H5" s="102" t="s">
        <v>232</v>
      </c>
    </row>
    <row r="6" spans="1:8" x14ac:dyDescent="0.35">
      <c r="B6" s="184"/>
      <c r="C6" s="184"/>
      <c r="D6" s="5" t="s">
        <v>3</v>
      </c>
      <c r="E6" s="184" t="s">
        <v>232</v>
      </c>
      <c r="F6" s="184" t="s">
        <v>232</v>
      </c>
      <c r="G6" s="5" t="s">
        <v>15</v>
      </c>
      <c r="H6" s="102" t="s">
        <v>212</v>
      </c>
    </row>
    <row r="7" spans="1:8" x14ac:dyDescent="0.35">
      <c r="A7" s="186"/>
      <c r="B7" s="187" t="s">
        <v>213</v>
      </c>
      <c r="C7" s="187" t="s">
        <v>233</v>
      </c>
      <c r="D7" s="238" t="str">
        <f>'Base Rate Impacts'!$D$8</f>
        <v>Jan 18 - Dec 18</v>
      </c>
      <c r="E7" s="187" t="s">
        <v>22</v>
      </c>
      <c r="F7" s="187" t="s">
        <v>22</v>
      </c>
      <c r="G7" s="171" t="s">
        <v>2</v>
      </c>
      <c r="H7" s="171" t="s">
        <v>244</v>
      </c>
    </row>
    <row r="8" spans="1:8" x14ac:dyDescent="0.35">
      <c r="A8" s="172" t="s">
        <v>214</v>
      </c>
      <c r="C8" s="172"/>
      <c r="D8" s="172"/>
    </row>
    <row r="9" spans="1:8" x14ac:dyDescent="0.35">
      <c r="B9" s="188" t="s">
        <v>234</v>
      </c>
      <c r="C9" s="188" t="s">
        <v>235</v>
      </c>
      <c r="D9" s="209">
        <f>'12ME Dec18 Data'!N23</f>
        <v>9401341.5170350727</v>
      </c>
      <c r="E9" s="194">
        <v>0.66999999999999993</v>
      </c>
      <c r="F9" s="257">
        <v>0</v>
      </c>
      <c r="G9" s="192">
        <f>ROUND(E9*D9,2)</f>
        <v>6298898.8200000003</v>
      </c>
      <c r="H9" s="192">
        <f>(F9-E9)*D9</f>
        <v>-6298898.8164134985</v>
      </c>
    </row>
    <row r="10" spans="1:8" x14ac:dyDescent="0.35">
      <c r="B10" s="173" t="s">
        <v>236</v>
      </c>
      <c r="C10" s="173" t="s">
        <v>237</v>
      </c>
      <c r="D10" s="209">
        <f>'Normalized Therms'!P9</f>
        <v>609248231.82931805</v>
      </c>
      <c r="E10" s="135">
        <v>2.1230000000000027E-2</v>
      </c>
      <c r="F10" s="258">
        <v>0</v>
      </c>
      <c r="G10" s="192">
        <f t="shared" ref="G10:G73" si="0">ROUND(E10*D10,2)</f>
        <v>12934339.960000001</v>
      </c>
      <c r="H10" s="192">
        <f t="shared" ref="H10:H73" si="1">(F10-E10)*D10</f>
        <v>-12934339.961736439</v>
      </c>
    </row>
    <row r="11" spans="1:8" x14ac:dyDescent="0.35">
      <c r="B11" s="150"/>
      <c r="C11" s="150"/>
      <c r="D11" s="174"/>
      <c r="E11" s="212"/>
      <c r="F11" s="212"/>
      <c r="G11" s="192"/>
      <c r="H11" s="192"/>
    </row>
    <row r="12" spans="1:8" x14ac:dyDescent="0.35">
      <c r="A12" s="175" t="s">
        <v>215</v>
      </c>
      <c r="C12" s="175"/>
      <c r="D12" s="174"/>
      <c r="E12" s="212"/>
      <c r="F12" s="212"/>
      <c r="G12" s="192"/>
      <c r="H12" s="192"/>
    </row>
    <row r="13" spans="1:8" x14ac:dyDescent="0.35">
      <c r="A13" s="169"/>
      <c r="B13" s="188" t="s">
        <v>234</v>
      </c>
      <c r="C13" s="188" t="s">
        <v>235</v>
      </c>
      <c r="D13" s="209">
        <f>'12ME Dec18 Data'!N24</f>
        <v>1.4854545454545454</v>
      </c>
      <c r="E13" s="194">
        <v>0.66999999999999993</v>
      </c>
      <c r="F13" s="259">
        <v>0</v>
      </c>
      <c r="G13" s="192">
        <f t="shared" si="0"/>
        <v>1</v>
      </c>
      <c r="H13" s="192">
        <f t="shared" si="1"/>
        <v>-0.99525454545454528</v>
      </c>
    </row>
    <row r="14" spans="1:8" x14ac:dyDescent="0.35">
      <c r="A14" s="169"/>
      <c r="B14" s="173" t="s">
        <v>236</v>
      </c>
      <c r="C14" s="173" t="s">
        <v>237</v>
      </c>
      <c r="D14" s="209">
        <f>'Normalized Therms'!P11</f>
        <v>83.329999999999984</v>
      </c>
      <c r="E14" s="135">
        <v>2.1230000000000027E-2</v>
      </c>
      <c r="F14" s="258">
        <v>0</v>
      </c>
      <c r="G14" s="192">
        <f t="shared" si="0"/>
        <v>1.77</v>
      </c>
      <c r="H14" s="192">
        <f t="shared" si="1"/>
        <v>-1.7690959000000019</v>
      </c>
    </row>
    <row r="15" spans="1:8" x14ac:dyDescent="0.35">
      <c r="A15" s="169"/>
      <c r="B15" s="176"/>
      <c r="C15" s="176"/>
      <c r="D15" s="209"/>
      <c r="E15" s="212"/>
      <c r="F15" s="258"/>
      <c r="G15" s="192"/>
      <c r="H15" s="192"/>
    </row>
    <row r="16" spans="1:8" x14ac:dyDescent="0.35">
      <c r="A16" s="175" t="s">
        <v>216</v>
      </c>
      <c r="C16" s="172"/>
      <c r="D16" s="209"/>
      <c r="E16" s="212"/>
      <c r="F16" s="258"/>
      <c r="G16" s="192"/>
      <c r="H16" s="192"/>
    </row>
    <row r="17" spans="1:8" x14ac:dyDescent="0.35">
      <c r="B17" s="173" t="s">
        <v>236</v>
      </c>
      <c r="C17" s="189" t="s">
        <v>238</v>
      </c>
      <c r="D17" s="209">
        <f>'Normalized Therms'!P10/19</f>
        <v>494</v>
      </c>
      <c r="E17" s="194">
        <v>0.58999999999999986</v>
      </c>
      <c r="F17" s="259">
        <v>0</v>
      </c>
      <c r="G17" s="192">
        <f t="shared" si="0"/>
        <v>291.45999999999998</v>
      </c>
      <c r="H17" s="192">
        <f t="shared" si="1"/>
        <v>-291.45999999999992</v>
      </c>
    </row>
    <row r="18" spans="1:8" x14ac:dyDescent="0.35">
      <c r="B18" s="173"/>
      <c r="C18" s="173"/>
      <c r="D18" s="209"/>
      <c r="E18" s="212"/>
      <c r="F18" s="258"/>
      <c r="G18" s="192"/>
      <c r="H18" s="192"/>
    </row>
    <row r="19" spans="1:8" x14ac:dyDescent="0.35">
      <c r="A19" s="147" t="s">
        <v>217</v>
      </c>
      <c r="B19" s="177"/>
      <c r="C19" s="178"/>
      <c r="D19" s="209"/>
      <c r="E19" s="212"/>
      <c r="F19" s="258"/>
      <c r="G19" s="192"/>
      <c r="H19" s="192"/>
    </row>
    <row r="20" spans="1:8" x14ac:dyDescent="0.35">
      <c r="A20" s="177"/>
      <c r="B20" s="182" t="s">
        <v>234</v>
      </c>
      <c r="C20" s="182" t="s">
        <v>235</v>
      </c>
      <c r="D20" s="209">
        <f>'12ME Dec18 Data'!N25</f>
        <v>692597.12096613029</v>
      </c>
      <c r="E20" s="194">
        <v>2.1200000000000045</v>
      </c>
      <c r="F20" s="259">
        <v>0</v>
      </c>
      <c r="G20" s="192">
        <f t="shared" si="0"/>
        <v>1468305.9</v>
      </c>
      <c r="H20" s="192">
        <f t="shared" si="1"/>
        <v>-1468305.8964481994</v>
      </c>
    </row>
    <row r="21" spans="1:8" x14ac:dyDescent="0.35">
      <c r="A21" s="177"/>
      <c r="B21" s="179" t="s">
        <v>236</v>
      </c>
      <c r="C21" s="179" t="s">
        <v>237</v>
      </c>
      <c r="D21" s="209">
        <f>'Normalized Therms'!$P$12</f>
        <v>234140158.08963937</v>
      </c>
      <c r="E21" s="135">
        <v>1.9409999999999983E-2</v>
      </c>
      <c r="F21" s="258">
        <v>0</v>
      </c>
      <c r="G21" s="192">
        <f t="shared" si="0"/>
        <v>4544660.47</v>
      </c>
      <c r="H21" s="192">
        <f t="shared" si="1"/>
        <v>-4544660.4685198963</v>
      </c>
    </row>
    <row r="22" spans="1:8" s="190" customFormat="1" x14ac:dyDescent="0.35">
      <c r="B22" s="191" t="s">
        <v>87</v>
      </c>
      <c r="C22" s="191" t="s">
        <v>237</v>
      </c>
      <c r="D22" s="209">
        <f>'Normalized Therms'!$P$12</f>
        <v>234140158.08963937</v>
      </c>
      <c r="E22" s="135">
        <v>5.8000000000000065E-4</v>
      </c>
      <c r="F22" s="258">
        <v>0</v>
      </c>
      <c r="G22" s="192">
        <f t="shared" ref="G22" si="2">ROUND(E22*D22,2)</f>
        <v>135801.29</v>
      </c>
      <c r="H22" s="192">
        <f>(F22-E22)*D22</f>
        <v>-135801.29169199098</v>
      </c>
    </row>
    <row r="23" spans="1:8" x14ac:dyDescent="0.35">
      <c r="A23" s="177"/>
      <c r="B23" s="179"/>
      <c r="C23" s="179"/>
      <c r="D23" s="209"/>
      <c r="E23" s="212"/>
      <c r="F23" s="258"/>
      <c r="G23" s="192"/>
      <c r="H23" s="192"/>
    </row>
    <row r="24" spans="1:8" x14ac:dyDescent="0.35">
      <c r="A24" s="180" t="s">
        <v>218</v>
      </c>
      <c r="B24" s="177"/>
      <c r="C24" s="178"/>
      <c r="D24" s="209"/>
      <c r="E24" s="212"/>
      <c r="F24" s="258"/>
      <c r="G24" s="192"/>
      <c r="H24" s="192"/>
    </row>
    <row r="25" spans="1:8" x14ac:dyDescent="0.35">
      <c r="A25" s="179"/>
      <c r="B25" s="182" t="s">
        <v>234</v>
      </c>
      <c r="C25" s="182" t="s">
        <v>235</v>
      </c>
      <c r="D25" s="209">
        <f>'12ME Dec18 Data'!N26</f>
        <v>31</v>
      </c>
      <c r="E25" s="194">
        <v>15.140000000000043</v>
      </c>
      <c r="F25" s="259">
        <v>0</v>
      </c>
      <c r="G25" s="192">
        <f t="shared" si="0"/>
        <v>469.34</v>
      </c>
      <c r="H25" s="192">
        <f t="shared" si="1"/>
        <v>-469.34000000000134</v>
      </c>
    </row>
    <row r="26" spans="1:8" x14ac:dyDescent="0.35">
      <c r="A26" s="179"/>
      <c r="B26" s="179" t="s">
        <v>236</v>
      </c>
      <c r="C26" s="179" t="s">
        <v>237</v>
      </c>
      <c r="D26" s="209">
        <f>'Normalized Therms'!P17</f>
        <v>36359.963605097219</v>
      </c>
      <c r="E26" s="135">
        <v>1.261000000000001E-2</v>
      </c>
      <c r="F26" s="258">
        <v>0</v>
      </c>
      <c r="G26" s="192">
        <f t="shared" si="0"/>
        <v>458.5</v>
      </c>
      <c r="H26" s="192">
        <f t="shared" si="1"/>
        <v>-458.49914106027632</v>
      </c>
    </row>
    <row r="27" spans="1:8" x14ac:dyDescent="0.35">
      <c r="A27" s="179"/>
      <c r="B27" s="179"/>
      <c r="C27" s="179"/>
      <c r="D27" s="209"/>
      <c r="E27" s="212"/>
      <c r="F27" s="258"/>
      <c r="G27" s="192"/>
      <c r="H27" s="192"/>
    </row>
    <row r="28" spans="1:8" x14ac:dyDescent="0.35">
      <c r="A28" s="180" t="s">
        <v>219</v>
      </c>
      <c r="B28" s="177"/>
      <c r="C28" s="178"/>
      <c r="D28" s="209"/>
      <c r="E28" s="194"/>
      <c r="F28" s="258"/>
      <c r="G28" s="192"/>
      <c r="H28" s="192"/>
    </row>
    <row r="29" spans="1:8" x14ac:dyDescent="0.35">
      <c r="A29" s="177"/>
      <c r="B29" s="179" t="s">
        <v>204</v>
      </c>
      <c r="C29" s="179"/>
      <c r="D29" s="209"/>
      <c r="E29" s="194">
        <v>9.999999999999995E-3</v>
      </c>
      <c r="F29" s="259">
        <v>0</v>
      </c>
      <c r="G29" s="192">
        <f t="shared" si="0"/>
        <v>0</v>
      </c>
      <c r="H29" s="192">
        <f t="shared" si="1"/>
        <v>0</v>
      </c>
    </row>
    <row r="30" spans="1:8" x14ac:dyDescent="0.35">
      <c r="A30" s="177"/>
      <c r="B30" s="181"/>
      <c r="C30" s="179"/>
      <c r="D30" s="209"/>
      <c r="E30" s="212"/>
      <c r="F30" s="258"/>
      <c r="G30" s="192"/>
      <c r="H30" s="192"/>
    </row>
    <row r="31" spans="1:8" x14ac:dyDescent="0.35">
      <c r="A31" s="180" t="s">
        <v>220</v>
      </c>
      <c r="B31" s="177"/>
      <c r="C31" s="178"/>
      <c r="D31" s="209"/>
      <c r="E31" s="212"/>
      <c r="F31" s="258"/>
      <c r="G31" s="192"/>
      <c r="H31" s="192"/>
    </row>
    <row r="32" spans="1:8" x14ac:dyDescent="0.35">
      <c r="A32" s="177"/>
      <c r="B32" s="182" t="s">
        <v>234</v>
      </c>
      <c r="C32" s="182" t="s">
        <v>235</v>
      </c>
      <c r="D32" s="209">
        <f>'12ME Dec18 Data'!$N$27</f>
        <v>15978.11692331859</v>
      </c>
      <c r="E32" s="194">
        <v>8.3300000000000125</v>
      </c>
      <c r="F32" s="259">
        <v>0</v>
      </c>
      <c r="G32" s="192">
        <f t="shared" si="0"/>
        <v>133097.71</v>
      </c>
      <c r="H32" s="192">
        <f t="shared" si="1"/>
        <v>-133097.71397124405</v>
      </c>
    </row>
    <row r="33" spans="1:8" x14ac:dyDescent="0.35">
      <c r="A33" s="177"/>
      <c r="B33" s="181" t="s">
        <v>239</v>
      </c>
      <c r="C33" s="182" t="s">
        <v>235</v>
      </c>
      <c r="D33" s="209">
        <f>'12ME Dec18 Data'!$N$27</f>
        <v>15978.11692331859</v>
      </c>
      <c r="E33" s="194">
        <v>9.0799999999999983</v>
      </c>
      <c r="F33" s="259">
        <v>0</v>
      </c>
      <c r="G33" s="192">
        <f t="shared" si="0"/>
        <v>145081.29999999999</v>
      </c>
      <c r="H33" s="192">
        <f t="shared" si="1"/>
        <v>-145081.30166373277</v>
      </c>
    </row>
    <row r="34" spans="1:8" x14ac:dyDescent="0.35">
      <c r="A34" s="177"/>
      <c r="B34" s="181" t="s">
        <v>78</v>
      </c>
      <c r="C34" s="179" t="s">
        <v>204</v>
      </c>
      <c r="D34" s="209">
        <f>'12ME Dec18 Data'!N9</f>
        <v>4466417.6739999996</v>
      </c>
      <c r="E34" s="194">
        <v>0.10000000000000009</v>
      </c>
      <c r="F34" s="259">
        <v>0</v>
      </c>
      <c r="G34" s="192">
        <f t="shared" si="0"/>
        <v>446641.77</v>
      </c>
      <c r="H34" s="192">
        <f t="shared" si="1"/>
        <v>-446641.76740000036</v>
      </c>
    </row>
    <row r="35" spans="1:8" x14ac:dyDescent="0.35">
      <c r="A35" s="177"/>
      <c r="B35" s="181"/>
      <c r="C35" s="179"/>
      <c r="D35" s="209"/>
      <c r="E35" s="212"/>
      <c r="F35" s="258"/>
      <c r="G35" s="192"/>
      <c r="H35" s="192"/>
    </row>
    <row r="36" spans="1:8" x14ac:dyDescent="0.35">
      <c r="A36" s="177"/>
      <c r="B36" s="181" t="s">
        <v>79</v>
      </c>
      <c r="C36" s="179"/>
      <c r="D36" s="209"/>
      <c r="E36" s="212"/>
      <c r="F36" s="258"/>
      <c r="G36" s="192"/>
      <c r="H36" s="192"/>
    </row>
    <row r="37" spans="1:8" x14ac:dyDescent="0.35">
      <c r="A37" s="177"/>
      <c r="B37" s="181" t="s">
        <v>164</v>
      </c>
      <c r="C37" s="179" t="s">
        <v>237</v>
      </c>
      <c r="D37" s="209">
        <f>'Normalized Therms'!$P$13*'12ME Dec18 Bill Freq'!N6</f>
        <v>13387853.839</v>
      </c>
      <c r="E37" s="135">
        <v>1.0089999999999988E-2</v>
      </c>
      <c r="F37" s="258">
        <v>0</v>
      </c>
      <c r="G37" s="192" t="s">
        <v>276</v>
      </c>
      <c r="H37" s="192" t="s">
        <v>276</v>
      </c>
    </row>
    <row r="38" spans="1:8" x14ac:dyDescent="0.35">
      <c r="A38" s="177"/>
      <c r="B38" s="181" t="s">
        <v>165</v>
      </c>
      <c r="C38" s="179" t="s">
        <v>237</v>
      </c>
      <c r="D38" s="209">
        <f>'Normalized Therms'!$P$13*'12ME Dec18 Bill Freq'!N7</f>
        <v>29572063.336999994</v>
      </c>
      <c r="E38" s="135">
        <v>1.0089999999999988E-2</v>
      </c>
      <c r="F38" s="258">
        <v>0</v>
      </c>
      <c r="G38" s="192">
        <f t="shared" si="0"/>
        <v>298382.12</v>
      </c>
      <c r="H38" s="192">
        <f t="shared" si="1"/>
        <v>-298382.11907032959</v>
      </c>
    </row>
    <row r="39" spans="1:8" x14ac:dyDescent="0.35">
      <c r="A39" s="177"/>
      <c r="B39" s="181" t="s">
        <v>166</v>
      </c>
      <c r="C39" s="179" t="s">
        <v>237</v>
      </c>
      <c r="D39" s="209">
        <f>'Normalized Therms'!$P$13*'12ME Dec18 Bill Freq'!N8</f>
        <v>22876740.287465494</v>
      </c>
      <c r="E39" s="135">
        <v>7.8499999999999959E-3</v>
      </c>
      <c r="F39" s="258">
        <v>0</v>
      </c>
      <c r="G39" s="192">
        <f t="shared" si="0"/>
        <v>179582.41</v>
      </c>
      <c r="H39" s="192">
        <f t="shared" si="1"/>
        <v>-179582.41125660404</v>
      </c>
    </row>
    <row r="40" spans="1:8" s="190" customFormat="1" x14ac:dyDescent="0.35">
      <c r="B40" s="181"/>
      <c r="C40" s="191"/>
      <c r="D40" s="209"/>
      <c r="E40" s="135"/>
      <c r="F40" s="258"/>
      <c r="G40" s="192"/>
      <c r="H40" s="192"/>
    </row>
    <row r="41" spans="1:8" s="190" customFormat="1" x14ac:dyDescent="0.35">
      <c r="B41" s="181" t="s">
        <v>87</v>
      </c>
      <c r="C41" s="191" t="s">
        <v>237</v>
      </c>
      <c r="D41" s="209">
        <f>'Normalized Therms'!$P$13</f>
        <v>65836657.463465482</v>
      </c>
      <c r="E41" s="135">
        <v>4.8000000000000039E-4</v>
      </c>
      <c r="F41" s="258">
        <v>0</v>
      </c>
      <c r="G41" s="192">
        <f t="shared" ref="G41" si="3">ROUND(E41*D41,2)</f>
        <v>31601.599999999999</v>
      </c>
      <c r="H41" s="192">
        <f t="shared" ref="H41" si="4">(F41-E41)*D41</f>
        <v>-31601.595582463458</v>
      </c>
    </row>
    <row r="42" spans="1:8" x14ac:dyDescent="0.35">
      <c r="A42" s="177"/>
      <c r="B42" s="182"/>
      <c r="C42" s="178"/>
      <c r="D42" s="209"/>
      <c r="E42" s="212"/>
      <c r="F42" s="258"/>
      <c r="G42" s="192"/>
      <c r="H42" s="192"/>
    </row>
    <row r="43" spans="1:8" x14ac:dyDescent="0.35">
      <c r="A43" s="180" t="s">
        <v>221</v>
      </c>
      <c r="B43" s="149"/>
      <c r="C43" s="178"/>
      <c r="D43" s="209"/>
      <c r="E43" s="212"/>
      <c r="F43" s="258"/>
      <c r="G43" s="192"/>
      <c r="H43" s="192"/>
    </row>
    <row r="44" spans="1:8" x14ac:dyDescent="0.35">
      <c r="A44" s="181"/>
      <c r="B44" s="182" t="s">
        <v>234</v>
      </c>
      <c r="C44" s="182" t="s">
        <v>235</v>
      </c>
      <c r="D44" s="209">
        <f>'12ME Dec18 Data'!$N$28</f>
        <v>1233.3356387208999</v>
      </c>
      <c r="E44" s="194">
        <v>17.54000000000002</v>
      </c>
      <c r="F44" s="259">
        <v>0</v>
      </c>
      <c r="G44" s="192">
        <f t="shared" si="0"/>
        <v>21632.71</v>
      </c>
      <c r="H44" s="192">
        <f t="shared" si="1"/>
        <v>-21632.707103164608</v>
      </c>
    </row>
    <row r="45" spans="1:8" x14ac:dyDescent="0.35">
      <c r="A45" s="181"/>
      <c r="B45" s="181" t="s">
        <v>239</v>
      </c>
      <c r="C45" s="182" t="s">
        <v>235</v>
      </c>
      <c r="D45" s="209">
        <f>'12ME Dec18 Data'!$N$28</f>
        <v>1233.3356387208999</v>
      </c>
      <c r="E45" s="194">
        <v>4.9499999999999886</v>
      </c>
      <c r="F45" s="259">
        <v>0</v>
      </c>
      <c r="G45" s="192">
        <f t="shared" si="0"/>
        <v>6105.01</v>
      </c>
      <c r="H45" s="192">
        <f t="shared" si="1"/>
        <v>-6105.0114116684399</v>
      </c>
    </row>
    <row r="46" spans="1:8" x14ac:dyDescent="0.35">
      <c r="A46" s="181"/>
      <c r="B46" s="181" t="s">
        <v>78</v>
      </c>
      <c r="C46" s="179" t="s">
        <v>204</v>
      </c>
      <c r="D46" s="209">
        <f>'12ME Dec18 Data'!N10</f>
        <v>1160980.7009999999</v>
      </c>
      <c r="E46" s="194">
        <v>6.0000000000000053E-2</v>
      </c>
      <c r="F46" s="259">
        <v>0</v>
      </c>
      <c r="G46" s="192">
        <f t="shared" si="0"/>
        <v>69658.84</v>
      </c>
      <c r="H46" s="192">
        <f t="shared" si="1"/>
        <v>-69658.842060000054</v>
      </c>
    </row>
    <row r="47" spans="1:8" x14ac:dyDescent="0.35">
      <c r="A47" s="181"/>
      <c r="B47" s="181"/>
      <c r="C47" s="179"/>
      <c r="D47" s="209"/>
      <c r="E47" s="212"/>
      <c r="F47" s="258"/>
      <c r="G47" s="192"/>
      <c r="H47" s="192"/>
    </row>
    <row r="48" spans="1:8" x14ac:dyDescent="0.35">
      <c r="A48" s="181"/>
      <c r="B48" s="181" t="s">
        <v>79</v>
      </c>
      <c r="C48" s="179"/>
      <c r="D48" s="209"/>
      <c r="E48" s="212"/>
      <c r="F48" s="258"/>
      <c r="G48" s="192"/>
      <c r="H48" s="192"/>
    </row>
    <row r="49" spans="1:8" x14ac:dyDescent="0.35">
      <c r="A49" s="181"/>
      <c r="B49" s="181" t="s">
        <v>164</v>
      </c>
      <c r="C49" s="179" t="s">
        <v>237</v>
      </c>
      <c r="D49" s="209">
        <f>'Normalized Therms'!$P$18*'12ME Dec18 Bill Freq'!N36</f>
        <v>1129776.96</v>
      </c>
      <c r="E49" s="135">
        <v>5.5000000000000049E-3</v>
      </c>
      <c r="F49" s="258">
        <v>0</v>
      </c>
      <c r="G49" s="192" t="s">
        <v>276</v>
      </c>
      <c r="H49" s="192" t="s">
        <v>276</v>
      </c>
    </row>
    <row r="50" spans="1:8" x14ac:dyDescent="0.35">
      <c r="A50" s="181"/>
      <c r="B50" s="181" t="s">
        <v>165</v>
      </c>
      <c r="C50" s="179" t="s">
        <v>237</v>
      </c>
      <c r="D50" s="209">
        <f>'Normalized Therms'!$P$18*'12ME Dec18 Bill Freq'!N37</f>
        <v>4274079.34</v>
      </c>
      <c r="E50" s="135">
        <v>5.5000000000000049E-3</v>
      </c>
      <c r="F50" s="258">
        <v>0</v>
      </c>
      <c r="G50" s="192">
        <f t="shared" si="0"/>
        <v>23507.439999999999</v>
      </c>
      <c r="H50" s="192">
        <f t="shared" si="1"/>
        <v>-23507.436370000021</v>
      </c>
    </row>
    <row r="51" spans="1:8" x14ac:dyDescent="0.35">
      <c r="A51" s="181"/>
      <c r="B51" s="181" t="s">
        <v>166</v>
      </c>
      <c r="C51" s="179" t="s">
        <v>237</v>
      </c>
      <c r="D51" s="209">
        <f>'Normalized Therms'!$P$18*'12ME Dec18 Bill Freq'!N38</f>
        <v>15088478.149073856</v>
      </c>
      <c r="E51" s="135">
        <v>3.6300000000000082E-3</v>
      </c>
      <c r="F51" s="258">
        <v>0</v>
      </c>
      <c r="G51" s="192">
        <f t="shared" si="0"/>
        <v>54771.18</v>
      </c>
      <c r="H51" s="192">
        <f t="shared" si="1"/>
        <v>-54771.175681138222</v>
      </c>
    </row>
    <row r="52" spans="1:8" x14ac:dyDescent="0.35">
      <c r="A52" s="181"/>
      <c r="B52" s="182"/>
      <c r="C52" s="178"/>
      <c r="D52" s="209"/>
      <c r="E52" s="212"/>
      <c r="F52" s="258"/>
      <c r="G52" s="192"/>
      <c r="H52" s="192"/>
    </row>
    <row r="53" spans="1:8" x14ac:dyDescent="0.35">
      <c r="A53" s="147" t="s">
        <v>222</v>
      </c>
      <c r="B53" s="177"/>
      <c r="C53" s="178"/>
      <c r="D53" s="209"/>
      <c r="E53" s="212"/>
      <c r="F53" s="258"/>
      <c r="G53" s="192"/>
      <c r="H53" s="192"/>
    </row>
    <row r="54" spans="1:8" x14ac:dyDescent="0.35">
      <c r="A54" s="177"/>
      <c r="B54" s="178" t="s">
        <v>234</v>
      </c>
      <c r="C54" s="178" t="s">
        <v>235</v>
      </c>
      <c r="D54" s="209">
        <f>'12ME Dec18 Data'!N29</f>
        <v>329.5178182456545</v>
      </c>
      <c r="E54" s="194">
        <v>53.950000000000045</v>
      </c>
      <c r="F54" s="259">
        <v>0</v>
      </c>
      <c r="G54" s="192">
        <f t="shared" si="0"/>
        <v>17777.490000000002</v>
      </c>
      <c r="H54" s="192">
        <f t="shared" si="1"/>
        <v>-17777.486294353075</v>
      </c>
    </row>
    <row r="55" spans="1:8" x14ac:dyDescent="0.35">
      <c r="A55" s="177"/>
      <c r="B55" s="179" t="s">
        <v>78</v>
      </c>
      <c r="C55" s="179" t="s">
        <v>204</v>
      </c>
      <c r="D55" s="209">
        <f>'12ME Dec18 Data'!N11</f>
        <v>86412.906999999992</v>
      </c>
      <c r="E55" s="194">
        <v>0.12000000000000011</v>
      </c>
      <c r="F55" s="259">
        <v>0</v>
      </c>
      <c r="G55" s="192">
        <f t="shared" si="0"/>
        <v>10369.549999999999</v>
      </c>
      <c r="H55" s="192">
        <f t="shared" si="1"/>
        <v>-10369.548840000009</v>
      </c>
    </row>
    <row r="56" spans="1:8" x14ac:dyDescent="0.35">
      <c r="A56" s="177"/>
      <c r="B56" s="179" t="s">
        <v>87</v>
      </c>
      <c r="C56" s="179" t="s">
        <v>237</v>
      </c>
      <c r="D56" s="209">
        <f>'Normalized Therms'!P14</f>
        <v>16184434.068649085</v>
      </c>
      <c r="E56" s="135">
        <v>7.2999999999999975E-4</v>
      </c>
      <c r="F56" s="258">
        <v>0</v>
      </c>
      <c r="G56" s="192">
        <f t="shared" si="0"/>
        <v>11814.64</v>
      </c>
      <c r="H56" s="192">
        <f t="shared" si="1"/>
        <v>-11814.636870113829</v>
      </c>
    </row>
    <row r="57" spans="1:8" x14ac:dyDescent="0.35">
      <c r="A57" s="177"/>
      <c r="B57" s="179"/>
      <c r="C57" s="179"/>
      <c r="D57" s="209"/>
      <c r="E57" s="212"/>
      <c r="F57" s="258"/>
      <c r="G57" s="192"/>
      <c r="H57" s="192"/>
    </row>
    <row r="58" spans="1:8" x14ac:dyDescent="0.35">
      <c r="A58" s="177"/>
      <c r="B58" s="179" t="s">
        <v>79</v>
      </c>
      <c r="C58" s="179"/>
      <c r="D58" s="209"/>
      <c r="E58" s="212"/>
      <c r="F58" s="258"/>
      <c r="G58" s="192"/>
      <c r="H58" s="192"/>
    </row>
    <row r="59" spans="1:8" x14ac:dyDescent="0.35">
      <c r="A59" s="177"/>
      <c r="B59" s="179" t="s">
        <v>223</v>
      </c>
      <c r="C59" s="179" t="s">
        <v>237</v>
      </c>
      <c r="D59" s="209">
        <f>'Normalized Therms'!$P$14*'12ME Dec18 Bill Freq'!N13</f>
        <v>7617621.6730000013</v>
      </c>
      <c r="E59" s="135">
        <v>9.779999999999997E-3</v>
      </c>
      <c r="F59" s="258">
        <v>0</v>
      </c>
      <c r="G59" s="192">
        <f t="shared" si="0"/>
        <v>74500.34</v>
      </c>
      <c r="H59" s="192">
        <f t="shared" si="1"/>
        <v>-74500.339961939986</v>
      </c>
    </row>
    <row r="60" spans="1:8" x14ac:dyDescent="0.35">
      <c r="A60" s="177"/>
      <c r="B60" s="179" t="s">
        <v>224</v>
      </c>
      <c r="C60" s="179" t="s">
        <v>237</v>
      </c>
      <c r="D60" s="209">
        <f>'Normalized Therms'!$P$14*'12ME Dec18 Bill Freq'!N14</f>
        <v>4021281.8229999999</v>
      </c>
      <c r="E60" s="135">
        <v>4.8399999999999971E-3</v>
      </c>
      <c r="F60" s="258">
        <v>0</v>
      </c>
      <c r="G60" s="192">
        <f t="shared" si="0"/>
        <v>19463</v>
      </c>
      <c r="H60" s="192">
        <f t="shared" si="1"/>
        <v>-19463.004023319987</v>
      </c>
    </row>
    <row r="61" spans="1:8" x14ac:dyDescent="0.35">
      <c r="A61" s="177"/>
      <c r="B61" s="179" t="s">
        <v>225</v>
      </c>
      <c r="C61" s="179" t="s">
        <v>237</v>
      </c>
      <c r="D61" s="209">
        <f>'Normalized Therms'!$P$14*'12ME Dec18 Bill Freq'!N15</f>
        <v>4545530.572649084</v>
      </c>
      <c r="E61" s="135">
        <v>4.6300000000000022E-3</v>
      </c>
      <c r="F61" s="258">
        <v>0</v>
      </c>
      <c r="G61" s="192">
        <f t="shared" si="0"/>
        <v>21045.81</v>
      </c>
      <c r="H61" s="192">
        <f t="shared" si="1"/>
        <v>-21045.806551365269</v>
      </c>
    </row>
    <row r="62" spans="1:8" x14ac:dyDescent="0.35">
      <c r="A62" s="177"/>
      <c r="B62" s="178"/>
      <c r="C62" s="178"/>
      <c r="D62" s="209"/>
      <c r="E62" s="212"/>
      <c r="F62" s="258"/>
      <c r="G62" s="192"/>
      <c r="H62" s="192"/>
    </row>
    <row r="63" spans="1:8" x14ac:dyDescent="0.35">
      <c r="A63" s="147" t="s">
        <v>226</v>
      </c>
      <c r="B63" s="177"/>
      <c r="C63" s="178"/>
      <c r="D63" s="209"/>
      <c r="E63" s="212"/>
      <c r="F63" s="258"/>
      <c r="G63" s="192"/>
      <c r="H63" s="192"/>
    </row>
    <row r="64" spans="1:8" x14ac:dyDescent="0.35">
      <c r="A64" s="177"/>
      <c r="B64" s="178" t="s">
        <v>234</v>
      </c>
      <c r="C64" s="178" t="s">
        <v>235</v>
      </c>
      <c r="D64" s="209">
        <f>'12ME Dec18 Data'!N30</f>
        <v>1199.4001036779719</v>
      </c>
      <c r="E64" s="194">
        <v>37.190000000000055</v>
      </c>
      <c r="F64" s="259">
        <v>0</v>
      </c>
      <c r="G64" s="192">
        <f t="shared" si="0"/>
        <v>44605.69</v>
      </c>
      <c r="H64" s="192">
        <f t="shared" si="1"/>
        <v>-44605.689855783836</v>
      </c>
    </row>
    <row r="65" spans="1:8" x14ac:dyDescent="0.35">
      <c r="A65" s="177"/>
      <c r="B65" s="179" t="s">
        <v>78</v>
      </c>
      <c r="C65" s="179" t="s">
        <v>204</v>
      </c>
      <c r="D65" s="209">
        <f>'12ME Dec18 Data'!N12</f>
        <v>697056</v>
      </c>
      <c r="E65" s="194">
        <v>6.0000000000000053E-2</v>
      </c>
      <c r="F65" s="259">
        <v>0</v>
      </c>
      <c r="G65" s="192">
        <f t="shared" si="0"/>
        <v>41823.360000000001</v>
      </c>
      <c r="H65" s="192">
        <f t="shared" si="1"/>
        <v>-41823.360000000037</v>
      </c>
    </row>
    <row r="66" spans="1:8" x14ac:dyDescent="0.35">
      <c r="A66" s="177"/>
      <c r="B66" s="179"/>
      <c r="C66" s="179"/>
      <c r="D66" s="209"/>
      <c r="E66" s="212"/>
      <c r="F66" s="258"/>
      <c r="G66" s="192"/>
      <c r="H66" s="192"/>
    </row>
    <row r="67" spans="1:8" x14ac:dyDescent="0.35">
      <c r="A67" s="177"/>
      <c r="B67" s="179" t="s">
        <v>79</v>
      </c>
      <c r="C67" s="179"/>
      <c r="D67" s="209"/>
      <c r="E67" s="212"/>
      <c r="F67" s="258"/>
      <c r="G67" s="192"/>
      <c r="H67" s="192"/>
    </row>
    <row r="68" spans="1:8" x14ac:dyDescent="0.35">
      <c r="A68" s="177"/>
      <c r="B68" s="179" t="s">
        <v>223</v>
      </c>
      <c r="C68" s="179" t="s">
        <v>237</v>
      </c>
      <c r="D68" s="209">
        <f>'Normalized Therms'!$P$19*'12ME Dec18 Bill Freq'!N43</f>
        <v>28123063.68</v>
      </c>
      <c r="E68" s="135">
        <v>4.2099999999999915E-3</v>
      </c>
      <c r="F68" s="258">
        <v>0</v>
      </c>
      <c r="G68" s="192">
        <f t="shared" si="0"/>
        <v>118398.1</v>
      </c>
      <c r="H68" s="192">
        <f t="shared" si="1"/>
        <v>-118398.09809279976</v>
      </c>
    </row>
    <row r="69" spans="1:8" x14ac:dyDescent="0.35">
      <c r="A69" s="177"/>
      <c r="B69" s="179" t="s">
        <v>224</v>
      </c>
      <c r="C69" s="179" t="s">
        <v>237</v>
      </c>
      <c r="D69" s="209">
        <f>'Normalized Therms'!$P$19*'12ME Dec18 Bill Freq'!N44</f>
        <v>18732272.720000003</v>
      </c>
      <c r="E69" s="135">
        <v>2.0800000000000055E-3</v>
      </c>
      <c r="F69" s="258">
        <v>0</v>
      </c>
      <c r="G69" s="192">
        <f t="shared" si="0"/>
        <v>38963.129999999997</v>
      </c>
      <c r="H69" s="192">
        <f t="shared" si="1"/>
        <v>-38963.127257600107</v>
      </c>
    </row>
    <row r="70" spans="1:8" x14ac:dyDescent="0.35">
      <c r="A70" s="177"/>
      <c r="B70" s="179" t="s">
        <v>227</v>
      </c>
      <c r="C70" s="179" t="s">
        <v>237</v>
      </c>
      <c r="D70" s="209">
        <f>'Normalized Therms'!$P$19*'12ME Dec18 Bill Freq'!N45</f>
        <v>27918200.734971087</v>
      </c>
      <c r="E70" s="135">
        <v>1.9599999999999965E-3</v>
      </c>
      <c r="F70" s="258">
        <v>0</v>
      </c>
      <c r="G70" s="192">
        <f t="shared" si="0"/>
        <v>54719.67</v>
      </c>
      <c r="H70" s="192">
        <f t="shared" si="1"/>
        <v>-54719.673440543236</v>
      </c>
    </row>
    <row r="71" spans="1:8" x14ac:dyDescent="0.35">
      <c r="A71" s="177"/>
      <c r="B71" s="178"/>
      <c r="C71" s="178"/>
      <c r="D71" s="209"/>
      <c r="E71" s="212"/>
      <c r="F71" s="258"/>
      <c r="G71" s="192"/>
      <c r="H71" s="192"/>
    </row>
    <row r="72" spans="1:8" x14ac:dyDescent="0.35">
      <c r="A72" s="147" t="s">
        <v>228</v>
      </c>
      <c r="B72" s="177"/>
      <c r="C72" s="178"/>
      <c r="D72" s="209"/>
      <c r="E72" s="212"/>
      <c r="F72" s="258"/>
      <c r="G72" s="192"/>
      <c r="H72" s="192"/>
    </row>
    <row r="73" spans="1:8" x14ac:dyDescent="0.35">
      <c r="A73" s="177"/>
      <c r="B73" s="178" t="s">
        <v>234</v>
      </c>
      <c r="C73" s="178" t="s">
        <v>235</v>
      </c>
      <c r="D73" s="209">
        <f>'12ME Dec18 Data'!N31</f>
        <v>2661.5565121011946</v>
      </c>
      <c r="E73" s="194">
        <v>11.379999999999995</v>
      </c>
      <c r="F73" s="259">
        <v>0</v>
      </c>
      <c r="G73" s="192">
        <f t="shared" si="0"/>
        <v>30288.51</v>
      </c>
      <c r="H73" s="192">
        <f t="shared" si="1"/>
        <v>-30288.513107711584</v>
      </c>
    </row>
    <row r="74" spans="1:8" x14ac:dyDescent="0.35">
      <c r="A74" s="177"/>
      <c r="B74" s="179" t="s">
        <v>78</v>
      </c>
      <c r="C74" s="179" t="s">
        <v>204</v>
      </c>
      <c r="D74" s="209">
        <f>'12ME Dec18 Data'!N13</f>
        <v>82401.308999999994</v>
      </c>
      <c r="E74" s="194">
        <v>0.10000000000000009</v>
      </c>
      <c r="F74" s="259">
        <v>0</v>
      </c>
      <c r="G74" s="192">
        <f t="shared" ref="G74:G137" si="5">ROUND(E74*D74,2)</f>
        <v>8240.1299999999992</v>
      </c>
      <c r="H74" s="192">
        <f t="shared" ref="H74:H137" si="6">(F74-E74)*D74</f>
        <v>-8240.1309000000074</v>
      </c>
    </row>
    <row r="75" spans="1:8" x14ac:dyDescent="0.35">
      <c r="A75" s="177"/>
      <c r="B75" s="179" t="s">
        <v>87</v>
      </c>
      <c r="C75" s="179" t="s">
        <v>237</v>
      </c>
      <c r="D75" s="209">
        <f>'Normalized Therms'!P15</f>
        <v>9397200.2729263529</v>
      </c>
      <c r="E75" s="135">
        <v>7.5000000000000067E-4</v>
      </c>
      <c r="F75" s="258">
        <v>0</v>
      </c>
      <c r="G75" s="192">
        <f t="shared" si="5"/>
        <v>7047.9</v>
      </c>
      <c r="H75" s="192">
        <f t="shared" si="6"/>
        <v>-7047.9002046947708</v>
      </c>
    </row>
    <row r="76" spans="1:8" x14ac:dyDescent="0.35">
      <c r="A76" s="177"/>
      <c r="B76" s="179"/>
      <c r="C76" s="179"/>
      <c r="D76" s="209"/>
      <c r="E76" s="212"/>
      <c r="F76" s="258"/>
      <c r="G76" s="192"/>
      <c r="H76" s="192"/>
    </row>
    <row r="77" spans="1:8" x14ac:dyDescent="0.35">
      <c r="A77" s="177"/>
      <c r="B77" s="179" t="s">
        <v>79</v>
      </c>
      <c r="C77" s="179"/>
      <c r="D77" s="209"/>
      <c r="E77" s="212"/>
      <c r="F77" s="258"/>
      <c r="G77" s="192"/>
      <c r="H77" s="192"/>
    </row>
    <row r="78" spans="1:8" x14ac:dyDescent="0.35">
      <c r="A78" s="177"/>
      <c r="B78" s="181" t="s">
        <v>94</v>
      </c>
      <c r="C78" s="181" t="s">
        <v>237</v>
      </c>
      <c r="D78" s="209">
        <f>'Normalized Therms'!$P$15*'12ME Dec18 Bill Freq'!N20</f>
        <v>2054251.267</v>
      </c>
      <c r="E78" s="135">
        <v>1.5740000000000004E-2</v>
      </c>
      <c r="F78" s="258">
        <v>0</v>
      </c>
      <c r="G78" s="192">
        <f t="shared" si="5"/>
        <v>32333.91</v>
      </c>
      <c r="H78" s="192">
        <f t="shared" si="6"/>
        <v>-32333.91494258001</v>
      </c>
    </row>
    <row r="79" spans="1:8" x14ac:dyDescent="0.35">
      <c r="A79" s="177"/>
      <c r="B79" s="181" t="s">
        <v>172</v>
      </c>
      <c r="C79" s="181" t="s">
        <v>237</v>
      </c>
      <c r="D79" s="209">
        <f>'Normalized Therms'!$P$15*'12ME Dec18 Bill Freq'!N21</f>
        <v>7342949.005926352</v>
      </c>
      <c r="E79" s="135">
        <v>1.1160000000000003E-2</v>
      </c>
      <c r="F79" s="258">
        <v>0</v>
      </c>
      <c r="G79" s="192">
        <f t="shared" si="5"/>
        <v>81947.31</v>
      </c>
      <c r="H79" s="192">
        <f t="shared" si="6"/>
        <v>-81947.310906138111</v>
      </c>
    </row>
    <row r="80" spans="1:8" x14ac:dyDescent="0.35">
      <c r="A80" s="177"/>
      <c r="B80" s="178"/>
      <c r="C80" s="178"/>
      <c r="D80" s="209"/>
      <c r="E80" s="212"/>
      <c r="F80" s="258"/>
      <c r="G80" s="192"/>
      <c r="H80" s="192"/>
    </row>
    <row r="81" spans="1:8" x14ac:dyDescent="0.35">
      <c r="A81" s="147" t="s">
        <v>229</v>
      </c>
      <c r="B81" s="177"/>
      <c r="C81" s="178"/>
      <c r="D81" s="209"/>
      <c r="E81" s="212"/>
      <c r="F81" s="258"/>
      <c r="G81" s="192"/>
      <c r="H81" s="192"/>
    </row>
    <row r="82" spans="1:8" x14ac:dyDescent="0.35">
      <c r="A82" s="179"/>
      <c r="B82" s="178" t="s">
        <v>234</v>
      </c>
      <c r="C82" s="178" t="s">
        <v>235</v>
      </c>
      <c r="D82" s="209">
        <f>'12ME Dec18 Data'!N32</f>
        <v>22.033330326537975</v>
      </c>
      <c r="E82" s="194">
        <v>21.019999999999982</v>
      </c>
      <c r="F82" s="259">
        <v>0</v>
      </c>
      <c r="G82" s="192">
        <f t="shared" si="5"/>
        <v>463.14</v>
      </c>
      <c r="H82" s="192">
        <f t="shared" si="6"/>
        <v>-463.1406034638278</v>
      </c>
    </row>
    <row r="83" spans="1:8" x14ac:dyDescent="0.35">
      <c r="A83" s="179"/>
      <c r="B83" s="179" t="s">
        <v>78</v>
      </c>
      <c r="C83" s="179" t="s">
        <v>204</v>
      </c>
      <c r="D83" s="209">
        <f>'12ME Dec18 Data'!N14</f>
        <v>9750</v>
      </c>
      <c r="E83" s="194">
        <v>6.0000000000000053E-2</v>
      </c>
      <c r="F83" s="259">
        <v>0</v>
      </c>
      <c r="G83" s="192">
        <f t="shared" si="5"/>
        <v>585</v>
      </c>
      <c r="H83" s="192">
        <f t="shared" si="6"/>
        <v>-585.00000000000057</v>
      </c>
    </row>
    <row r="84" spans="1:8" x14ac:dyDescent="0.35">
      <c r="A84" s="179"/>
      <c r="B84" s="179" t="s">
        <v>240</v>
      </c>
      <c r="C84" s="179"/>
      <c r="D84" s="209"/>
      <c r="E84" s="212"/>
      <c r="F84" s="258"/>
      <c r="G84" s="192"/>
      <c r="H84" s="192"/>
    </row>
    <row r="85" spans="1:8" x14ac:dyDescent="0.35">
      <c r="A85" s="179"/>
      <c r="B85" s="179"/>
      <c r="C85" s="179"/>
      <c r="D85" s="209"/>
      <c r="E85" s="212"/>
      <c r="F85" s="258"/>
      <c r="G85" s="192"/>
      <c r="H85" s="192"/>
    </row>
    <row r="86" spans="1:8" x14ac:dyDescent="0.35">
      <c r="A86" s="179"/>
      <c r="B86" s="179" t="s">
        <v>79</v>
      </c>
      <c r="C86" s="179"/>
      <c r="D86" s="209"/>
      <c r="E86" s="212"/>
      <c r="F86" s="258"/>
      <c r="G86" s="192"/>
      <c r="H86" s="192"/>
    </row>
    <row r="87" spans="1:8" x14ac:dyDescent="0.35">
      <c r="A87" s="179"/>
      <c r="B87" s="181" t="s">
        <v>94</v>
      </c>
      <c r="C87" s="181" t="s">
        <v>237</v>
      </c>
      <c r="D87" s="209">
        <f>'Normalized Therms'!$P$20*'12ME Dec18 Bill Freq'!N50</f>
        <v>23011.74</v>
      </c>
      <c r="E87" s="135">
        <v>9.1400000000000092E-3</v>
      </c>
      <c r="F87" s="258">
        <v>0</v>
      </c>
      <c r="G87" s="192">
        <f t="shared" si="5"/>
        <v>210.33</v>
      </c>
      <c r="H87" s="192">
        <f t="shared" si="6"/>
        <v>-210.32730360000022</v>
      </c>
    </row>
    <row r="88" spans="1:8" x14ac:dyDescent="0.35">
      <c r="A88" s="179"/>
      <c r="B88" s="181" t="s">
        <v>172</v>
      </c>
      <c r="C88" s="181" t="s">
        <v>237</v>
      </c>
      <c r="D88" s="209">
        <f>'Normalized Therms'!$P$20*'12ME Dec18 Bill Freq'!N51</f>
        <v>328276.40999999997</v>
      </c>
      <c r="E88" s="135">
        <v>6.4700000000000035E-3</v>
      </c>
      <c r="F88" s="258">
        <v>0</v>
      </c>
      <c r="G88" s="192">
        <f t="shared" si="5"/>
        <v>2123.9499999999998</v>
      </c>
      <c r="H88" s="192">
        <f t="shared" si="6"/>
        <v>-2123.9483727000011</v>
      </c>
    </row>
    <row r="89" spans="1:8" x14ac:dyDescent="0.35">
      <c r="A89" s="179"/>
      <c r="B89" s="178"/>
      <c r="C89" s="178"/>
      <c r="D89" s="209"/>
      <c r="E89" s="212"/>
      <c r="F89" s="258"/>
      <c r="G89" s="192"/>
      <c r="H89" s="192"/>
    </row>
    <row r="90" spans="1:8" x14ac:dyDescent="0.35">
      <c r="A90" s="147" t="s">
        <v>230</v>
      </c>
      <c r="B90" s="177"/>
      <c r="C90" s="178"/>
      <c r="D90" s="209"/>
      <c r="E90" s="212"/>
      <c r="F90" s="258"/>
      <c r="G90" s="192"/>
      <c r="H90" s="192"/>
    </row>
    <row r="91" spans="1:8" x14ac:dyDescent="0.35">
      <c r="A91" s="177"/>
      <c r="B91" s="178" t="s">
        <v>234</v>
      </c>
      <c r="C91" s="178" t="s">
        <v>235</v>
      </c>
      <c r="D91" s="209">
        <f>'12ME Dec18 Data'!N33</f>
        <v>60.025001175986063</v>
      </c>
      <c r="E91" s="194">
        <v>57.090000000000032</v>
      </c>
      <c r="F91" s="259">
        <v>0</v>
      </c>
      <c r="G91" s="192">
        <f t="shared" si="5"/>
        <v>3426.83</v>
      </c>
      <c r="H91" s="192">
        <f t="shared" si="6"/>
        <v>-3426.8273171370461</v>
      </c>
    </row>
    <row r="92" spans="1:8" x14ac:dyDescent="0.35">
      <c r="A92" s="177"/>
      <c r="B92" s="179" t="s">
        <v>78</v>
      </c>
      <c r="C92" s="179" t="s">
        <v>204</v>
      </c>
      <c r="D92" s="209">
        <f>'12ME Dec18 Data'!N15</f>
        <v>0</v>
      </c>
      <c r="E92" s="194">
        <v>0.1399999999999999</v>
      </c>
      <c r="F92" s="259">
        <v>0</v>
      </c>
      <c r="G92" s="192">
        <f t="shared" si="5"/>
        <v>0</v>
      </c>
      <c r="H92" s="192">
        <f t="shared" si="6"/>
        <v>0</v>
      </c>
    </row>
    <row r="93" spans="1:8" x14ac:dyDescent="0.35">
      <c r="A93" s="177"/>
      <c r="B93" s="179" t="s">
        <v>87</v>
      </c>
      <c r="C93" s="179"/>
      <c r="D93" s="209">
        <f>'Normalized Therms'!P16</f>
        <v>23337042.118500698</v>
      </c>
      <c r="E93" s="135">
        <v>6.0999999999999943E-4</v>
      </c>
      <c r="F93" s="258">
        <v>0</v>
      </c>
      <c r="G93" s="192">
        <f t="shared" si="5"/>
        <v>14235.6</v>
      </c>
      <c r="H93" s="192">
        <f t="shared" si="6"/>
        <v>-14235.595692285413</v>
      </c>
    </row>
    <row r="94" spans="1:8" x14ac:dyDescent="0.35">
      <c r="A94" s="177"/>
      <c r="B94" s="179"/>
      <c r="C94" s="179"/>
      <c r="D94" s="209"/>
      <c r="E94" s="212"/>
      <c r="F94" s="258"/>
      <c r="G94" s="192"/>
      <c r="H94" s="192"/>
    </row>
    <row r="95" spans="1:8" x14ac:dyDescent="0.35">
      <c r="A95" s="177"/>
      <c r="B95" s="179" t="s">
        <v>79</v>
      </c>
      <c r="C95" s="179"/>
      <c r="D95" s="209"/>
      <c r="E95" s="212"/>
      <c r="F95" s="258"/>
      <c r="G95" s="192"/>
      <c r="H95" s="192"/>
    </row>
    <row r="96" spans="1:8" x14ac:dyDescent="0.35">
      <c r="A96" s="177"/>
      <c r="B96" s="179" t="s">
        <v>223</v>
      </c>
      <c r="C96" s="179" t="s">
        <v>237</v>
      </c>
      <c r="D96" s="209">
        <f>'Normalized Therms'!$P$16*'12ME Dec18 Bill Freq'!N26</f>
        <v>1500625.1840000001</v>
      </c>
      <c r="E96" s="135">
        <v>1.4240000000000003E-2</v>
      </c>
      <c r="F96" s="258">
        <v>0</v>
      </c>
      <c r="G96" s="192">
        <f t="shared" si="5"/>
        <v>21368.9</v>
      </c>
      <c r="H96" s="192">
        <f t="shared" si="6"/>
        <v>-21368.902620160006</v>
      </c>
    </row>
    <row r="97" spans="1:8" x14ac:dyDescent="0.35">
      <c r="A97" s="177"/>
      <c r="B97" s="179" t="s">
        <v>224</v>
      </c>
      <c r="C97" s="179" t="s">
        <v>237</v>
      </c>
      <c r="D97" s="209">
        <f>'Normalized Therms'!$P$16*'12ME Dec18 Bill Freq'!N27</f>
        <v>1470839.4030000002</v>
      </c>
      <c r="E97" s="135">
        <v>8.6099999999999927E-3</v>
      </c>
      <c r="F97" s="258">
        <v>0</v>
      </c>
      <c r="G97" s="192">
        <f t="shared" si="5"/>
        <v>12663.93</v>
      </c>
      <c r="H97" s="192">
        <f t="shared" si="6"/>
        <v>-12663.92725982999</v>
      </c>
    </row>
    <row r="98" spans="1:8" x14ac:dyDescent="0.35">
      <c r="A98" s="177"/>
      <c r="B98" s="179" t="s">
        <v>227</v>
      </c>
      <c r="C98" s="179" t="s">
        <v>237</v>
      </c>
      <c r="D98" s="209">
        <f>'Normalized Therms'!$P$16*'12ME Dec18 Bill Freq'!N28</f>
        <v>2603460.2510000006</v>
      </c>
      <c r="E98" s="135">
        <v>5.4799999999999988E-3</v>
      </c>
      <c r="F98" s="258">
        <v>0</v>
      </c>
      <c r="G98" s="192">
        <f t="shared" si="5"/>
        <v>14266.96</v>
      </c>
      <c r="H98" s="192">
        <f t="shared" si="6"/>
        <v>-14266.962175480001</v>
      </c>
    </row>
    <row r="99" spans="1:8" x14ac:dyDescent="0.35">
      <c r="A99" s="177"/>
      <c r="B99" s="179" t="s">
        <v>100</v>
      </c>
      <c r="C99" s="179" t="s">
        <v>237</v>
      </c>
      <c r="D99" s="209">
        <f>'Normalized Therms'!$P$16*'12ME Dec18 Bill Freq'!N29</f>
        <v>3197116.5290000001</v>
      </c>
      <c r="E99" s="135">
        <v>3.5099999999999992E-3</v>
      </c>
      <c r="F99" s="258">
        <v>0</v>
      </c>
      <c r="G99" s="192">
        <f t="shared" si="5"/>
        <v>11221.88</v>
      </c>
      <c r="H99" s="192">
        <f t="shared" si="6"/>
        <v>-11221.879016789999</v>
      </c>
    </row>
    <row r="100" spans="1:8" x14ac:dyDescent="0.35">
      <c r="A100" s="177"/>
      <c r="B100" s="179" t="s">
        <v>101</v>
      </c>
      <c r="C100" s="179" t="s">
        <v>237</v>
      </c>
      <c r="D100" s="209">
        <f>'Normalized Therms'!$P$16*'12ME Dec18 Bill Freq'!N30</f>
        <v>3739136.742000001</v>
      </c>
      <c r="E100" s="135">
        <v>2.5199999999999979E-3</v>
      </c>
      <c r="F100" s="258">
        <v>0</v>
      </c>
      <c r="G100" s="192">
        <f t="shared" si="5"/>
        <v>9422.6200000000008</v>
      </c>
      <c r="H100" s="192">
        <f t="shared" si="6"/>
        <v>-9422.6245898399957</v>
      </c>
    </row>
    <row r="101" spans="1:8" x14ac:dyDescent="0.35">
      <c r="A101" s="177"/>
      <c r="B101" s="179" t="s">
        <v>174</v>
      </c>
      <c r="C101" s="179" t="s">
        <v>237</v>
      </c>
      <c r="D101" s="209">
        <f>'Normalized Therms'!$P$16*'12ME Dec18 Bill Freq'!N31</f>
        <v>10825864.009500695</v>
      </c>
      <c r="E101" s="135">
        <v>1.9500000000000003E-3</v>
      </c>
      <c r="F101" s="258">
        <v>0</v>
      </c>
      <c r="G101" s="192">
        <f t="shared" si="5"/>
        <v>21110.43</v>
      </c>
      <c r="H101" s="192">
        <f t="shared" si="6"/>
        <v>-21110.434818526359</v>
      </c>
    </row>
    <row r="102" spans="1:8" x14ac:dyDescent="0.35">
      <c r="A102" s="177"/>
      <c r="B102" s="178"/>
      <c r="C102" s="178"/>
      <c r="D102" s="209"/>
      <c r="E102" s="212"/>
      <c r="F102" s="258"/>
      <c r="G102" s="192"/>
      <c r="H102" s="192"/>
    </row>
    <row r="103" spans="1:8" x14ac:dyDescent="0.35">
      <c r="A103" s="147" t="s">
        <v>231</v>
      </c>
      <c r="B103" s="177"/>
      <c r="C103" s="178"/>
      <c r="D103" s="209"/>
      <c r="E103" s="212"/>
      <c r="F103" s="258"/>
      <c r="G103" s="192"/>
      <c r="H103" s="192"/>
    </row>
    <row r="104" spans="1:8" x14ac:dyDescent="0.35">
      <c r="A104" s="179"/>
      <c r="B104" s="178" t="s">
        <v>234</v>
      </c>
      <c r="C104" s="178" t="s">
        <v>235</v>
      </c>
      <c r="D104" s="209">
        <f>'12ME Dec18 Data'!N34</f>
        <v>118.76667017913593</v>
      </c>
      <c r="E104" s="194">
        <v>38.629999999999995</v>
      </c>
      <c r="F104" s="259">
        <v>0</v>
      </c>
      <c r="G104" s="192">
        <f t="shared" si="5"/>
        <v>4587.96</v>
      </c>
      <c r="H104" s="192">
        <f t="shared" si="6"/>
        <v>-4587.9564690200204</v>
      </c>
    </row>
    <row r="105" spans="1:8" x14ac:dyDescent="0.35">
      <c r="A105" s="179"/>
      <c r="B105" s="179" t="s">
        <v>78</v>
      </c>
      <c r="C105" s="179" t="s">
        <v>204</v>
      </c>
      <c r="D105" s="209">
        <f>'12ME Dec18 Data'!N16</f>
        <v>308558</v>
      </c>
      <c r="E105" s="194">
        <v>5.9999999999999831E-2</v>
      </c>
      <c r="F105" s="259">
        <v>0</v>
      </c>
      <c r="G105" s="192">
        <f t="shared" si="5"/>
        <v>18513.48</v>
      </c>
      <c r="H105" s="192">
        <f t="shared" si="6"/>
        <v>-18513.479999999949</v>
      </c>
    </row>
    <row r="106" spans="1:8" x14ac:dyDescent="0.35">
      <c r="A106" s="179"/>
      <c r="B106" s="179" t="s">
        <v>240</v>
      </c>
      <c r="C106" s="179"/>
      <c r="D106" s="209"/>
      <c r="E106" s="212"/>
      <c r="F106" s="258"/>
      <c r="G106" s="192"/>
      <c r="H106" s="192"/>
    </row>
    <row r="107" spans="1:8" x14ac:dyDescent="0.35">
      <c r="A107" s="179"/>
      <c r="B107" s="181"/>
      <c r="C107" s="179"/>
      <c r="D107" s="209"/>
      <c r="E107" s="212"/>
      <c r="F107" s="258"/>
      <c r="G107" s="192"/>
      <c r="H107" s="192"/>
    </row>
    <row r="108" spans="1:8" x14ac:dyDescent="0.35">
      <c r="A108" s="179"/>
      <c r="B108" s="179" t="s">
        <v>79</v>
      </c>
      <c r="C108" s="179"/>
      <c r="D108" s="209"/>
      <c r="E108" s="212"/>
      <c r="F108" s="258"/>
      <c r="G108" s="192"/>
      <c r="H108" s="192"/>
    </row>
    <row r="109" spans="1:8" x14ac:dyDescent="0.35">
      <c r="A109" s="179"/>
      <c r="B109" s="179" t="s">
        <v>223</v>
      </c>
      <c r="C109" s="179" t="s">
        <v>237</v>
      </c>
      <c r="D109" s="209">
        <f>'Normalized Therms'!$P$21*'12ME Dec18 Bill Freq'!N56</f>
        <v>3000000</v>
      </c>
      <c r="E109" s="135">
        <v>6.0199999999999976E-3</v>
      </c>
      <c r="F109" s="258">
        <v>0</v>
      </c>
      <c r="G109" s="192">
        <f t="shared" si="5"/>
        <v>18060</v>
      </c>
      <c r="H109" s="192">
        <f t="shared" si="6"/>
        <v>-18059.999999999993</v>
      </c>
    </row>
    <row r="110" spans="1:8" x14ac:dyDescent="0.35">
      <c r="A110" s="179"/>
      <c r="B110" s="179" t="s">
        <v>224</v>
      </c>
      <c r="C110" s="179" t="s">
        <v>237</v>
      </c>
      <c r="D110" s="209">
        <f>'Normalized Therms'!$P$21*'12ME Dec18 Bill Freq'!N57</f>
        <v>3000000</v>
      </c>
      <c r="E110" s="135">
        <v>3.6400000000000043E-3</v>
      </c>
      <c r="F110" s="258">
        <v>0</v>
      </c>
      <c r="G110" s="192">
        <f t="shared" si="5"/>
        <v>10920</v>
      </c>
      <c r="H110" s="192">
        <f t="shared" si="6"/>
        <v>-10920.000000000013</v>
      </c>
    </row>
    <row r="111" spans="1:8" x14ac:dyDescent="0.35">
      <c r="A111" s="179"/>
      <c r="B111" s="179" t="s">
        <v>227</v>
      </c>
      <c r="C111" s="179" t="s">
        <v>237</v>
      </c>
      <c r="D111" s="209">
        <f>'Normalized Therms'!$P$21*'12ME Dec18 Bill Freq'!N58</f>
        <v>5983755.4799999995</v>
      </c>
      <c r="E111" s="135">
        <v>2.3199999999999957E-3</v>
      </c>
      <c r="F111" s="258">
        <v>0</v>
      </c>
      <c r="G111" s="192">
        <f t="shared" si="5"/>
        <v>13882.31</v>
      </c>
      <c r="H111" s="192">
        <f t="shared" si="6"/>
        <v>-13882.312713599973</v>
      </c>
    </row>
    <row r="112" spans="1:8" x14ac:dyDescent="0.35">
      <c r="A112" s="179"/>
      <c r="B112" s="179" t="s">
        <v>100</v>
      </c>
      <c r="C112" s="179" t="s">
        <v>237</v>
      </c>
      <c r="D112" s="209">
        <f>'Normalized Therms'!$P$21*'12ME Dec18 Bill Freq'!N59</f>
        <v>11737512.850000001</v>
      </c>
      <c r="E112" s="135">
        <v>1.4899999999999983E-3</v>
      </c>
      <c r="F112" s="258">
        <v>0</v>
      </c>
      <c r="G112" s="192">
        <f t="shared" si="5"/>
        <v>17488.89</v>
      </c>
      <c r="H112" s="192">
        <f t="shared" si="6"/>
        <v>-17488.894146499981</v>
      </c>
    </row>
    <row r="113" spans="1:8" x14ac:dyDescent="0.35">
      <c r="A113" s="179"/>
      <c r="B113" s="179" t="s">
        <v>101</v>
      </c>
      <c r="C113" s="179" t="s">
        <v>237</v>
      </c>
      <c r="D113" s="209">
        <f>'Normalized Therms'!$P$21*'12ME Dec18 Bill Freq'!N60</f>
        <v>26253607.010000002</v>
      </c>
      <c r="E113" s="135">
        <v>1.069999999999998E-3</v>
      </c>
      <c r="F113" s="258">
        <v>0</v>
      </c>
      <c r="G113" s="192">
        <f t="shared" si="5"/>
        <v>28091.360000000001</v>
      </c>
      <c r="H113" s="192">
        <f t="shared" si="6"/>
        <v>-28091.359500699949</v>
      </c>
    </row>
    <row r="114" spans="1:8" x14ac:dyDescent="0.35">
      <c r="A114" s="179"/>
      <c r="B114" s="179" t="s">
        <v>174</v>
      </c>
      <c r="C114" s="179" t="s">
        <v>237</v>
      </c>
      <c r="D114" s="209">
        <f>'Normalized Therms'!$P$21*'12ME Dec18 Bill Freq'!N61</f>
        <v>50466253.034701236</v>
      </c>
      <c r="E114" s="135">
        <v>8.2000000000000128E-4</v>
      </c>
      <c r="F114" s="258">
        <v>0</v>
      </c>
      <c r="G114" s="192">
        <f t="shared" si="5"/>
        <v>41382.33</v>
      </c>
      <c r="H114" s="192">
        <f t="shared" si="6"/>
        <v>-41382.327488455077</v>
      </c>
    </row>
    <row r="115" spans="1:8" x14ac:dyDescent="0.35">
      <c r="A115" s="179"/>
      <c r="B115" s="179"/>
      <c r="C115" s="178"/>
      <c r="D115" s="209"/>
      <c r="E115" s="212"/>
      <c r="F115" s="258"/>
      <c r="G115" s="192"/>
      <c r="H115" s="192"/>
    </row>
    <row r="116" spans="1:8" x14ac:dyDescent="0.35">
      <c r="A116" s="147" t="s">
        <v>120</v>
      </c>
      <c r="B116" s="173"/>
      <c r="C116" s="173"/>
      <c r="D116" s="209"/>
      <c r="E116" s="212"/>
      <c r="F116" s="258"/>
      <c r="G116" s="192"/>
      <c r="H116" s="192"/>
    </row>
    <row r="117" spans="1:8" x14ac:dyDescent="0.35">
      <c r="B117" s="149" t="s">
        <v>121</v>
      </c>
      <c r="C117" s="149" t="s">
        <v>122</v>
      </c>
      <c r="D117" s="209">
        <f>'12ME Dec18 Rentals'!O5</f>
        <v>12263</v>
      </c>
      <c r="E117" s="194">
        <v>0.3100000000000005</v>
      </c>
      <c r="F117" s="259">
        <v>0</v>
      </c>
      <c r="G117" s="192">
        <f t="shared" si="5"/>
        <v>3801.53</v>
      </c>
      <c r="H117" s="192">
        <f t="shared" si="6"/>
        <v>-3801.5300000000061</v>
      </c>
    </row>
    <row r="118" spans="1:8" x14ac:dyDescent="0.35">
      <c r="B118" s="149" t="s">
        <v>123</v>
      </c>
      <c r="C118" s="149" t="s">
        <v>124</v>
      </c>
      <c r="D118" s="209">
        <f>'12ME Dec18 Rentals'!O6</f>
        <v>190792</v>
      </c>
      <c r="E118" s="194">
        <v>0.51999999999999957</v>
      </c>
      <c r="F118" s="259">
        <v>0</v>
      </c>
      <c r="G118" s="192">
        <f t="shared" si="5"/>
        <v>99211.839999999997</v>
      </c>
      <c r="H118" s="192">
        <f t="shared" si="6"/>
        <v>-99211.839999999924</v>
      </c>
    </row>
    <row r="119" spans="1:8" x14ac:dyDescent="0.35">
      <c r="B119" s="149" t="s">
        <v>125</v>
      </c>
      <c r="C119" s="149" t="s">
        <v>126</v>
      </c>
      <c r="D119" s="209">
        <f>'12ME Dec18 Rentals'!O7</f>
        <v>36011</v>
      </c>
      <c r="E119" s="194">
        <v>0.72999999999999687</v>
      </c>
      <c r="F119" s="259">
        <v>0</v>
      </c>
      <c r="G119" s="192">
        <f t="shared" si="5"/>
        <v>26288.03</v>
      </c>
      <c r="H119" s="192">
        <f t="shared" si="6"/>
        <v>-26288.029999999886</v>
      </c>
    </row>
    <row r="120" spans="1:8" x14ac:dyDescent="0.35">
      <c r="B120" s="149" t="s">
        <v>127</v>
      </c>
      <c r="C120" s="149" t="s">
        <v>128</v>
      </c>
      <c r="D120" s="209">
        <f>'12ME Dec18 Rentals'!O8</f>
        <v>7959</v>
      </c>
      <c r="E120" s="194">
        <v>0.71999999999999886</v>
      </c>
      <c r="F120" s="259">
        <v>0</v>
      </c>
      <c r="G120" s="192">
        <f t="shared" si="5"/>
        <v>5730.48</v>
      </c>
      <c r="H120" s="192">
        <f t="shared" si="6"/>
        <v>-5730.4799999999914</v>
      </c>
    </row>
    <row r="121" spans="1:8" x14ac:dyDescent="0.35">
      <c r="B121" s="149" t="s">
        <v>129</v>
      </c>
      <c r="C121" s="149" t="s">
        <v>130</v>
      </c>
      <c r="D121" s="209">
        <f>'12ME Dec18 Rentals'!O9</f>
        <v>40377</v>
      </c>
      <c r="E121" s="194">
        <v>0.25</v>
      </c>
      <c r="F121" s="259">
        <v>0</v>
      </c>
      <c r="G121" s="192">
        <f t="shared" si="5"/>
        <v>10094.25</v>
      </c>
      <c r="H121" s="192">
        <f t="shared" si="6"/>
        <v>-10094.25</v>
      </c>
    </row>
    <row r="122" spans="1:8" x14ac:dyDescent="0.35">
      <c r="B122" s="149" t="s">
        <v>131</v>
      </c>
      <c r="C122" s="149" t="s">
        <v>132</v>
      </c>
      <c r="D122" s="209">
        <f>'12ME Dec18 Rentals'!O10</f>
        <v>2345</v>
      </c>
      <c r="E122" s="194">
        <v>0.45000000000000107</v>
      </c>
      <c r="F122" s="259">
        <v>0</v>
      </c>
      <c r="G122" s="192">
        <f t="shared" si="5"/>
        <v>1055.25</v>
      </c>
      <c r="H122" s="192">
        <f t="shared" si="6"/>
        <v>-1055.2500000000025</v>
      </c>
    </row>
    <row r="123" spans="1:8" x14ac:dyDescent="0.35">
      <c r="B123" s="149"/>
      <c r="C123" s="173"/>
      <c r="D123" s="209"/>
      <c r="E123" s="212"/>
      <c r="F123" s="259"/>
      <c r="G123" s="192"/>
      <c r="H123" s="192"/>
    </row>
    <row r="124" spans="1:8" x14ac:dyDescent="0.35">
      <c r="A124" s="147" t="s">
        <v>134</v>
      </c>
      <c r="B124" s="149"/>
      <c r="C124" s="173"/>
      <c r="D124" s="209"/>
      <c r="E124" s="212"/>
      <c r="F124" s="259"/>
      <c r="G124" s="192"/>
      <c r="H124" s="192"/>
    </row>
    <row r="125" spans="1:8" x14ac:dyDescent="0.35">
      <c r="B125" s="149" t="s">
        <v>135</v>
      </c>
      <c r="C125" s="149" t="s">
        <v>136</v>
      </c>
      <c r="D125" s="209">
        <f>'12ME Dec18 Rentals'!O14</f>
        <v>1384</v>
      </c>
      <c r="E125" s="194">
        <v>0.63000000000000078</v>
      </c>
      <c r="F125" s="259">
        <v>0</v>
      </c>
      <c r="G125" s="192">
        <f t="shared" si="5"/>
        <v>871.92</v>
      </c>
      <c r="H125" s="192">
        <f t="shared" si="6"/>
        <v>-871.9200000000011</v>
      </c>
    </row>
    <row r="126" spans="1:8" x14ac:dyDescent="0.35">
      <c r="B126" s="149" t="s">
        <v>137</v>
      </c>
      <c r="C126" s="149" t="s">
        <v>138</v>
      </c>
      <c r="D126" s="209">
        <f>'12ME Dec18 Rentals'!O15</f>
        <v>1036</v>
      </c>
      <c r="E126" s="194">
        <v>0.84000000000000341</v>
      </c>
      <c r="F126" s="259">
        <v>0</v>
      </c>
      <c r="G126" s="192">
        <f t="shared" si="5"/>
        <v>870.24</v>
      </c>
      <c r="H126" s="192">
        <f t="shared" si="6"/>
        <v>-870.24000000000353</v>
      </c>
    </row>
    <row r="127" spans="1:8" x14ac:dyDescent="0.35">
      <c r="B127" s="149" t="s">
        <v>139</v>
      </c>
      <c r="C127" s="149" t="s">
        <v>140</v>
      </c>
      <c r="D127" s="209">
        <f>'12ME Dec18 Rentals'!O16</f>
        <v>2711</v>
      </c>
      <c r="E127" s="194">
        <v>0.84000000000000341</v>
      </c>
      <c r="F127" s="259">
        <v>0</v>
      </c>
      <c r="G127" s="192">
        <f t="shared" si="5"/>
        <v>2277.2399999999998</v>
      </c>
      <c r="H127" s="192">
        <f t="shared" si="6"/>
        <v>-2277.2400000000093</v>
      </c>
    </row>
    <row r="128" spans="1:8" x14ac:dyDescent="0.35">
      <c r="B128" s="149" t="s">
        <v>141</v>
      </c>
      <c r="C128" s="149" t="s">
        <v>142</v>
      </c>
      <c r="D128" s="209">
        <f>'12ME Dec18 Rentals'!O17</f>
        <v>157</v>
      </c>
      <c r="E128" s="194">
        <v>1.3200000000000003</v>
      </c>
      <c r="F128" s="259">
        <v>0</v>
      </c>
      <c r="G128" s="192">
        <f t="shared" si="5"/>
        <v>207.24</v>
      </c>
      <c r="H128" s="192">
        <f t="shared" si="6"/>
        <v>-207.24000000000004</v>
      </c>
    </row>
    <row r="129" spans="1:8" x14ac:dyDescent="0.35">
      <c r="B129" s="149" t="s">
        <v>143</v>
      </c>
      <c r="C129" s="149" t="s">
        <v>144</v>
      </c>
      <c r="D129" s="209">
        <f>'12ME Dec18 Rentals'!O18</f>
        <v>6638</v>
      </c>
      <c r="E129" s="194">
        <v>1.7299999999999969</v>
      </c>
      <c r="F129" s="259">
        <v>0</v>
      </c>
      <c r="G129" s="192">
        <f t="shared" si="5"/>
        <v>11483.74</v>
      </c>
      <c r="H129" s="192">
        <f t="shared" si="6"/>
        <v>-11483.73999999998</v>
      </c>
    </row>
    <row r="130" spans="1:8" x14ac:dyDescent="0.35">
      <c r="B130" s="149" t="s">
        <v>145</v>
      </c>
      <c r="C130" s="149" t="s">
        <v>146</v>
      </c>
      <c r="D130" s="209">
        <f>'12ME Dec18 Rentals'!O19</f>
        <v>4526</v>
      </c>
      <c r="E130" s="194">
        <v>2.3200000000000003</v>
      </c>
      <c r="F130" s="259">
        <v>0</v>
      </c>
      <c r="G130" s="192">
        <f t="shared" si="5"/>
        <v>10500.32</v>
      </c>
      <c r="H130" s="192">
        <f t="shared" si="6"/>
        <v>-10500.320000000002</v>
      </c>
    </row>
    <row r="131" spans="1:8" x14ac:dyDescent="0.35">
      <c r="B131" s="149" t="s">
        <v>147</v>
      </c>
      <c r="C131" s="149" t="s">
        <v>148</v>
      </c>
      <c r="D131" s="209">
        <f>'12ME Dec18 Rentals'!O20</f>
        <v>13159</v>
      </c>
      <c r="E131" s="194">
        <v>2.6900000000000048</v>
      </c>
      <c r="F131" s="259">
        <v>0</v>
      </c>
      <c r="G131" s="192">
        <f t="shared" si="5"/>
        <v>35397.71</v>
      </c>
      <c r="H131" s="192">
        <f t="shared" si="6"/>
        <v>-35397.710000000065</v>
      </c>
    </row>
    <row r="132" spans="1:8" x14ac:dyDescent="0.35">
      <c r="A132" s="150"/>
      <c r="B132" s="173"/>
      <c r="C132" s="173"/>
      <c r="D132" s="209"/>
      <c r="E132" s="212"/>
      <c r="F132" s="259"/>
      <c r="G132" s="192"/>
      <c r="H132" s="192"/>
    </row>
    <row r="133" spans="1:8" x14ac:dyDescent="0.35">
      <c r="A133" s="147" t="s">
        <v>150</v>
      </c>
      <c r="B133" s="173"/>
      <c r="C133" s="173"/>
      <c r="D133" s="209"/>
      <c r="E133" s="212"/>
      <c r="F133" s="259"/>
      <c r="G133" s="192"/>
      <c r="H133" s="192"/>
    </row>
    <row r="134" spans="1:8" x14ac:dyDescent="0.35">
      <c r="B134" s="149" t="s">
        <v>151</v>
      </c>
      <c r="C134" s="149" t="s">
        <v>152</v>
      </c>
      <c r="D134" s="209">
        <f>'12ME Dec18 Rentals'!O24</f>
        <v>11501</v>
      </c>
      <c r="E134" s="194">
        <v>0.44000000000000128</v>
      </c>
      <c r="F134" s="259">
        <v>0</v>
      </c>
      <c r="G134" s="192">
        <f t="shared" si="5"/>
        <v>5060.4399999999996</v>
      </c>
      <c r="H134" s="192">
        <f t="shared" si="6"/>
        <v>-5060.4400000000151</v>
      </c>
    </row>
    <row r="135" spans="1:8" x14ac:dyDescent="0.35">
      <c r="B135" s="149" t="s">
        <v>153</v>
      </c>
      <c r="C135" s="149" t="s">
        <v>154</v>
      </c>
      <c r="D135" s="209">
        <f>'12ME Dec18 Rentals'!O25</f>
        <v>844</v>
      </c>
      <c r="E135" s="194">
        <v>1.1800000000000033</v>
      </c>
      <c r="F135" s="259">
        <v>0</v>
      </c>
      <c r="G135" s="192">
        <f t="shared" si="5"/>
        <v>995.92</v>
      </c>
      <c r="H135" s="192">
        <f t="shared" si="6"/>
        <v>-995.9200000000028</v>
      </c>
    </row>
    <row r="136" spans="1:8" x14ac:dyDescent="0.35">
      <c r="B136" s="149" t="s">
        <v>155</v>
      </c>
      <c r="C136" s="149" t="s">
        <v>156</v>
      </c>
      <c r="D136" s="209">
        <f>'12ME Dec18 Rentals'!O26</f>
        <v>541</v>
      </c>
      <c r="E136" s="194">
        <v>1.6000000000000014</v>
      </c>
      <c r="F136" s="259">
        <v>0</v>
      </c>
      <c r="G136" s="192">
        <f t="shared" si="5"/>
        <v>865.6</v>
      </c>
      <c r="H136" s="192">
        <f t="shared" si="6"/>
        <v>-865.60000000000082</v>
      </c>
    </row>
    <row r="137" spans="1:8" x14ac:dyDescent="0.35">
      <c r="B137" s="149" t="s">
        <v>157</v>
      </c>
      <c r="C137" s="149" t="s">
        <v>158</v>
      </c>
      <c r="D137" s="209">
        <f>'12ME Dec18 Rentals'!O27</f>
        <v>19205</v>
      </c>
      <c r="E137" s="194">
        <v>0.66000000000000014</v>
      </c>
      <c r="F137" s="259">
        <v>0</v>
      </c>
      <c r="G137" s="192">
        <f t="shared" si="5"/>
        <v>12675.3</v>
      </c>
      <c r="H137" s="192">
        <f t="shared" si="6"/>
        <v>-12675.300000000003</v>
      </c>
    </row>
    <row r="138" spans="1:8" x14ac:dyDescent="0.35">
      <c r="B138" s="173"/>
      <c r="C138" s="173"/>
      <c r="D138" s="210"/>
      <c r="F138" s="13"/>
      <c r="H138" s="192"/>
    </row>
    <row r="139" spans="1:8" x14ac:dyDescent="0.35">
      <c r="A139" s="152" t="s">
        <v>13</v>
      </c>
      <c r="B139" s="170"/>
      <c r="C139" s="181" t="s">
        <v>237</v>
      </c>
      <c r="D139" s="211">
        <f>'Normalized Therms'!P22</f>
        <v>37056427.854413897</v>
      </c>
      <c r="E139" s="194"/>
      <c r="G139" s="241">
        <v>35274.722042470239</v>
      </c>
      <c r="H139" s="192">
        <f>-G139</f>
        <v>-35274.722042470239</v>
      </c>
    </row>
    <row r="141" spans="1:8" x14ac:dyDescent="0.35">
      <c r="A141" s="168" t="s">
        <v>6</v>
      </c>
    </row>
    <row r="142" spans="1:8" x14ac:dyDescent="0.35">
      <c r="B142" s="168" t="s">
        <v>237</v>
      </c>
      <c r="D142" s="193">
        <f>SUM(D10,D14,D21,D26,D37:D39,D49:D51,D59:D61,D68:D70,D78:D79,D87:D88,D96:D101,D109:D114,D139)</f>
        <v>1191294883.0992644</v>
      </c>
    </row>
    <row r="143" spans="1:8" x14ac:dyDescent="0.35">
      <c r="B143" s="168" t="s">
        <v>204</v>
      </c>
      <c r="D143" s="193">
        <f>SUM(D34,D46,D55,D65,D74,D83,D92,D105)</f>
        <v>6811576.591</v>
      </c>
    </row>
    <row r="144" spans="1:8" x14ac:dyDescent="0.35">
      <c r="B144" s="168" t="s">
        <v>234</v>
      </c>
      <c r="D144" s="193">
        <f>SUM(D9,D13,D20,D25,D32,D44,D54,D64,D73,D82,D91,D104)</f>
        <v>10115573.875453494</v>
      </c>
    </row>
    <row r="146" spans="2:4" x14ac:dyDescent="0.35">
      <c r="B146" s="213" t="s">
        <v>241</v>
      </c>
      <c r="C146" s="173"/>
      <c r="D146" s="173"/>
    </row>
    <row r="147" spans="2:4" x14ac:dyDescent="0.35">
      <c r="B147" s="168" t="s">
        <v>243</v>
      </c>
      <c r="C147" s="168" t="s">
        <v>242</v>
      </c>
      <c r="D147" s="193">
        <f>SUM(D10,D14,D21,D26,D37:D39,D49:D51,D56,D68:D70,D75,D87:D88,D93,D109:D114,D139)-('Normalized Therms'!P23-'Normalized Therms'!P10)</f>
        <v>0</v>
      </c>
    </row>
    <row r="148" spans="2:4" x14ac:dyDescent="0.35">
      <c r="B148" s="168" t="s">
        <v>204</v>
      </c>
      <c r="D148" s="193">
        <f>SUM(D34,D46,D55,D65,D74,D83,D92,D105)-SUM('12ME Dec18 Data'!N9:N16)</f>
        <v>0</v>
      </c>
    </row>
    <row r="149" spans="2:4" x14ac:dyDescent="0.35">
      <c r="B149" s="168" t="s">
        <v>234</v>
      </c>
      <c r="D149" s="193">
        <f>SUM(D9,D13,D20,D25,D32,D44,D54,D64,D73,D82,D91,D104)-SUM('12ME Dec18 Data'!N23:N34)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2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9"/>
  <sheetViews>
    <sheetView zoomScaleNormal="100" workbookViewId="0">
      <pane ySplit="7" topLeftCell="A125" activePane="bottomLeft" state="frozen"/>
      <selection pane="bottomLeft" activeCell="F150" sqref="F150"/>
    </sheetView>
  </sheetViews>
  <sheetFormatPr defaultColWidth="9.1796875" defaultRowHeight="14.5" x14ac:dyDescent="0.35"/>
  <cols>
    <col min="1" max="1" width="3.26953125" style="190" customWidth="1"/>
    <col min="2" max="2" width="43.7265625" style="190" bestFit="1" customWidth="1"/>
    <col min="3" max="3" width="9.1796875" style="190"/>
    <col min="4" max="4" width="16.54296875" style="190" bestFit="1" customWidth="1"/>
    <col min="5" max="5" width="13.7265625" style="190" bestFit="1" customWidth="1"/>
    <col min="6" max="6" width="13.7265625" style="190" customWidth="1"/>
    <col min="7" max="7" width="15" style="190" bestFit="1" customWidth="1"/>
    <col min="8" max="8" width="16" style="190" bestFit="1" customWidth="1"/>
    <col min="9" max="16384" width="9.1796875" style="190"/>
  </cols>
  <sheetData>
    <row r="1" spans="1:8" x14ac:dyDescent="0.35">
      <c r="A1" s="333" t="s">
        <v>0</v>
      </c>
      <c r="B1" s="333"/>
      <c r="C1" s="333"/>
      <c r="D1" s="333"/>
      <c r="E1" s="333"/>
      <c r="F1" s="333"/>
      <c r="G1" s="333"/>
      <c r="H1" s="333"/>
    </row>
    <row r="2" spans="1:8" x14ac:dyDescent="0.35">
      <c r="A2" s="333" t="s">
        <v>287</v>
      </c>
      <c r="B2" s="333"/>
      <c r="C2" s="333"/>
      <c r="D2" s="333"/>
      <c r="E2" s="333"/>
      <c r="F2" s="333"/>
      <c r="G2" s="333"/>
      <c r="H2" s="333"/>
    </row>
    <row r="3" spans="1:8" x14ac:dyDescent="0.35">
      <c r="A3" s="333" t="s">
        <v>259</v>
      </c>
      <c r="B3" s="333"/>
      <c r="C3" s="333"/>
      <c r="D3" s="333"/>
      <c r="E3" s="333"/>
      <c r="F3" s="333"/>
      <c r="G3" s="333"/>
      <c r="H3" s="333"/>
    </row>
    <row r="4" spans="1:8" x14ac:dyDescent="0.35">
      <c r="A4" s="167"/>
      <c r="B4" s="167"/>
      <c r="C4" s="167"/>
      <c r="D4" s="167"/>
      <c r="E4" s="167"/>
      <c r="F4" s="167"/>
    </row>
    <row r="5" spans="1:8" x14ac:dyDescent="0.35">
      <c r="A5" s="185"/>
      <c r="B5" s="185"/>
      <c r="C5" s="185"/>
      <c r="D5" s="5" t="s">
        <v>15</v>
      </c>
      <c r="E5" s="184" t="s">
        <v>5</v>
      </c>
      <c r="F5" s="184" t="s">
        <v>1</v>
      </c>
      <c r="G5" s="5"/>
      <c r="H5" s="244" t="s">
        <v>288</v>
      </c>
    </row>
    <row r="6" spans="1:8" x14ac:dyDescent="0.35">
      <c r="B6" s="184"/>
      <c r="C6" s="184"/>
      <c r="D6" s="5" t="s">
        <v>3</v>
      </c>
      <c r="E6" s="184" t="s">
        <v>288</v>
      </c>
      <c r="F6" s="184" t="s">
        <v>288</v>
      </c>
      <c r="G6" s="5" t="s">
        <v>15</v>
      </c>
      <c r="H6" s="244" t="s">
        <v>282</v>
      </c>
    </row>
    <row r="7" spans="1:8" x14ac:dyDescent="0.35">
      <c r="A7" s="186"/>
      <c r="B7" s="187" t="s">
        <v>213</v>
      </c>
      <c r="C7" s="187" t="s">
        <v>233</v>
      </c>
      <c r="D7" s="238" t="str">
        <f>'Base Rate Impacts'!$D$8</f>
        <v>Jan 18 - Dec 18</v>
      </c>
      <c r="E7" s="187" t="s">
        <v>22</v>
      </c>
      <c r="F7" s="187" t="s">
        <v>22</v>
      </c>
      <c r="G7" s="171" t="s">
        <v>2</v>
      </c>
      <c r="H7" s="171" t="s">
        <v>244</v>
      </c>
    </row>
    <row r="8" spans="1:8" x14ac:dyDescent="0.35">
      <c r="A8" s="172" t="s">
        <v>214</v>
      </c>
      <c r="C8" s="172"/>
      <c r="D8" s="172"/>
    </row>
    <row r="9" spans="1:8" x14ac:dyDescent="0.35">
      <c r="B9" s="188" t="s">
        <v>234</v>
      </c>
      <c r="C9" s="188" t="s">
        <v>235</v>
      </c>
      <c r="D9" s="209">
        <f>'12ME Dec18 Data'!N23</f>
        <v>9401341.5170350727</v>
      </c>
      <c r="E9" s="194">
        <v>-0.15000000000000036</v>
      </c>
      <c r="F9" s="259">
        <v>0</v>
      </c>
      <c r="G9" s="192">
        <f>ROUND(E9*D9,2)</f>
        <v>-1410201.23</v>
      </c>
      <c r="H9" s="192">
        <f>(F9-E9)*D9</f>
        <v>1410201.2275552643</v>
      </c>
    </row>
    <row r="10" spans="1:8" x14ac:dyDescent="0.35">
      <c r="B10" s="191" t="s">
        <v>236</v>
      </c>
      <c r="C10" s="191" t="s">
        <v>237</v>
      </c>
      <c r="D10" s="209">
        <f>'Normalized Therms'!P9</f>
        <v>609248231.82931805</v>
      </c>
      <c r="E10" s="135">
        <v>-4.7900000000000165E-3</v>
      </c>
      <c r="F10" s="258">
        <v>0</v>
      </c>
      <c r="G10" s="192">
        <f t="shared" ref="G10:G73" si="0">ROUND(E10*D10,2)</f>
        <v>-2918299.03</v>
      </c>
      <c r="H10" s="192">
        <f t="shared" ref="H10:H73" si="1">(F10-E10)*D10</f>
        <v>2918299.0304624434</v>
      </c>
    </row>
    <row r="11" spans="1:8" x14ac:dyDescent="0.35">
      <c r="B11" s="178"/>
      <c r="C11" s="178"/>
      <c r="D11" s="174"/>
      <c r="E11" s="212"/>
      <c r="F11" s="258"/>
      <c r="G11" s="192"/>
      <c r="H11" s="192"/>
    </row>
    <row r="12" spans="1:8" x14ac:dyDescent="0.35">
      <c r="A12" s="180" t="s">
        <v>215</v>
      </c>
      <c r="C12" s="180"/>
      <c r="D12" s="174"/>
      <c r="E12" s="212"/>
      <c r="F12" s="258"/>
      <c r="G12" s="192"/>
      <c r="H12" s="192"/>
    </row>
    <row r="13" spans="1:8" x14ac:dyDescent="0.35">
      <c r="A13" s="169"/>
      <c r="B13" s="188" t="s">
        <v>234</v>
      </c>
      <c r="C13" s="188" t="s">
        <v>235</v>
      </c>
      <c r="D13" s="209">
        <f>'12ME Dec18 Data'!N24</f>
        <v>1.4854545454545454</v>
      </c>
      <c r="E13" s="194">
        <v>-0.15000000000000036</v>
      </c>
      <c r="F13" s="259">
        <v>0</v>
      </c>
      <c r="G13" s="192">
        <f t="shared" si="0"/>
        <v>-0.22</v>
      </c>
      <c r="H13" s="192">
        <f t="shared" si="1"/>
        <v>0.22281818181818233</v>
      </c>
    </row>
    <row r="14" spans="1:8" x14ac:dyDescent="0.35">
      <c r="A14" s="169"/>
      <c r="B14" s="191" t="s">
        <v>236</v>
      </c>
      <c r="C14" s="191" t="s">
        <v>237</v>
      </c>
      <c r="D14" s="209">
        <f>'Normalized Therms'!P11</f>
        <v>83.329999999999984</v>
      </c>
      <c r="E14" s="135">
        <v>-4.7900000000000165E-3</v>
      </c>
      <c r="F14" s="258">
        <v>0</v>
      </c>
      <c r="G14" s="192">
        <f t="shared" si="0"/>
        <v>-0.4</v>
      </c>
      <c r="H14" s="192">
        <f t="shared" si="1"/>
        <v>0.3991507000000013</v>
      </c>
    </row>
    <row r="15" spans="1:8" x14ac:dyDescent="0.35">
      <c r="A15" s="169"/>
      <c r="B15" s="176"/>
      <c r="C15" s="176"/>
      <c r="D15" s="209"/>
      <c r="E15" s="212"/>
      <c r="F15" s="258"/>
      <c r="G15" s="192"/>
      <c r="H15" s="192"/>
    </row>
    <row r="16" spans="1:8" x14ac:dyDescent="0.35">
      <c r="A16" s="180" t="s">
        <v>216</v>
      </c>
      <c r="C16" s="172"/>
      <c r="D16" s="209"/>
      <c r="E16" s="212"/>
      <c r="F16" s="258"/>
      <c r="G16" s="192"/>
      <c r="H16" s="192"/>
    </row>
    <row r="17" spans="1:8" x14ac:dyDescent="0.35">
      <c r="B17" s="191" t="s">
        <v>236</v>
      </c>
      <c r="C17" s="189" t="s">
        <v>238</v>
      </c>
      <c r="D17" s="209">
        <f>'Normalized Therms'!P10/19</f>
        <v>494</v>
      </c>
      <c r="E17" s="194">
        <v>-0.12999999999999901</v>
      </c>
      <c r="F17" s="259">
        <v>0</v>
      </c>
      <c r="G17" s="192">
        <f t="shared" si="0"/>
        <v>-64.22</v>
      </c>
      <c r="H17" s="192">
        <f t="shared" si="1"/>
        <v>64.219999999999516</v>
      </c>
    </row>
    <row r="18" spans="1:8" x14ac:dyDescent="0.35">
      <c r="B18" s="191"/>
      <c r="C18" s="191"/>
      <c r="D18" s="209"/>
      <c r="E18" s="212"/>
      <c r="F18" s="258"/>
      <c r="G18" s="192"/>
      <c r="H18" s="192"/>
    </row>
    <row r="19" spans="1:8" x14ac:dyDescent="0.35">
      <c r="A19" s="172" t="s">
        <v>217</v>
      </c>
      <c r="C19" s="178"/>
      <c r="D19" s="209"/>
      <c r="E19" s="212"/>
      <c r="F19" s="258"/>
      <c r="G19" s="192"/>
      <c r="H19" s="192"/>
    </row>
    <row r="20" spans="1:8" x14ac:dyDescent="0.35">
      <c r="B20" s="188" t="s">
        <v>234</v>
      </c>
      <c r="C20" s="188" t="s">
        <v>235</v>
      </c>
      <c r="D20" s="209">
        <f>'12ME Dec18 Data'!N25</f>
        <v>692597.12096613029</v>
      </c>
      <c r="E20" s="194">
        <v>-0.43999999999999773</v>
      </c>
      <c r="F20" s="259">
        <v>0</v>
      </c>
      <c r="G20" s="192">
        <f t="shared" si="0"/>
        <v>-304742.73</v>
      </c>
      <c r="H20" s="192">
        <f t="shared" si="1"/>
        <v>304742.73322509573</v>
      </c>
    </row>
    <row r="21" spans="1:8" x14ac:dyDescent="0.35">
      <c r="B21" s="191" t="s">
        <v>236</v>
      </c>
      <c r="C21" s="191" t="s">
        <v>237</v>
      </c>
      <c r="D21" s="209">
        <f>'Normalized Therms'!$P$12</f>
        <v>234140158.08963937</v>
      </c>
      <c r="E21" s="135">
        <v>-4.060000000000008E-3</v>
      </c>
      <c r="F21" s="258">
        <v>0</v>
      </c>
      <c r="G21" s="192">
        <f t="shared" si="0"/>
        <v>-950609.04</v>
      </c>
      <c r="H21" s="192">
        <f t="shared" si="1"/>
        <v>950609.04184393771</v>
      </c>
    </row>
    <row r="22" spans="1:8" x14ac:dyDescent="0.35">
      <c r="B22" s="191" t="s">
        <v>87</v>
      </c>
      <c r="C22" s="191" t="s">
        <v>237</v>
      </c>
      <c r="D22" s="209">
        <f>'Normalized Therms'!$P$12</f>
        <v>234140158.08963937</v>
      </c>
      <c r="E22" s="135">
        <v>-1.2000000000000031E-4</v>
      </c>
      <c r="F22" s="258">
        <v>0</v>
      </c>
      <c r="G22" s="192">
        <f t="shared" si="0"/>
        <v>-28096.82</v>
      </c>
      <c r="H22" s="192">
        <f>(F22-E22)*D22</f>
        <v>28096.818970756798</v>
      </c>
    </row>
    <row r="23" spans="1:8" x14ac:dyDescent="0.35">
      <c r="B23" s="191"/>
      <c r="C23" s="191"/>
      <c r="D23" s="209"/>
      <c r="E23" s="212"/>
      <c r="F23" s="258"/>
      <c r="G23" s="192"/>
      <c r="H23" s="192"/>
    </row>
    <row r="24" spans="1:8" x14ac:dyDescent="0.35">
      <c r="A24" s="180" t="s">
        <v>218</v>
      </c>
      <c r="C24" s="178"/>
      <c r="D24" s="209"/>
      <c r="E24" s="212"/>
      <c r="F24" s="258"/>
      <c r="G24" s="192"/>
      <c r="H24" s="192"/>
    </row>
    <row r="25" spans="1:8" x14ac:dyDescent="0.35">
      <c r="A25" s="191"/>
      <c r="B25" s="188" t="s">
        <v>234</v>
      </c>
      <c r="C25" s="188" t="s">
        <v>235</v>
      </c>
      <c r="D25" s="209">
        <f>'12ME Dec18 Data'!N26</f>
        <v>31</v>
      </c>
      <c r="E25" s="194">
        <v>-4.8700000000000045</v>
      </c>
      <c r="F25" s="259">
        <v>0</v>
      </c>
      <c r="G25" s="192">
        <f t="shared" si="0"/>
        <v>-150.97</v>
      </c>
      <c r="H25" s="192">
        <f t="shared" si="1"/>
        <v>150.97000000000014</v>
      </c>
    </row>
    <row r="26" spans="1:8" x14ac:dyDescent="0.35">
      <c r="A26" s="191"/>
      <c r="B26" s="191" t="s">
        <v>236</v>
      </c>
      <c r="C26" s="191" t="s">
        <v>237</v>
      </c>
      <c r="D26" s="209">
        <f>'Normalized Therms'!P17</f>
        <v>36359.963605097219</v>
      </c>
      <c r="E26" s="135">
        <v>-4.049999999999998E-3</v>
      </c>
      <c r="F26" s="258">
        <v>0</v>
      </c>
      <c r="G26" s="192">
        <f t="shared" si="0"/>
        <v>-147.26</v>
      </c>
      <c r="H26" s="192">
        <f t="shared" si="1"/>
        <v>147.25785260064367</v>
      </c>
    </row>
    <row r="27" spans="1:8" x14ac:dyDescent="0.35">
      <c r="A27" s="191"/>
      <c r="B27" s="191"/>
      <c r="C27" s="191"/>
      <c r="D27" s="209"/>
      <c r="E27" s="212"/>
      <c r="F27" s="258"/>
      <c r="G27" s="192"/>
      <c r="H27" s="192"/>
    </row>
    <row r="28" spans="1:8" x14ac:dyDescent="0.35">
      <c r="A28" s="180" t="s">
        <v>219</v>
      </c>
      <c r="C28" s="178"/>
      <c r="D28" s="209"/>
      <c r="E28" s="194"/>
      <c r="F28" s="258"/>
      <c r="G28" s="192"/>
      <c r="H28" s="192"/>
    </row>
    <row r="29" spans="1:8" x14ac:dyDescent="0.35">
      <c r="B29" s="191" t="s">
        <v>204</v>
      </c>
      <c r="C29" s="191"/>
      <c r="D29" s="209"/>
      <c r="E29" s="194">
        <v>0</v>
      </c>
      <c r="F29" s="258">
        <v>0</v>
      </c>
      <c r="G29" s="192">
        <f t="shared" si="0"/>
        <v>0</v>
      </c>
      <c r="H29" s="192">
        <f t="shared" si="1"/>
        <v>0</v>
      </c>
    </row>
    <row r="30" spans="1:8" x14ac:dyDescent="0.35">
      <c r="B30" s="181"/>
      <c r="C30" s="191"/>
      <c r="D30" s="209"/>
      <c r="E30" s="212"/>
      <c r="F30" s="135"/>
      <c r="G30" s="192"/>
      <c r="H30" s="192"/>
    </row>
    <row r="31" spans="1:8" x14ac:dyDescent="0.35">
      <c r="A31" s="180" t="s">
        <v>220</v>
      </c>
      <c r="C31" s="178"/>
      <c r="D31" s="209"/>
      <c r="E31" s="212"/>
      <c r="F31" s="135"/>
      <c r="G31" s="192"/>
      <c r="H31" s="192"/>
    </row>
    <row r="32" spans="1:8" x14ac:dyDescent="0.35">
      <c r="B32" s="188" t="s">
        <v>234</v>
      </c>
      <c r="C32" s="188" t="s">
        <v>235</v>
      </c>
      <c r="D32" s="209">
        <f>'12ME Dec18 Data'!$N$27</f>
        <v>15978.11692331859</v>
      </c>
      <c r="E32" s="194">
        <v>-1.3600000000000136</v>
      </c>
      <c r="F32" s="259">
        <v>0</v>
      </c>
      <c r="G32" s="192">
        <f t="shared" si="0"/>
        <v>-21730.240000000002</v>
      </c>
      <c r="H32" s="192">
        <f t="shared" si="1"/>
        <v>21730.239015713501</v>
      </c>
    </row>
    <row r="33" spans="1:8" x14ac:dyDescent="0.35">
      <c r="B33" s="181" t="s">
        <v>239</v>
      </c>
      <c r="C33" s="188" t="s">
        <v>235</v>
      </c>
      <c r="D33" s="209">
        <f>'12ME Dec18 Data'!$N$27</f>
        <v>15978.11692331859</v>
      </c>
      <c r="E33" s="194">
        <v>-1.4799999999999898</v>
      </c>
      <c r="F33" s="259">
        <v>0</v>
      </c>
      <c r="G33" s="192">
        <f t="shared" si="0"/>
        <v>-23647.61</v>
      </c>
      <c r="H33" s="192">
        <f t="shared" si="1"/>
        <v>23647.613046511349</v>
      </c>
    </row>
    <row r="34" spans="1:8" x14ac:dyDescent="0.35">
      <c r="B34" s="181" t="s">
        <v>78</v>
      </c>
      <c r="C34" s="191" t="s">
        <v>204</v>
      </c>
      <c r="D34" s="209">
        <f>'12ME Dec18 Data'!N9</f>
        <v>4466417.6739999996</v>
      </c>
      <c r="E34" s="194">
        <v>-2.0000000000000018E-2</v>
      </c>
      <c r="F34" s="259">
        <v>0</v>
      </c>
      <c r="G34" s="192">
        <f t="shared" si="0"/>
        <v>-89328.35</v>
      </c>
      <c r="H34" s="192">
        <f t="shared" si="1"/>
        <v>89328.353480000078</v>
      </c>
    </row>
    <row r="35" spans="1:8" x14ac:dyDescent="0.35">
      <c r="B35" s="181"/>
      <c r="C35" s="191"/>
      <c r="D35" s="209"/>
      <c r="E35" s="212"/>
      <c r="F35" s="258"/>
      <c r="G35" s="192"/>
      <c r="H35" s="192"/>
    </row>
    <row r="36" spans="1:8" x14ac:dyDescent="0.35">
      <c r="B36" s="181" t="s">
        <v>79</v>
      </c>
      <c r="C36" s="191"/>
      <c r="D36" s="209"/>
      <c r="E36" s="212"/>
      <c r="F36" s="258"/>
      <c r="G36" s="192"/>
      <c r="H36" s="192"/>
    </row>
    <row r="37" spans="1:8" x14ac:dyDescent="0.35">
      <c r="B37" s="181" t="s">
        <v>164</v>
      </c>
      <c r="C37" s="191" t="s">
        <v>237</v>
      </c>
      <c r="D37" s="209">
        <f>'Normalized Therms'!$P$13*'12ME Dec18 Bill Freq'!N6</f>
        <v>13387853.839</v>
      </c>
      <c r="E37" s="135">
        <v>-1.6500000000000126E-3</v>
      </c>
      <c r="F37" s="258">
        <v>0</v>
      </c>
      <c r="G37" s="192" t="s">
        <v>276</v>
      </c>
      <c r="H37" s="192" t="s">
        <v>276</v>
      </c>
    </row>
    <row r="38" spans="1:8" x14ac:dyDescent="0.35">
      <c r="B38" s="181" t="s">
        <v>165</v>
      </c>
      <c r="C38" s="191" t="s">
        <v>237</v>
      </c>
      <c r="D38" s="209">
        <f>'Normalized Therms'!$P$13*'12ME Dec18 Bill Freq'!N7</f>
        <v>29572063.336999994</v>
      </c>
      <c r="E38" s="135">
        <v>-1.6500000000000126E-3</v>
      </c>
      <c r="F38" s="258">
        <v>0</v>
      </c>
      <c r="G38" s="192">
        <f t="shared" si="0"/>
        <v>-48793.9</v>
      </c>
      <c r="H38" s="192">
        <f t="shared" si="1"/>
        <v>48793.904506050363</v>
      </c>
    </row>
    <row r="39" spans="1:8" x14ac:dyDescent="0.35">
      <c r="B39" s="181" t="s">
        <v>166</v>
      </c>
      <c r="C39" s="191" t="s">
        <v>237</v>
      </c>
      <c r="D39" s="209">
        <f>'Normalized Therms'!$P$13*'12ME Dec18 Bill Freq'!N8</f>
        <v>22876740.287465494</v>
      </c>
      <c r="E39" s="135">
        <v>-1.0599999999999915E-3</v>
      </c>
      <c r="F39" s="258">
        <v>0</v>
      </c>
      <c r="G39" s="192">
        <f t="shared" si="0"/>
        <v>-24249.34</v>
      </c>
      <c r="H39" s="192">
        <f t="shared" si="1"/>
        <v>24249.344704713229</v>
      </c>
    </row>
    <row r="40" spans="1:8" x14ac:dyDescent="0.35">
      <c r="B40" s="181"/>
      <c r="C40" s="191"/>
      <c r="D40" s="209"/>
      <c r="E40" s="135"/>
      <c r="F40" s="258"/>
      <c r="G40" s="192"/>
      <c r="H40" s="192"/>
    </row>
    <row r="41" spans="1:8" x14ac:dyDescent="0.35">
      <c r="B41" s="181" t="s">
        <v>87</v>
      </c>
      <c r="C41" s="191" t="s">
        <v>237</v>
      </c>
      <c r="D41" s="209">
        <f>'Normalized Therms'!$P$13</f>
        <v>65836657.463465482</v>
      </c>
      <c r="E41" s="135">
        <v>-8.000000000000021E-5</v>
      </c>
      <c r="F41" s="258">
        <v>0</v>
      </c>
      <c r="G41" s="192">
        <f t="shared" ref="G41" si="2">ROUND(E41*D41,2)</f>
        <v>-5266.93</v>
      </c>
      <c r="H41" s="192">
        <f t="shared" ref="H41" si="3">(F41-E41)*D41</f>
        <v>5266.9325970772525</v>
      </c>
    </row>
    <row r="42" spans="1:8" x14ac:dyDescent="0.35">
      <c r="B42" s="188"/>
      <c r="C42" s="178"/>
      <c r="D42" s="209"/>
      <c r="E42" s="212"/>
      <c r="F42" s="258"/>
      <c r="G42" s="192"/>
      <c r="H42" s="192"/>
    </row>
    <row r="43" spans="1:8" x14ac:dyDescent="0.35">
      <c r="A43" s="180" t="s">
        <v>221</v>
      </c>
      <c r="B43" s="169"/>
      <c r="C43" s="178"/>
      <c r="D43" s="209"/>
      <c r="E43" s="212"/>
      <c r="F43" s="258"/>
      <c r="G43" s="192"/>
      <c r="H43" s="192"/>
    </row>
    <row r="44" spans="1:8" x14ac:dyDescent="0.35">
      <c r="A44" s="181"/>
      <c r="B44" s="188" t="s">
        <v>234</v>
      </c>
      <c r="C44" s="188" t="s">
        <v>235</v>
      </c>
      <c r="D44" s="209">
        <f>'12ME Dec18 Data'!$N$28</f>
        <v>1233.3356387208999</v>
      </c>
      <c r="E44" s="194">
        <v>-5.2599999999999909</v>
      </c>
      <c r="F44" s="259">
        <v>0</v>
      </c>
      <c r="G44" s="192">
        <f t="shared" si="0"/>
        <v>-6487.35</v>
      </c>
      <c r="H44" s="192">
        <f t="shared" si="1"/>
        <v>6487.3454596719221</v>
      </c>
    </row>
    <row r="45" spans="1:8" x14ac:dyDescent="0.35">
      <c r="A45" s="181"/>
      <c r="B45" s="181" t="s">
        <v>239</v>
      </c>
      <c r="C45" s="188" t="s">
        <v>235</v>
      </c>
      <c r="D45" s="209">
        <f>'12ME Dec18 Data'!$N$28</f>
        <v>1233.3356387208999</v>
      </c>
      <c r="E45" s="194">
        <v>-1.4799999999999898</v>
      </c>
      <c r="F45" s="259">
        <v>0</v>
      </c>
      <c r="G45" s="192">
        <f t="shared" si="0"/>
        <v>-1825.34</v>
      </c>
      <c r="H45" s="192">
        <f t="shared" si="1"/>
        <v>1825.3367453069191</v>
      </c>
    </row>
    <row r="46" spans="1:8" x14ac:dyDescent="0.35">
      <c r="A46" s="181"/>
      <c r="B46" s="181" t="s">
        <v>78</v>
      </c>
      <c r="C46" s="191" t="s">
        <v>204</v>
      </c>
      <c r="D46" s="209">
        <f>'12ME Dec18 Data'!N10</f>
        <v>1160980.7009999999</v>
      </c>
      <c r="E46" s="194">
        <v>-2.0000000000000018E-2</v>
      </c>
      <c r="F46" s="259">
        <v>0</v>
      </c>
      <c r="G46" s="192">
        <f t="shared" si="0"/>
        <v>-23219.61</v>
      </c>
      <c r="H46" s="192">
        <f t="shared" si="1"/>
        <v>23219.614020000019</v>
      </c>
    </row>
    <row r="47" spans="1:8" x14ac:dyDescent="0.35">
      <c r="A47" s="181"/>
      <c r="B47" s="181"/>
      <c r="C47" s="191"/>
      <c r="D47" s="209"/>
      <c r="E47" s="212"/>
      <c r="F47" s="258"/>
      <c r="G47" s="192"/>
      <c r="H47" s="192"/>
    </row>
    <row r="48" spans="1:8" x14ac:dyDescent="0.35">
      <c r="A48" s="181"/>
      <c r="B48" s="181" t="s">
        <v>79</v>
      </c>
      <c r="C48" s="191"/>
      <c r="D48" s="209"/>
      <c r="E48" s="212"/>
      <c r="F48" s="258"/>
      <c r="G48" s="192"/>
      <c r="H48" s="192"/>
    </row>
    <row r="49" spans="1:8" x14ac:dyDescent="0.35">
      <c r="A49" s="181"/>
      <c r="B49" s="181" t="s">
        <v>164</v>
      </c>
      <c r="C49" s="191" t="s">
        <v>237</v>
      </c>
      <c r="D49" s="209">
        <f>'Normalized Therms'!$P$18*'12ME Dec18 Bill Freq'!N36</f>
        <v>1129776.96</v>
      </c>
      <c r="E49" s="135">
        <v>-1.6500000000000126E-3</v>
      </c>
      <c r="F49" s="258">
        <v>0</v>
      </c>
      <c r="G49" s="192" t="s">
        <v>276</v>
      </c>
      <c r="H49" s="192" t="s">
        <v>276</v>
      </c>
    </row>
    <row r="50" spans="1:8" x14ac:dyDescent="0.35">
      <c r="A50" s="181"/>
      <c r="B50" s="181" t="s">
        <v>165</v>
      </c>
      <c r="C50" s="191" t="s">
        <v>237</v>
      </c>
      <c r="D50" s="209">
        <f>'Normalized Therms'!$P$18*'12ME Dec18 Bill Freq'!N37</f>
        <v>4274079.34</v>
      </c>
      <c r="E50" s="135">
        <v>-1.6500000000000126E-3</v>
      </c>
      <c r="F50" s="258">
        <v>0</v>
      </c>
      <c r="G50" s="192">
        <f t="shared" si="0"/>
        <v>-7052.23</v>
      </c>
      <c r="H50" s="192">
        <f t="shared" si="1"/>
        <v>7052.2309110000533</v>
      </c>
    </row>
    <row r="51" spans="1:8" x14ac:dyDescent="0.35">
      <c r="A51" s="181"/>
      <c r="B51" s="181" t="s">
        <v>166</v>
      </c>
      <c r="C51" s="191" t="s">
        <v>237</v>
      </c>
      <c r="D51" s="209">
        <f>'Normalized Therms'!$P$18*'12ME Dec18 Bill Freq'!N38</f>
        <v>15088478.149073856</v>
      </c>
      <c r="E51" s="135">
        <v>-1.1800000000000005E-3</v>
      </c>
      <c r="F51" s="258">
        <v>0</v>
      </c>
      <c r="G51" s="192">
        <f t="shared" si="0"/>
        <v>-17804.400000000001</v>
      </c>
      <c r="H51" s="192">
        <f t="shared" si="1"/>
        <v>17804.404215907158</v>
      </c>
    </row>
    <row r="52" spans="1:8" x14ac:dyDescent="0.35">
      <c r="A52" s="181"/>
      <c r="B52" s="188"/>
      <c r="C52" s="178"/>
      <c r="D52" s="209"/>
      <c r="E52" s="212"/>
      <c r="F52" s="258"/>
      <c r="G52" s="192"/>
      <c r="H52" s="192"/>
    </row>
    <row r="53" spans="1:8" x14ac:dyDescent="0.35">
      <c r="A53" s="172" t="s">
        <v>222</v>
      </c>
      <c r="C53" s="178"/>
      <c r="D53" s="209"/>
      <c r="E53" s="212"/>
      <c r="F53" s="258"/>
      <c r="G53" s="192"/>
      <c r="H53" s="192"/>
    </row>
    <row r="54" spans="1:8" x14ac:dyDescent="0.35">
      <c r="B54" s="178" t="s">
        <v>234</v>
      </c>
      <c r="C54" s="178" t="s">
        <v>235</v>
      </c>
      <c r="D54" s="209">
        <f>'12ME Dec18 Data'!N29</f>
        <v>329.5178182456545</v>
      </c>
      <c r="E54" s="194">
        <v>-7.4400000000000546</v>
      </c>
      <c r="F54" s="259">
        <v>0</v>
      </c>
      <c r="G54" s="192">
        <f t="shared" si="0"/>
        <v>-2451.61</v>
      </c>
      <c r="H54" s="192">
        <f t="shared" si="1"/>
        <v>2451.6125677476875</v>
      </c>
    </row>
    <row r="55" spans="1:8" x14ac:dyDescent="0.35">
      <c r="B55" s="191" t="s">
        <v>78</v>
      </c>
      <c r="C55" s="191" t="s">
        <v>204</v>
      </c>
      <c r="D55" s="209">
        <f>'12ME Dec18 Data'!N11</f>
        <v>86412.906999999992</v>
      </c>
      <c r="E55" s="194">
        <v>-2.0000000000000018E-2</v>
      </c>
      <c r="F55" s="259">
        <v>0</v>
      </c>
      <c r="G55" s="192">
        <f t="shared" si="0"/>
        <v>-1728.26</v>
      </c>
      <c r="H55" s="192">
        <f t="shared" si="1"/>
        <v>1728.2581400000013</v>
      </c>
    </row>
    <row r="56" spans="1:8" x14ac:dyDescent="0.35">
      <c r="B56" s="191" t="s">
        <v>87</v>
      </c>
      <c r="C56" s="191" t="s">
        <v>237</v>
      </c>
      <c r="D56" s="209">
        <f>'Normalized Therms'!P14</f>
        <v>16184434.068649085</v>
      </c>
      <c r="E56" s="135">
        <v>-1.0000000000000026E-4</v>
      </c>
      <c r="F56" s="258">
        <v>0</v>
      </c>
      <c r="G56" s="192">
        <f t="shared" si="0"/>
        <v>-1618.44</v>
      </c>
      <c r="H56" s="192">
        <f t="shared" si="1"/>
        <v>1618.4434068649127</v>
      </c>
    </row>
    <row r="57" spans="1:8" x14ac:dyDescent="0.35">
      <c r="B57" s="191"/>
      <c r="C57" s="191"/>
      <c r="D57" s="209"/>
      <c r="E57" s="212"/>
      <c r="F57" s="258"/>
      <c r="G57" s="192"/>
      <c r="H57" s="192"/>
    </row>
    <row r="58" spans="1:8" x14ac:dyDescent="0.35">
      <c r="B58" s="191" t="s">
        <v>79</v>
      </c>
      <c r="C58" s="191"/>
      <c r="D58" s="209"/>
      <c r="E58" s="212"/>
      <c r="F58" s="258"/>
      <c r="G58" s="192"/>
      <c r="H58" s="192"/>
    </row>
    <row r="59" spans="1:8" x14ac:dyDescent="0.35">
      <c r="B59" s="191" t="s">
        <v>223</v>
      </c>
      <c r="C59" s="191" t="s">
        <v>237</v>
      </c>
      <c r="D59" s="209">
        <f>'Normalized Therms'!$P$14*'12ME Dec18 Bill Freq'!N13</f>
        <v>7617621.6730000013</v>
      </c>
      <c r="E59" s="135">
        <v>-1.350000000000004E-3</v>
      </c>
      <c r="F59" s="258">
        <v>0</v>
      </c>
      <c r="G59" s="192">
        <f t="shared" si="0"/>
        <v>-10283.790000000001</v>
      </c>
      <c r="H59" s="192">
        <f t="shared" si="1"/>
        <v>10283.789258550032</v>
      </c>
    </row>
    <row r="60" spans="1:8" x14ac:dyDescent="0.35">
      <c r="B60" s="191" t="s">
        <v>224</v>
      </c>
      <c r="C60" s="191" t="s">
        <v>237</v>
      </c>
      <c r="D60" s="209">
        <f>'Normalized Therms'!$P$14*'12ME Dec18 Bill Freq'!N14</f>
        <v>4021281.8229999999</v>
      </c>
      <c r="E60" s="135">
        <v>-6.6999999999999699E-4</v>
      </c>
      <c r="F60" s="258">
        <v>0</v>
      </c>
      <c r="G60" s="192">
        <f t="shared" si="0"/>
        <v>-2694.26</v>
      </c>
      <c r="H60" s="192">
        <f t="shared" si="1"/>
        <v>2694.2588214099878</v>
      </c>
    </row>
    <row r="61" spans="1:8" x14ac:dyDescent="0.35">
      <c r="B61" s="191" t="s">
        <v>225</v>
      </c>
      <c r="C61" s="191" t="s">
        <v>237</v>
      </c>
      <c r="D61" s="209">
        <f>'Normalized Therms'!$P$14*'12ME Dec18 Bill Freq'!N15</f>
        <v>4545530.572649084</v>
      </c>
      <c r="E61" s="135">
        <v>-6.4000000000000168E-4</v>
      </c>
      <c r="F61" s="258">
        <v>0</v>
      </c>
      <c r="G61" s="192">
        <f t="shared" si="0"/>
        <v>-2909.14</v>
      </c>
      <c r="H61" s="192">
        <f t="shared" si="1"/>
        <v>2909.1395664954216</v>
      </c>
    </row>
    <row r="62" spans="1:8" x14ac:dyDescent="0.35">
      <c r="B62" s="178"/>
      <c r="C62" s="178"/>
      <c r="D62" s="209"/>
      <c r="E62" s="212"/>
      <c r="F62" s="258"/>
      <c r="G62" s="192"/>
      <c r="H62" s="192"/>
    </row>
    <row r="63" spans="1:8" x14ac:dyDescent="0.35">
      <c r="A63" s="172" t="s">
        <v>226</v>
      </c>
      <c r="C63" s="178"/>
      <c r="D63" s="209"/>
      <c r="E63" s="212"/>
      <c r="F63" s="258"/>
      <c r="G63" s="192"/>
      <c r="H63" s="192"/>
    </row>
    <row r="64" spans="1:8" x14ac:dyDescent="0.35">
      <c r="B64" s="178" t="s">
        <v>234</v>
      </c>
      <c r="C64" s="178" t="s">
        <v>235</v>
      </c>
      <c r="D64" s="209">
        <f>'12ME Dec18 Data'!N30</f>
        <v>1199.4001036779719</v>
      </c>
      <c r="E64" s="194">
        <v>-11.790000000000077</v>
      </c>
      <c r="F64" s="259">
        <v>0</v>
      </c>
      <c r="G64" s="192">
        <f t="shared" si="0"/>
        <v>-14140.93</v>
      </c>
      <c r="H64" s="192">
        <f t="shared" si="1"/>
        <v>14140.927222363382</v>
      </c>
    </row>
    <row r="65" spans="1:8" x14ac:dyDescent="0.35">
      <c r="B65" s="191" t="s">
        <v>78</v>
      </c>
      <c r="C65" s="191" t="s">
        <v>204</v>
      </c>
      <c r="D65" s="209">
        <f>'12ME Dec18 Data'!N12</f>
        <v>697056</v>
      </c>
      <c r="E65" s="194">
        <v>-2.0000000000000018E-2</v>
      </c>
      <c r="F65" s="259">
        <v>0</v>
      </c>
      <c r="G65" s="192">
        <f t="shared" si="0"/>
        <v>-13941.12</v>
      </c>
      <c r="H65" s="192">
        <f t="shared" si="1"/>
        <v>13941.120000000012</v>
      </c>
    </row>
    <row r="66" spans="1:8" x14ac:dyDescent="0.35">
      <c r="B66" s="191"/>
      <c r="C66" s="191"/>
      <c r="D66" s="209"/>
      <c r="E66" s="212"/>
      <c r="F66" s="258"/>
      <c r="G66" s="192"/>
      <c r="H66" s="192"/>
    </row>
    <row r="67" spans="1:8" x14ac:dyDescent="0.35">
      <c r="B67" s="191" t="s">
        <v>79</v>
      </c>
      <c r="C67" s="191"/>
      <c r="D67" s="209"/>
      <c r="E67" s="212"/>
      <c r="F67" s="258"/>
      <c r="G67" s="192"/>
      <c r="H67" s="192"/>
    </row>
    <row r="68" spans="1:8" x14ac:dyDescent="0.35">
      <c r="B68" s="191" t="s">
        <v>223</v>
      </c>
      <c r="C68" s="191" t="s">
        <v>237</v>
      </c>
      <c r="D68" s="209">
        <f>'Normalized Therms'!$P$19*'12ME Dec18 Bill Freq'!N43</f>
        <v>28123063.68</v>
      </c>
      <c r="E68" s="135">
        <v>-1.3299999999999979E-3</v>
      </c>
      <c r="F68" s="258">
        <v>0</v>
      </c>
      <c r="G68" s="192">
        <f t="shared" si="0"/>
        <v>-37403.67</v>
      </c>
      <c r="H68" s="192">
        <f t="shared" si="1"/>
        <v>37403.674694399939</v>
      </c>
    </row>
    <row r="69" spans="1:8" x14ac:dyDescent="0.35">
      <c r="B69" s="191" t="s">
        <v>224</v>
      </c>
      <c r="C69" s="191" t="s">
        <v>237</v>
      </c>
      <c r="D69" s="209">
        <f>'Normalized Therms'!$P$19*'12ME Dec18 Bill Freq'!N44</f>
        <v>18732272.720000003</v>
      </c>
      <c r="E69" s="135">
        <v>-6.6000000000000086E-4</v>
      </c>
      <c r="F69" s="258">
        <v>0</v>
      </c>
      <c r="G69" s="192">
        <f t="shared" si="0"/>
        <v>-12363.3</v>
      </c>
      <c r="H69" s="192">
        <f t="shared" si="1"/>
        <v>12363.299995200017</v>
      </c>
    </row>
    <row r="70" spans="1:8" x14ac:dyDescent="0.35">
      <c r="B70" s="191" t="s">
        <v>227</v>
      </c>
      <c r="C70" s="191" t="s">
        <v>237</v>
      </c>
      <c r="D70" s="209">
        <f>'Normalized Therms'!$P$19*'12ME Dec18 Bill Freq'!N45</f>
        <v>27918200.734971087</v>
      </c>
      <c r="E70" s="135">
        <v>-6.2999999999999862E-4</v>
      </c>
      <c r="F70" s="258">
        <v>0</v>
      </c>
      <c r="G70" s="192">
        <f t="shared" si="0"/>
        <v>-17588.47</v>
      </c>
      <c r="H70" s="192">
        <f t="shared" si="1"/>
        <v>17588.466463031746</v>
      </c>
    </row>
    <row r="71" spans="1:8" x14ac:dyDescent="0.35">
      <c r="B71" s="178"/>
      <c r="C71" s="178"/>
      <c r="D71" s="209"/>
      <c r="E71" s="212"/>
      <c r="F71" s="258"/>
      <c r="G71" s="192"/>
      <c r="H71" s="192"/>
    </row>
    <row r="72" spans="1:8" x14ac:dyDescent="0.35">
      <c r="A72" s="172" t="s">
        <v>228</v>
      </c>
      <c r="C72" s="178"/>
      <c r="D72" s="209"/>
      <c r="E72" s="212"/>
      <c r="F72" s="258"/>
      <c r="G72" s="192"/>
      <c r="H72" s="192"/>
    </row>
    <row r="73" spans="1:8" x14ac:dyDescent="0.35">
      <c r="B73" s="178" t="s">
        <v>234</v>
      </c>
      <c r="C73" s="178" t="s">
        <v>235</v>
      </c>
      <c r="D73" s="209">
        <f>'12ME Dec18 Data'!N31</f>
        <v>2661.5565121011946</v>
      </c>
      <c r="E73" s="194">
        <v>-1.9200000000000159</v>
      </c>
      <c r="F73" s="259">
        <v>0</v>
      </c>
      <c r="G73" s="192">
        <f t="shared" si="0"/>
        <v>-5110.1899999999996</v>
      </c>
      <c r="H73" s="192">
        <f t="shared" si="1"/>
        <v>5110.1885032343362</v>
      </c>
    </row>
    <row r="74" spans="1:8" x14ac:dyDescent="0.35">
      <c r="B74" s="191" t="s">
        <v>78</v>
      </c>
      <c r="C74" s="191" t="s">
        <v>204</v>
      </c>
      <c r="D74" s="209">
        <f>'12ME Dec18 Data'!N13</f>
        <v>82401.308999999994</v>
      </c>
      <c r="E74" s="194">
        <v>-2.0000000000000018E-2</v>
      </c>
      <c r="F74" s="259">
        <v>0</v>
      </c>
      <c r="G74" s="192">
        <f t="shared" ref="G74:G137" si="4">ROUND(E74*D74,2)</f>
        <v>-1648.03</v>
      </c>
      <c r="H74" s="192">
        <f t="shared" ref="H74:H137" si="5">(F74-E74)*D74</f>
        <v>1648.0261800000014</v>
      </c>
    </row>
    <row r="75" spans="1:8" x14ac:dyDescent="0.35">
      <c r="B75" s="191" t="s">
        <v>87</v>
      </c>
      <c r="C75" s="191" t="s">
        <v>237</v>
      </c>
      <c r="D75" s="209">
        <f>'Normalized Therms'!P15</f>
        <v>9397200.2729263529</v>
      </c>
      <c r="E75" s="135">
        <v>-1.2999999999999991E-4</v>
      </c>
      <c r="F75" s="258">
        <v>0</v>
      </c>
      <c r="G75" s="192">
        <f t="shared" si="4"/>
        <v>-1221.6400000000001</v>
      </c>
      <c r="H75" s="192">
        <f t="shared" si="5"/>
        <v>1221.6360354804251</v>
      </c>
    </row>
    <row r="76" spans="1:8" x14ac:dyDescent="0.35">
      <c r="B76" s="191"/>
      <c r="C76" s="191"/>
      <c r="D76" s="209"/>
      <c r="E76" s="212"/>
      <c r="F76" s="258"/>
      <c r="G76" s="192"/>
      <c r="H76" s="192"/>
    </row>
    <row r="77" spans="1:8" x14ac:dyDescent="0.35">
      <c r="B77" s="191" t="s">
        <v>79</v>
      </c>
      <c r="C77" s="191"/>
      <c r="D77" s="209"/>
      <c r="E77" s="212"/>
      <c r="F77" s="258"/>
      <c r="G77" s="192"/>
      <c r="H77" s="192"/>
    </row>
    <row r="78" spans="1:8" x14ac:dyDescent="0.35">
      <c r="B78" s="181" t="s">
        <v>94</v>
      </c>
      <c r="C78" s="181" t="s">
        <v>237</v>
      </c>
      <c r="D78" s="209">
        <f>'Normalized Therms'!$P$15*'12ME Dec18 Bill Freq'!N20</f>
        <v>2054251.267</v>
      </c>
      <c r="E78" s="135">
        <v>-2.6599999999999957E-3</v>
      </c>
      <c r="F78" s="258">
        <v>0</v>
      </c>
      <c r="G78" s="192">
        <f t="shared" si="4"/>
        <v>-5464.31</v>
      </c>
      <c r="H78" s="192">
        <f t="shared" si="5"/>
        <v>5464.308370219991</v>
      </c>
    </row>
    <row r="79" spans="1:8" x14ac:dyDescent="0.35">
      <c r="B79" s="181" t="s">
        <v>172</v>
      </c>
      <c r="C79" s="181" t="s">
        <v>237</v>
      </c>
      <c r="D79" s="209">
        <f>'Normalized Therms'!$P$15*'12ME Dec18 Bill Freq'!N21</f>
        <v>7342949.005926352</v>
      </c>
      <c r="E79" s="135">
        <v>-1.8900000000000028E-3</v>
      </c>
      <c r="F79" s="258">
        <v>0</v>
      </c>
      <c r="G79" s="192">
        <f t="shared" si="4"/>
        <v>-13878.17</v>
      </c>
      <c r="H79" s="192">
        <f t="shared" si="5"/>
        <v>13878.173621200825</v>
      </c>
    </row>
    <row r="80" spans="1:8" x14ac:dyDescent="0.35">
      <c r="B80" s="178"/>
      <c r="C80" s="178"/>
      <c r="D80" s="209"/>
      <c r="E80" s="212"/>
      <c r="F80" s="258"/>
      <c r="G80" s="192"/>
      <c r="H80" s="192"/>
    </row>
    <row r="81" spans="1:8" x14ac:dyDescent="0.35">
      <c r="A81" s="172" t="s">
        <v>229</v>
      </c>
      <c r="C81" s="178"/>
      <c r="D81" s="209"/>
      <c r="E81" s="212"/>
      <c r="F81" s="258"/>
      <c r="G81" s="192"/>
      <c r="H81" s="192"/>
    </row>
    <row r="82" spans="1:8" x14ac:dyDescent="0.35">
      <c r="A82" s="191"/>
      <c r="B82" s="178" t="s">
        <v>234</v>
      </c>
      <c r="C82" s="178" t="s">
        <v>235</v>
      </c>
      <c r="D82" s="209">
        <f>'12ME Dec18 Data'!N32</f>
        <v>22.033330326537975</v>
      </c>
      <c r="E82" s="194">
        <v>-6.6999999999999886</v>
      </c>
      <c r="F82" s="259">
        <v>0</v>
      </c>
      <c r="G82" s="192">
        <f t="shared" si="4"/>
        <v>-147.62</v>
      </c>
      <c r="H82" s="192">
        <f t="shared" si="5"/>
        <v>147.62331318780417</v>
      </c>
    </row>
    <row r="83" spans="1:8" x14ac:dyDescent="0.35">
      <c r="A83" s="191"/>
      <c r="B83" s="191" t="s">
        <v>78</v>
      </c>
      <c r="C83" s="191" t="s">
        <v>204</v>
      </c>
      <c r="D83" s="209">
        <f>'12ME Dec18 Data'!N14</f>
        <v>9750</v>
      </c>
      <c r="E83" s="194">
        <v>-2.0000000000000018E-2</v>
      </c>
      <c r="F83" s="259">
        <v>0</v>
      </c>
      <c r="G83" s="192">
        <f t="shared" si="4"/>
        <v>-195</v>
      </c>
      <c r="H83" s="192">
        <f t="shared" si="5"/>
        <v>195.00000000000017</v>
      </c>
    </row>
    <row r="84" spans="1:8" x14ac:dyDescent="0.35">
      <c r="A84" s="191"/>
      <c r="B84" s="191" t="s">
        <v>240</v>
      </c>
      <c r="C84" s="191"/>
      <c r="D84" s="209"/>
      <c r="E84" s="212"/>
      <c r="F84" s="258"/>
      <c r="G84" s="192"/>
      <c r="H84" s="192"/>
    </row>
    <row r="85" spans="1:8" x14ac:dyDescent="0.35">
      <c r="A85" s="191"/>
      <c r="B85" s="191"/>
      <c r="C85" s="191"/>
      <c r="D85" s="209"/>
      <c r="E85" s="212"/>
      <c r="F85" s="258"/>
      <c r="G85" s="192"/>
      <c r="H85" s="192"/>
    </row>
    <row r="86" spans="1:8" x14ac:dyDescent="0.35">
      <c r="A86" s="191"/>
      <c r="B86" s="191" t="s">
        <v>79</v>
      </c>
      <c r="C86" s="191"/>
      <c r="D86" s="209"/>
      <c r="E86" s="212"/>
      <c r="F86" s="258"/>
      <c r="G86" s="192"/>
      <c r="H86" s="192"/>
    </row>
    <row r="87" spans="1:8" x14ac:dyDescent="0.35">
      <c r="A87" s="191"/>
      <c r="B87" s="181" t="s">
        <v>94</v>
      </c>
      <c r="C87" s="181" t="s">
        <v>237</v>
      </c>
      <c r="D87" s="209">
        <f>'Normalized Therms'!$P$20*'12ME Dec18 Bill Freq'!N50</f>
        <v>23011.74</v>
      </c>
      <c r="E87" s="135">
        <v>-2.9099999999999959E-3</v>
      </c>
      <c r="F87" s="258">
        <v>0</v>
      </c>
      <c r="G87" s="192">
        <f t="shared" si="4"/>
        <v>-66.959999999999994</v>
      </c>
      <c r="H87" s="192">
        <f t="shared" si="5"/>
        <v>66.964163399999904</v>
      </c>
    </row>
    <row r="88" spans="1:8" x14ac:dyDescent="0.35">
      <c r="A88" s="191"/>
      <c r="B88" s="181" t="s">
        <v>172</v>
      </c>
      <c r="C88" s="181" t="s">
        <v>237</v>
      </c>
      <c r="D88" s="209">
        <f>'Normalized Therms'!$P$20*'12ME Dec18 Bill Freq'!N51</f>
        <v>328276.40999999997</v>
      </c>
      <c r="E88" s="135">
        <v>-2.0600000000000063E-3</v>
      </c>
      <c r="F88" s="258">
        <v>0</v>
      </c>
      <c r="G88" s="192">
        <f t="shared" si="4"/>
        <v>-676.25</v>
      </c>
      <c r="H88" s="192">
        <f t="shared" si="5"/>
        <v>676.24940460000198</v>
      </c>
    </row>
    <row r="89" spans="1:8" x14ac:dyDescent="0.35">
      <c r="A89" s="191"/>
      <c r="B89" s="178"/>
      <c r="C89" s="178"/>
      <c r="D89" s="209"/>
      <c r="E89" s="212"/>
      <c r="F89" s="258"/>
      <c r="G89" s="192"/>
      <c r="H89" s="192"/>
    </row>
    <row r="90" spans="1:8" x14ac:dyDescent="0.35">
      <c r="A90" s="172" t="s">
        <v>230</v>
      </c>
      <c r="C90" s="178"/>
      <c r="D90" s="209"/>
      <c r="E90" s="212"/>
      <c r="F90" s="258"/>
      <c r="G90" s="192"/>
      <c r="H90" s="192"/>
    </row>
    <row r="91" spans="1:8" x14ac:dyDescent="0.35">
      <c r="B91" s="178" t="s">
        <v>234</v>
      </c>
      <c r="C91" s="178" t="s">
        <v>235</v>
      </c>
      <c r="D91" s="209">
        <f>'12ME Dec18 Data'!N33</f>
        <v>60.025001175986063</v>
      </c>
      <c r="E91" s="194">
        <v>-7.9800000000000182</v>
      </c>
      <c r="F91" s="259">
        <v>0</v>
      </c>
      <c r="G91" s="192">
        <f t="shared" si="4"/>
        <v>-479</v>
      </c>
      <c r="H91" s="192">
        <f t="shared" si="5"/>
        <v>478.99950938436984</v>
      </c>
    </row>
    <row r="92" spans="1:8" x14ac:dyDescent="0.35">
      <c r="B92" s="191" t="s">
        <v>78</v>
      </c>
      <c r="C92" s="191" t="s">
        <v>204</v>
      </c>
      <c r="D92" s="209">
        <f>'12ME Dec18 Data'!N15</f>
        <v>0</v>
      </c>
      <c r="E92" s="194">
        <v>-1.9999999999999796E-2</v>
      </c>
      <c r="F92" s="259">
        <v>0</v>
      </c>
      <c r="G92" s="192">
        <f t="shared" si="4"/>
        <v>0</v>
      </c>
      <c r="H92" s="192">
        <f t="shared" si="5"/>
        <v>0</v>
      </c>
    </row>
    <row r="93" spans="1:8" x14ac:dyDescent="0.35">
      <c r="B93" s="191" t="s">
        <v>87</v>
      </c>
      <c r="C93" s="191"/>
      <c r="D93" s="209">
        <f>'Normalized Therms'!P16</f>
        <v>23337042.118500698</v>
      </c>
      <c r="E93" s="135">
        <v>-8.9999999999999802E-5</v>
      </c>
      <c r="F93" s="258">
        <v>0</v>
      </c>
      <c r="G93" s="192">
        <f t="shared" si="4"/>
        <v>-2100.33</v>
      </c>
      <c r="H93" s="192">
        <f t="shared" si="5"/>
        <v>2100.3337906650581</v>
      </c>
    </row>
    <row r="94" spans="1:8" x14ac:dyDescent="0.35">
      <c r="B94" s="191"/>
      <c r="C94" s="191"/>
      <c r="D94" s="209"/>
      <c r="E94" s="212"/>
      <c r="F94" s="258"/>
      <c r="G94" s="192"/>
      <c r="H94" s="192"/>
    </row>
    <row r="95" spans="1:8" x14ac:dyDescent="0.35">
      <c r="B95" s="191" t="s">
        <v>79</v>
      </c>
      <c r="C95" s="191"/>
      <c r="D95" s="209"/>
      <c r="E95" s="212"/>
      <c r="F95" s="258"/>
      <c r="G95" s="192"/>
      <c r="H95" s="192"/>
    </row>
    <row r="96" spans="1:8" x14ac:dyDescent="0.35">
      <c r="B96" s="191" t="s">
        <v>223</v>
      </c>
      <c r="C96" s="191" t="s">
        <v>237</v>
      </c>
      <c r="D96" s="209">
        <f>'Normalized Therms'!$P$16*'12ME Dec18 Bill Freq'!N26</f>
        <v>1500625.1840000001</v>
      </c>
      <c r="E96" s="135">
        <v>-1.9899999999999918E-3</v>
      </c>
      <c r="F96" s="258">
        <v>0</v>
      </c>
      <c r="G96" s="192">
        <f t="shared" si="4"/>
        <v>-2986.24</v>
      </c>
      <c r="H96" s="192">
        <f t="shared" si="5"/>
        <v>2986.2441161599877</v>
      </c>
    </row>
    <row r="97" spans="1:8" x14ac:dyDescent="0.35">
      <c r="B97" s="191" t="s">
        <v>224</v>
      </c>
      <c r="C97" s="191" t="s">
        <v>237</v>
      </c>
      <c r="D97" s="209">
        <f>'Normalized Therms'!$P$16*'12ME Dec18 Bill Freq'!N27</f>
        <v>1470839.4030000002</v>
      </c>
      <c r="E97" s="135">
        <v>-1.1999999999999927E-3</v>
      </c>
      <c r="F97" s="258">
        <v>0</v>
      </c>
      <c r="G97" s="192">
        <f t="shared" si="4"/>
        <v>-1765.01</v>
      </c>
      <c r="H97" s="192">
        <f t="shared" si="5"/>
        <v>1765.0072835999895</v>
      </c>
    </row>
    <row r="98" spans="1:8" x14ac:dyDescent="0.35">
      <c r="B98" s="191" t="s">
        <v>227</v>
      </c>
      <c r="C98" s="191" t="s">
        <v>237</v>
      </c>
      <c r="D98" s="209">
        <f>'Normalized Therms'!$P$16*'12ME Dec18 Bill Freq'!N28</f>
        <v>2603460.2510000006</v>
      </c>
      <c r="E98" s="135">
        <v>-7.6999999999999985E-4</v>
      </c>
      <c r="F98" s="258">
        <v>0</v>
      </c>
      <c r="G98" s="192">
        <f t="shared" si="4"/>
        <v>-2004.66</v>
      </c>
      <c r="H98" s="192">
        <f t="shared" si="5"/>
        <v>2004.6643932700001</v>
      </c>
    </row>
    <row r="99" spans="1:8" x14ac:dyDescent="0.35">
      <c r="B99" s="191" t="s">
        <v>100</v>
      </c>
      <c r="C99" s="191" t="s">
        <v>237</v>
      </c>
      <c r="D99" s="209">
        <f>'Normalized Therms'!$P$16*'12ME Dec18 Bill Freq'!N29</f>
        <v>3197116.5290000001</v>
      </c>
      <c r="E99" s="135">
        <v>-4.8999999999999738E-4</v>
      </c>
      <c r="F99" s="258">
        <v>0</v>
      </c>
      <c r="G99" s="192">
        <f t="shared" si="4"/>
        <v>-1566.59</v>
      </c>
      <c r="H99" s="192">
        <f t="shared" si="5"/>
        <v>1566.5870992099917</v>
      </c>
    </row>
    <row r="100" spans="1:8" x14ac:dyDescent="0.35">
      <c r="B100" s="191" t="s">
        <v>101</v>
      </c>
      <c r="C100" s="191" t="s">
        <v>237</v>
      </c>
      <c r="D100" s="209">
        <f>'Normalized Therms'!$P$16*'12ME Dec18 Bill Freq'!N30</f>
        <v>3739136.742000001</v>
      </c>
      <c r="E100" s="135">
        <v>-3.4999999999999962E-4</v>
      </c>
      <c r="F100" s="258">
        <v>0</v>
      </c>
      <c r="G100" s="192">
        <f t="shared" si="4"/>
        <v>-1308.7</v>
      </c>
      <c r="H100" s="192">
        <f t="shared" si="5"/>
        <v>1308.6978596999988</v>
      </c>
    </row>
    <row r="101" spans="1:8" x14ac:dyDescent="0.35">
      <c r="B101" s="191" t="s">
        <v>174</v>
      </c>
      <c r="C101" s="191" t="s">
        <v>237</v>
      </c>
      <c r="D101" s="209">
        <f>'Normalized Therms'!$P$16*'12ME Dec18 Bill Freq'!N31</f>
        <v>10825864.009500695</v>
      </c>
      <c r="E101" s="135">
        <v>-2.6999999999999941E-4</v>
      </c>
      <c r="F101" s="258">
        <v>0</v>
      </c>
      <c r="G101" s="192">
        <f t="shared" si="4"/>
        <v>-2922.98</v>
      </c>
      <c r="H101" s="192">
        <f t="shared" si="5"/>
        <v>2922.9832825651815</v>
      </c>
    </row>
    <row r="102" spans="1:8" x14ac:dyDescent="0.35">
      <c r="B102" s="178"/>
      <c r="C102" s="178"/>
      <c r="D102" s="209"/>
      <c r="E102" s="212"/>
      <c r="F102" s="258"/>
      <c r="G102" s="192"/>
      <c r="H102" s="192"/>
    </row>
    <row r="103" spans="1:8" x14ac:dyDescent="0.35">
      <c r="A103" s="172" t="s">
        <v>231</v>
      </c>
      <c r="C103" s="178"/>
      <c r="D103" s="209"/>
      <c r="E103" s="212"/>
      <c r="F103" s="258"/>
      <c r="G103" s="192"/>
      <c r="H103" s="192"/>
    </row>
    <row r="104" spans="1:8" x14ac:dyDescent="0.35">
      <c r="A104" s="191"/>
      <c r="B104" s="178" t="s">
        <v>234</v>
      </c>
      <c r="C104" s="178" t="s">
        <v>235</v>
      </c>
      <c r="D104" s="209">
        <f>'12ME Dec18 Data'!N34</f>
        <v>118.76667017913593</v>
      </c>
      <c r="E104" s="194">
        <v>-12.150000000000091</v>
      </c>
      <c r="F104" s="259">
        <v>0</v>
      </c>
      <c r="G104" s="192">
        <f t="shared" si="4"/>
        <v>-1443.02</v>
      </c>
      <c r="H104" s="192">
        <f t="shared" si="5"/>
        <v>1443.0150426765124</v>
      </c>
    </row>
    <row r="105" spans="1:8" x14ac:dyDescent="0.35">
      <c r="A105" s="191"/>
      <c r="B105" s="191" t="s">
        <v>78</v>
      </c>
      <c r="C105" s="191" t="s">
        <v>204</v>
      </c>
      <c r="D105" s="209">
        <f>'12ME Dec18 Data'!N16</f>
        <v>308558</v>
      </c>
      <c r="E105" s="194">
        <v>-1.9999999999999796E-2</v>
      </c>
      <c r="F105" s="259">
        <v>0</v>
      </c>
      <c r="G105" s="192">
        <f t="shared" si="4"/>
        <v>-6171.16</v>
      </c>
      <c r="H105" s="192">
        <f t="shared" si="5"/>
        <v>6171.1599999999371</v>
      </c>
    </row>
    <row r="106" spans="1:8" x14ac:dyDescent="0.35">
      <c r="A106" s="191"/>
      <c r="B106" s="191" t="s">
        <v>240</v>
      </c>
      <c r="C106" s="191"/>
      <c r="D106" s="209"/>
      <c r="E106" s="212"/>
      <c r="F106" s="258"/>
      <c r="G106" s="192"/>
      <c r="H106" s="192"/>
    </row>
    <row r="107" spans="1:8" x14ac:dyDescent="0.35">
      <c r="A107" s="191"/>
      <c r="B107" s="181"/>
      <c r="C107" s="191"/>
      <c r="D107" s="209"/>
      <c r="E107" s="212"/>
      <c r="F107" s="258"/>
      <c r="G107" s="192"/>
      <c r="H107" s="192"/>
    </row>
    <row r="108" spans="1:8" x14ac:dyDescent="0.35">
      <c r="A108" s="191"/>
      <c r="B108" s="191" t="s">
        <v>79</v>
      </c>
      <c r="C108" s="191"/>
      <c r="D108" s="209"/>
      <c r="E108" s="212"/>
      <c r="F108" s="258"/>
      <c r="G108" s="192"/>
      <c r="H108" s="192"/>
    </row>
    <row r="109" spans="1:8" x14ac:dyDescent="0.35">
      <c r="A109" s="191"/>
      <c r="B109" s="191" t="s">
        <v>223</v>
      </c>
      <c r="C109" s="191" t="s">
        <v>237</v>
      </c>
      <c r="D109" s="209">
        <f>'Normalized Therms'!$P$21*'12ME Dec18 Bill Freq'!N56</f>
        <v>3000000</v>
      </c>
      <c r="E109" s="135">
        <v>-1.8900000000000028E-3</v>
      </c>
      <c r="F109" s="258">
        <v>0</v>
      </c>
      <c r="G109" s="192">
        <f t="shared" si="4"/>
        <v>-5670</v>
      </c>
      <c r="H109" s="192">
        <f t="shared" si="5"/>
        <v>5670.0000000000082</v>
      </c>
    </row>
    <row r="110" spans="1:8" x14ac:dyDescent="0.35">
      <c r="A110" s="191"/>
      <c r="B110" s="191" t="s">
        <v>224</v>
      </c>
      <c r="C110" s="191" t="s">
        <v>237</v>
      </c>
      <c r="D110" s="209">
        <f>'Normalized Therms'!$P$21*'12ME Dec18 Bill Freq'!N57</f>
        <v>3000000</v>
      </c>
      <c r="E110" s="135">
        <v>-1.1400000000000021E-3</v>
      </c>
      <c r="F110" s="258">
        <v>0</v>
      </c>
      <c r="G110" s="192">
        <f t="shared" si="4"/>
        <v>-3420</v>
      </c>
      <c r="H110" s="192">
        <f t="shared" si="5"/>
        <v>3420.0000000000064</v>
      </c>
    </row>
    <row r="111" spans="1:8" x14ac:dyDescent="0.35">
      <c r="A111" s="191"/>
      <c r="B111" s="191" t="s">
        <v>227</v>
      </c>
      <c r="C111" s="191" t="s">
        <v>237</v>
      </c>
      <c r="D111" s="209">
        <f>'Normalized Therms'!$P$21*'12ME Dec18 Bill Freq'!N58</f>
        <v>5983755.4799999995</v>
      </c>
      <c r="E111" s="135">
        <v>-7.3000000000000148E-4</v>
      </c>
      <c r="F111" s="258">
        <v>0</v>
      </c>
      <c r="G111" s="192">
        <f t="shared" si="4"/>
        <v>-4368.1400000000003</v>
      </c>
      <c r="H111" s="192">
        <f t="shared" si="5"/>
        <v>4368.1415004000082</v>
      </c>
    </row>
    <row r="112" spans="1:8" x14ac:dyDescent="0.35">
      <c r="A112" s="191"/>
      <c r="B112" s="191" t="s">
        <v>100</v>
      </c>
      <c r="C112" s="191" t="s">
        <v>237</v>
      </c>
      <c r="D112" s="209">
        <f>'Normalized Therms'!$P$21*'12ME Dec18 Bill Freq'!N59</f>
        <v>11737512.850000001</v>
      </c>
      <c r="E112" s="135">
        <v>-4.699999999999982E-4</v>
      </c>
      <c r="F112" s="258">
        <v>0</v>
      </c>
      <c r="G112" s="192">
        <f t="shared" si="4"/>
        <v>-5516.63</v>
      </c>
      <c r="H112" s="192">
        <f t="shared" si="5"/>
        <v>5516.6310394999791</v>
      </c>
    </row>
    <row r="113" spans="1:8" x14ac:dyDescent="0.35">
      <c r="A113" s="191"/>
      <c r="B113" s="191" t="s">
        <v>101</v>
      </c>
      <c r="C113" s="191" t="s">
        <v>237</v>
      </c>
      <c r="D113" s="209">
        <f>'Normalized Therms'!$P$21*'12ME Dec18 Bill Freq'!N60</f>
        <v>26253607.010000002</v>
      </c>
      <c r="E113" s="135">
        <v>-3.4000000000000002E-4</v>
      </c>
      <c r="F113" s="258">
        <v>0</v>
      </c>
      <c r="G113" s="192">
        <f t="shared" si="4"/>
        <v>-8926.23</v>
      </c>
      <c r="H113" s="192">
        <f t="shared" si="5"/>
        <v>8926.2263834000005</v>
      </c>
    </row>
    <row r="114" spans="1:8" x14ac:dyDescent="0.35">
      <c r="A114" s="191"/>
      <c r="B114" s="191" t="s">
        <v>174</v>
      </c>
      <c r="C114" s="191" t="s">
        <v>237</v>
      </c>
      <c r="D114" s="209">
        <f>'Normalized Therms'!$P$21*'12ME Dec18 Bill Freq'!N61</f>
        <v>50466253.034701236</v>
      </c>
      <c r="E114" s="135">
        <v>-2.5999999999999981E-4</v>
      </c>
      <c r="F114" s="258">
        <v>0</v>
      </c>
      <c r="G114" s="192">
        <f t="shared" si="4"/>
        <v>-13121.23</v>
      </c>
      <c r="H114" s="192">
        <f t="shared" si="5"/>
        <v>13121.225789022312</v>
      </c>
    </row>
    <row r="115" spans="1:8" x14ac:dyDescent="0.35">
      <c r="A115" s="191"/>
      <c r="B115" s="191"/>
      <c r="C115" s="178"/>
      <c r="D115" s="209"/>
      <c r="E115" s="212"/>
      <c r="F115" s="258"/>
      <c r="G115" s="192"/>
      <c r="H115" s="192"/>
    </row>
    <row r="116" spans="1:8" x14ac:dyDescent="0.35">
      <c r="A116" s="172" t="s">
        <v>120</v>
      </c>
      <c r="B116" s="191"/>
      <c r="C116" s="191"/>
      <c r="D116" s="209"/>
      <c r="E116" s="212"/>
      <c r="F116" s="258"/>
      <c r="G116" s="192"/>
      <c r="H116" s="192"/>
    </row>
    <row r="117" spans="1:8" x14ac:dyDescent="0.35">
      <c r="B117" s="169" t="s">
        <v>121</v>
      </c>
      <c r="C117" s="169" t="s">
        <v>122</v>
      </c>
      <c r="D117" s="209">
        <f>'12ME Dec18 Rentals'!O5</f>
        <v>12263</v>
      </c>
      <c r="E117" s="194">
        <v>-0.10000000000000053</v>
      </c>
      <c r="F117" s="259">
        <v>0</v>
      </c>
      <c r="G117" s="192">
        <f t="shared" si="4"/>
        <v>-1226.3</v>
      </c>
      <c r="H117" s="192">
        <f t="shared" si="5"/>
        <v>1226.3000000000065</v>
      </c>
    </row>
    <row r="118" spans="1:8" x14ac:dyDescent="0.35">
      <c r="B118" s="169" t="s">
        <v>123</v>
      </c>
      <c r="C118" s="169" t="s">
        <v>124</v>
      </c>
      <c r="D118" s="209">
        <f>'12ME Dec18 Rentals'!O6</f>
        <v>190792</v>
      </c>
      <c r="E118" s="194">
        <v>-0.16999999999999993</v>
      </c>
      <c r="F118" s="259">
        <v>0</v>
      </c>
      <c r="G118" s="192">
        <f t="shared" si="4"/>
        <v>-32434.639999999999</v>
      </c>
      <c r="H118" s="192">
        <f t="shared" si="5"/>
        <v>32434.639999999985</v>
      </c>
    </row>
    <row r="119" spans="1:8" x14ac:dyDescent="0.35">
      <c r="B119" s="169" t="s">
        <v>125</v>
      </c>
      <c r="C119" s="169" t="s">
        <v>126</v>
      </c>
      <c r="D119" s="209">
        <f>'12ME Dec18 Rentals'!O7</f>
        <v>36011</v>
      </c>
      <c r="E119" s="194">
        <v>-0.22999999999999687</v>
      </c>
      <c r="F119" s="259">
        <v>0</v>
      </c>
      <c r="G119" s="192">
        <f t="shared" si="4"/>
        <v>-8282.5300000000007</v>
      </c>
      <c r="H119" s="192">
        <f t="shared" si="5"/>
        <v>8282.5299999998879</v>
      </c>
    </row>
    <row r="120" spans="1:8" x14ac:dyDescent="0.35">
      <c r="B120" s="169" t="s">
        <v>127</v>
      </c>
      <c r="C120" s="169" t="s">
        <v>128</v>
      </c>
      <c r="D120" s="209">
        <f>'12ME Dec18 Rentals'!O8</f>
        <v>7959</v>
      </c>
      <c r="E120" s="194">
        <v>-0.23000000000000043</v>
      </c>
      <c r="F120" s="259">
        <v>0</v>
      </c>
      <c r="G120" s="192">
        <f t="shared" si="4"/>
        <v>-1830.57</v>
      </c>
      <c r="H120" s="192">
        <f t="shared" si="5"/>
        <v>1830.5700000000033</v>
      </c>
    </row>
    <row r="121" spans="1:8" x14ac:dyDescent="0.35">
      <c r="B121" s="169" t="s">
        <v>129</v>
      </c>
      <c r="C121" s="169" t="s">
        <v>130</v>
      </c>
      <c r="D121" s="209">
        <f>'12ME Dec18 Rentals'!O9</f>
        <v>40377</v>
      </c>
      <c r="E121" s="194">
        <v>-8.0000000000000071E-2</v>
      </c>
      <c r="F121" s="259">
        <v>0</v>
      </c>
      <c r="G121" s="192">
        <f t="shared" si="4"/>
        <v>-3230.16</v>
      </c>
      <c r="H121" s="192">
        <f t="shared" si="5"/>
        <v>3230.160000000003</v>
      </c>
    </row>
    <row r="122" spans="1:8" x14ac:dyDescent="0.35">
      <c r="B122" s="169" t="s">
        <v>131</v>
      </c>
      <c r="C122" s="169" t="s">
        <v>132</v>
      </c>
      <c r="D122" s="209">
        <f>'12ME Dec18 Rentals'!O10</f>
        <v>2345</v>
      </c>
      <c r="E122" s="194">
        <v>-0.14000000000000057</v>
      </c>
      <c r="F122" s="259">
        <v>0</v>
      </c>
      <c r="G122" s="192">
        <f t="shared" si="4"/>
        <v>-328.3</v>
      </c>
      <c r="H122" s="192">
        <f t="shared" si="5"/>
        <v>328.30000000000132</v>
      </c>
    </row>
    <row r="123" spans="1:8" x14ac:dyDescent="0.35">
      <c r="B123" s="169"/>
      <c r="C123" s="191"/>
      <c r="D123" s="209"/>
      <c r="E123" s="212"/>
      <c r="F123" s="258"/>
      <c r="G123" s="192"/>
      <c r="H123" s="192"/>
    </row>
    <row r="124" spans="1:8" x14ac:dyDescent="0.35">
      <c r="A124" s="172" t="s">
        <v>134</v>
      </c>
      <c r="B124" s="169"/>
      <c r="C124" s="191"/>
      <c r="D124" s="209"/>
      <c r="E124" s="212"/>
      <c r="F124" s="258"/>
      <c r="G124" s="192"/>
      <c r="H124" s="192"/>
    </row>
    <row r="125" spans="1:8" x14ac:dyDescent="0.35">
      <c r="B125" s="169" t="s">
        <v>135</v>
      </c>
      <c r="C125" s="169" t="s">
        <v>136</v>
      </c>
      <c r="D125" s="209">
        <f>'12ME Dec18 Rentals'!O14</f>
        <v>1384</v>
      </c>
      <c r="E125" s="194">
        <v>-0.20000000000000107</v>
      </c>
      <c r="F125" s="259">
        <v>0</v>
      </c>
      <c r="G125" s="192">
        <f t="shared" si="4"/>
        <v>-276.8</v>
      </c>
      <c r="H125" s="192">
        <f t="shared" si="5"/>
        <v>276.80000000000149</v>
      </c>
    </row>
    <row r="126" spans="1:8" x14ac:dyDescent="0.35">
      <c r="B126" s="169" t="s">
        <v>137</v>
      </c>
      <c r="C126" s="169" t="s">
        <v>138</v>
      </c>
      <c r="D126" s="209">
        <f>'12ME Dec18 Rentals'!O15</f>
        <v>1036</v>
      </c>
      <c r="E126" s="194">
        <v>-0.27000000000000313</v>
      </c>
      <c r="F126" s="259">
        <v>0</v>
      </c>
      <c r="G126" s="192">
        <f t="shared" si="4"/>
        <v>-279.72000000000003</v>
      </c>
      <c r="H126" s="192">
        <f t="shared" si="5"/>
        <v>279.72000000000321</v>
      </c>
    </row>
    <row r="127" spans="1:8" x14ac:dyDescent="0.35">
      <c r="B127" s="169" t="s">
        <v>139</v>
      </c>
      <c r="C127" s="169" t="s">
        <v>140</v>
      </c>
      <c r="D127" s="209">
        <f>'12ME Dec18 Rentals'!O16</f>
        <v>2711</v>
      </c>
      <c r="E127" s="194">
        <v>-0.27000000000000313</v>
      </c>
      <c r="F127" s="259">
        <v>0</v>
      </c>
      <c r="G127" s="192">
        <f t="shared" si="4"/>
        <v>-731.97</v>
      </c>
      <c r="H127" s="192">
        <f t="shared" si="5"/>
        <v>731.97000000000844</v>
      </c>
    </row>
    <row r="128" spans="1:8" x14ac:dyDescent="0.35">
      <c r="B128" s="169" t="s">
        <v>141</v>
      </c>
      <c r="C128" s="169" t="s">
        <v>142</v>
      </c>
      <c r="D128" s="209">
        <f>'12ME Dec18 Rentals'!O17</f>
        <v>157</v>
      </c>
      <c r="E128" s="194">
        <v>-0.41999999999999815</v>
      </c>
      <c r="F128" s="259">
        <v>0</v>
      </c>
      <c r="G128" s="192">
        <f t="shared" si="4"/>
        <v>-65.94</v>
      </c>
      <c r="H128" s="192">
        <f t="shared" si="5"/>
        <v>65.939999999999714</v>
      </c>
    </row>
    <row r="129" spans="1:8" x14ac:dyDescent="0.35">
      <c r="B129" s="169" t="s">
        <v>143</v>
      </c>
      <c r="C129" s="169" t="s">
        <v>144</v>
      </c>
      <c r="D129" s="209">
        <f>'12ME Dec18 Rentals'!O18</f>
        <v>6638</v>
      </c>
      <c r="E129" s="194">
        <v>-0.54999999999999716</v>
      </c>
      <c r="F129" s="259">
        <v>0</v>
      </c>
      <c r="G129" s="192">
        <f t="shared" si="4"/>
        <v>-3650.9</v>
      </c>
      <c r="H129" s="192">
        <f t="shared" si="5"/>
        <v>3650.899999999981</v>
      </c>
    </row>
    <row r="130" spans="1:8" x14ac:dyDescent="0.35">
      <c r="B130" s="169" t="s">
        <v>145</v>
      </c>
      <c r="C130" s="169" t="s">
        <v>146</v>
      </c>
      <c r="D130" s="209">
        <f>'12ME Dec18 Rentals'!O19</f>
        <v>4526</v>
      </c>
      <c r="E130" s="194">
        <v>-0.74000000000000199</v>
      </c>
      <c r="F130" s="259">
        <v>0</v>
      </c>
      <c r="G130" s="192">
        <f t="shared" si="4"/>
        <v>-3349.24</v>
      </c>
      <c r="H130" s="192">
        <f t="shared" si="5"/>
        <v>3349.2400000000089</v>
      </c>
    </row>
    <row r="131" spans="1:8" x14ac:dyDescent="0.35">
      <c r="B131" s="169" t="s">
        <v>147</v>
      </c>
      <c r="C131" s="169" t="s">
        <v>148</v>
      </c>
      <c r="D131" s="209">
        <f>'12ME Dec18 Rentals'!O20</f>
        <v>13159</v>
      </c>
      <c r="E131" s="194">
        <v>-0.86000000000000654</v>
      </c>
      <c r="F131" s="259">
        <v>0</v>
      </c>
      <c r="G131" s="192">
        <f t="shared" si="4"/>
        <v>-11316.74</v>
      </c>
      <c r="H131" s="192">
        <f t="shared" si="5"/>
        <v>11316.740000000085</v>
      </c>
    </row>
    <row r="132" spans="1:8" x14ac:dyDescent="0.35">
      <c r="A132" s="178"/>
      <c r="B132" s="191"/>
      <c r="C132" s="191"/>
      <c r="D132" s="209"/>
      <c r="E132" s="212"/>
      <c r="F132" s="258"/>
      <c r="G132" s="192"/>
      <c r="H132" s="192"/>
    </row>
    <row r="133" spans="1:8" x14ac:dyDescent="0.35">
      <c r="A133" s="172" t="s">
        <v>150</v>
      </c>
      <c r="B133" s="191"/>
      <c r="C133" s="191"/>
      <c r="D133" s="209"/>
      <c r="E133" s="212"/>
      <c r="F133" s="258"/>
      <c r="G133" s="192"/>
      <c r="H133" s="192"/>
    </row>
    <row r="134" spans="1:8" x14ac:dyDescent="0.35">
      <c r="B134" s="169" t="s">
        <v>151</v>
      </c>
      <c r="C134" s="169" t="s">
        <v>152</v>
      </c>
      <c r="D134" s="209">
        <f>'12ME Dec18 Rentals'!O24</f>
        <v>11501</v>
      </c>
      <c r="E134" s="194">
        <v>-0.14000000000000057</v>
      </c>
      <c r="F134" s="259">
        <v>0</v>
      </c>
      <c r="G134" s="192">
        <f t="shared" si="4"/>
        <v>-1610.14</v>
      </c>
      <c r="H134" s="192">
        <f t="shared" si="5"/>
        <v>1610.1400000000065</v>
      </c>
    </row>
    <row r="135" spans="1:8" x14ac:dyDescent="0.35">
      <c r="B135" s="169" t="s">
        <v>153</v>
      </c>
      <c r="C135" s="169" t="s">
        <v>154</v>
      </c>
      <c r="D135" s="209">
        <f>'12ME Dec18 Rentals'!O25</f>
        <v>844</v>
      </c>
      <c r="E135" s="194">
        <v>-0.38000000000000256</v>
      </c>
      <c r="F135" s="259">
        <v>0</v>
      </c>
      <c r="G135" s="192">
        <f t="shared" si="4"/>
        <v>-320.72000000000003</v>
      </c>
      <c r="H135" s="192">
        <f t="shared" si="5"/>
        <v>320.72000000000219</v>
      </c>
    </row>
    <row r="136" spans="1:8" x14ac:dyDescent="0.35">
      <c r="B136" s="169" t="s">
        <v>155</v>
      </c>
      <c r="C136" s="169" t="s">
        <v>156</v>
      </c>
      <c r="D136" s="209">
        <f>'12ME Dec18 Rentals'!O26</f>
        <v>541</v>
      </c>
      <c r="E136" s="194">
        <v>-0.50999999999999801</v>
      </c>
      <c r="F136" s="259">
        <v>0</v>
      </c>
      <c r="G136" s="192">
        <f t="shared" si="4"/>
        <v>-275.91000000000003</v>
      </c>
      <c r="H136" s="192">
        <f t="shared" si="5"/>
        <v>275.90999999999894</v>
      </c>
    </row>
    <row r="137" spans="1:8" x14ac:dyDescent="0.35">
      <c r="B137" s="169" t="s">
        <v>157</v>
      </c>
      <c r="C137" s="169" t="s">
        <v>158</v>
      </c>
      <c r="D137" s="209">
        <f>'12ME Dec18 Rentals'!O27</f>
        <v>19205</v>
      </c>
      <c r="E137" s="194">
        <v>-0.20999999999999908</v>
      </c>
      <c r="F137" s="259">
        <v>0</v>
      </c>
      <c r="G137" s="192">
        <f t="shared" si="4"/>
        <v>-4033.05</v>
      </c>
      <c r="H137" s="192">
        <f t="shared" si="5"/>
        <v>4033.0499999999824</v>
      </c>
    </row>
    <row r="138" spans="1:8" x14ac:dyDescent="0.35">
      <c r="B138" s="191"/>
      <c r="C138" s="191"/>
      <c r="D138" s="210"/>
      <c r="F138" s="13"/>
      <c r="H138" s="192"/>
    </row>
    <row r="139" spans="1:8" x14ac:dyDescent="0.35">
      <c r="A139" s="152" t="s">
        <v>13</v>
      </c>
      <c r="B139" s="181"/>
      <c r="C139" s="181" t="s">
        <v>237</v>
      </c>
      <c r="D139" s="211">
        <f>'Normalized Therms'!P22</f>
        <v>37056427.854413897</v>
      </c>
      <c r="E139" s="194"/>
      <c r="G139" s="241">
        <v>-11662.625379653648</v>
      </c>
      <c r="H139" s="192">
        <f>-G139</f>
        <v>11662.625379653648</v>
      </c>
    </row>
    <row r="141" spans="1:8" x14ac:dyDescent="0.35">
      <c r="A141" s="190" t="s">
        <v>6</v>
      </c>
    </row>
    <row r="142" spans="1:8" x14ac:dyDescent="0.35">
      <c r="B142" s="190" t="s">
        <v>237</v>
      </c>
      <c r="D142" s="193">
        <f>SUM(D10,D14,D21,D26,D37:D39,D49:D51,D59:D61,D68:D70,D78:D79,D87:D88,D96:D101,D109:D114,D139)</f>
        <v>1191294883.0992644</v>
      </c>
    </row>
    <row r="143" spans="1:8" x14ac:dyDescent="0.35">
      <c r="B143" s="190" t="s">
        <v>204</v>
      </c>
      <c r="D143" s="193">
        <f>SUM(D34,D46,D55,D65,D74,D83,D92,D105)</f>
        <v>6811576.591</v>
      </c>
    </row>
    <row r="144" spans="1:8" x14ac:dyDescent="0.35">
      <c r="B144" s="190" t="s">
        <v>234</v>
      </c>
      <c r="D144" s="193">
        <f>SUM(D9,D13,D20,D25,D32,D44,D54,D64,D73,D82,D91,D104)</f>
        <v>10115573.875453494</v>
      </c>
    </row>
    <row r="146" spans="2:4" x14ac:dyDescent="0.35">
      <c r="B146" s="213" t="s">
        <v>241</v>
      </c>
      <c r="C146" s="191"/>
      <c r="D146" s="191"/>
    </row>
    <row r="147" spans="2:4" x14ac:dyDescent="0.35">
      <c r="B147" s="190" t="s">
        <v>243</v>
      </c>
      <c r="C147" s="190" t="s">
        <v>242</v>
      </c>
      <c r="D147" s="193">
        <f>SUM(D10,D14,D21,D26,D37:D39,D49:D51,D56,D68:D70,D75,D87:D88,D93,D109:D114,D139)-('Normalized Therms'!P23-'Normalized Therms'!P10)</f>
        <v>0</v>
      </c>
    </row>
    <row r="148" spans="2:4" x14ac:dyDescent="0.35">
      <c r="B148" s="190" t="s">
        <v>204</v>
      </c>
      <c r="D148" s="193">
        <f>SUM(D34,D46,D55,D65,D74,D83,D92,D105)-SUM('12ME Dec18 Data'!N9:N16)</f>
        <v>0</v>
      </c>
    </row>
    <row r="149" spans="2:4" x14ac:dyDescent="0.35">
      <c r="B149" s="190" t="s">
        <v>234</v>
      </c>
      <c r="D149" s="193">
        <f>SUM(D9,D13,D20,D25,D32,D44,D54,D64,D73,D82,D91,D104)-SUM('12ME Dec18 Data'!N23:N34)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2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23" sqref="C23"/>
    </sheetView>
  </sheetViews>
  <sheetFormatPr defaultRowHeight="14.5" x14ac:dyDescent="0.35"/>
  <cols>
    <col min="1" max="1" width="38.7265625" customWidth="1"/>
    <col min="2" max="2" width="9.1796875" bestFit="1" customWidth="1"/>
    <col min="3" max="3" width="15.81640625" customWidth="1"/>
    <col min="4" max="6" width="16.26953125" customWidth="1"/>
    <col min="7" max="7" width="15.1796875" customWidth="1"/>
    <col min="8" max="8" width="7.81640625" bestFit="1" customWidth="1"/>
  </cols>
  <sheetData>
    <row r="1" spans="1:9" s="75" customFormat="1" ht="12.5" x14ac:dyDescent="0.25">
      <c r="A1" s="337" t="s">
        <v>0</v>
      </c>
      <c r="B1" s="337"/>
      <c r="C1" s="337"/>
      <c r="D1" s="337"/>
      <c r="E1" s="337"/>
      <c r="F1" s="337"/>
      <c r="G1" s="337"/>
      <c r="H1" s="337"/>
      <c r="I1" s="74"/>
    </row>
    <row r="2" spans="1:9" s="75" customFormat="1" ht="12.5" x14ac:dyDescent="0.25">
      <c r="A2" s="337" t="s">
        <v>310</v>
      </c>
      <c r="B2" s="337"/>
      <c r="C2" s="337"/>
      <c r="D2" s="337"/>
      <c r="E2" s="337"/>
      <c r="F2" s="337"/>
      <c r="G2" s="337"/>
      <c r="H2" s="337"/>
      <c r="I2" s="74"/>
    </row>
    <row r="3" spans="1:9" s="75" customFormat="1" ht="12.5" x14ac:dyDescent="0.25">
      <c r="A3" s="337" t="s">
        <v>311</v>
      </c>
      <c r="B3" s="337"/>
      <c r="C3" s="337"/>
      <c r="D3" s="337"/>
      <c r="E3" s="337"/>
      <c r="F3" s="337"/>
      <c r="G3" s="337"/>
      <c r="H3" s="337"/>
      <c r="I3" s="74"/>
    </row>
    <row r="4" spans="1:9" x14ac:dyDescent="0.35">
      <c r="D4" s="263"/>
      <c r="E4" s="263"/>
    </row>
    <row r="5" spans="1:9" x14ac:dyDescent="0.3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294</v>
      </c>
      <c r="H5" s="5"/>
    </row>
    <row r="6" spans="1:9" x14ac:dyDescent="0.35">
      <c r="A6" s="5"/>
      <c r="B6" s="5" t="s">
        <v>17</v>
      </c>
      <c r="C6" s="5" t="s">
        <v>3</v>
      </c>
      <c r="D6" s="5" t="s">
        <v>294</v>
      </c>
      <c r="E6" s="5" t="s">
        <v>294</v>
      </c>
      <c r="F6" s="5" t="s">
        <v>15</v>
      </c>
      <c r="G6" s="5" t="s">
        <v>2</v>
      </c>
      <c r="H6" s="5" t="s">
        <v>20</v>
      </c>
    </row>
    <row r="7" spans="1:9" x14ac:dyDescent="0.3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35">
      <c r="A8" t="s">
        <v>7</v>
      </c>
      <c r="B8" s="8" t="s">
        <v>30</v>
      </c>
      <c r="C8" s="183">
        <f>SUM('Normalized Therms'!P9,'Normalized Therms'!P11)</f>
        <v>609248315.15931809</v>
      </c>
      <c r="D8" s="135">
        <v>-1.0580000000000001E-2</v>
      </c>
      <c r="E8" s="135">
        <v>-1.0580000000000001E-2</v>
      </c>
      <c r="F8" s="161">
        <f>C8*D8</f>
        <v>-6445847.1743855858</v>
      </c>
      <c r="G8" s="12">
        <f>(E8-D8)*C8</f>
        <v>0</v>
      </c>
      <c r="H8" s="2"/>
    </row>
    <row r="9" spans="1:9" x14ac:dyDescent="0.35">
      <c r="A9" t="s">
        <v>31</v>
      </c>
      <c r="B9" s="8">
        <v>16</v>
      </c>
      <c r="C9" s="198">
        <f>'Normalized Therms'!P10</f>
        <v>9386</v>
      </c>
      <c r="D9" s="135">
        <v>-1.0580000000000001E-2</v>
      </c>
      <c r="E9" s="135">
        <v>-1.0580000000000001E-2</v>
      </c>
      <c r="F9" s="161">
        <f t="shared" ref="F9:F19" si="0">C9*D9</f>
        <v>-99.303880000000007</v>
      </c>
      <c r="G9" s="12">
        <f t="shared" ref="G9:G20" si="1">(E9-D9)*C9</f>
        <v>0</v>
      </c>
      <c r="H9" s="2"/>
    </row>
    <row r="10" spans="1:9" x14ac:dyDescent="0.35">
      <c r="A10" t="s">
        <v>8</v>
      </c>
      <c r="B10" s="8">
        <v>31</v>
      </c>
      <c r="C10" s="183">
        <f>'Normalized Therms'!P12</f>
        <v>234140158.08963937</v>
      </c>
      <c r="D10" s="135">
        <v>-1.1730000000000001E-2</v>
      </c>
      <c r="E10" s="135">
        <v>-1.1730000000000001E-2</v>
      </c>
      <c r="F10" s="161">
        <f t="shared" si="0"/>
        <v>-2746464.0543914698</v>
      </c>
      <c r="G10" s="12">
        <f>(E10-D10)*C10</f>
        <v>0</v>
      </c>
      <c r="H10" s="2"/>
    </row>
    <row r="11" spans="1:9" x14ac:dyDescent="0.35">
      <c r="A11" t="s">
        <v>9</v>
      </c>
      <c r="B11" s="8">
        <v>41</v>
      </c>
      <c r="C11" s="183">
        <f>'Normalized Therms'!P13</f>
        <v>65836657.463465482</v>
      </c>
      <c r="D11" s="135">
        <v>-4.6600000000000001E-3</v>
      </c>
      <c r="E11" s="135">
        <v>-4.6600000000000001E-3</v>
      </c>
      <c r="F11" s="161">
        <f t="shared" si="0"/>
        <v>-306798.82377974916</v>
      </c>
      <c r="G11" s="12">
        <f t="shared" si="1"/>
        <v>0</v>
      </c>
      <c r="H11" s="2"/>
    </row>
    <row r="12" spans="1:9" x14ac:dyDescent="0.35">
      <c r="A12" t="s">
        <v>10</v>
      </c>
      <c r="B12" s="8">
        <v>85</v>
      </c>
      <c r="C12" s="183">
        <f>'Normalized Therms'!P14</f>
        <v>16184434.068649085</v>
      </c>
      <c r="D12" s="135">
        <v>-2.5600000000000002E-3</v>
      </c>
      <c r="E12" s="135">
        <v>-2.5600000000000002E-3</v>
      </c>
      <c r="F12" s="161">
        <f t="shared" si="0"/>
        <v>-41432.151215741658</v>
      </c>
      <c r="G12" s="12">
        <f t="shared" si="1"/>
        <v>0</v>
      </c>
      <c r="H12" s="2"/>
    </row>
    <row r="13" spans="1:9" x14ac:dyDescent="0.35">
      <c r="A13" t="s">
        <v>11</v>
      </c>
      <c r="B13" s="8">
        <v>86</v>
      </c>
      <c r="C13" s="183">
        <f>'Normalized Therms'!P15</f>
        <v>9397200.2729263529</v>
      </c>
      <c r="D13" s="135">
        <v>-4.1700000000000001E-3</v>
      </c>
      <c r="E13" s="135">
        <v>-4.1700000000000001E-3</v>
      </c>
      <c r="F13" s="161">
        <f t="shared" si="0"/>
        <v>-39186.325138102889</v>
      </c>
      <c r="G13" s="12">
        <f t="shared" si="1"/>
        <v>0</v>
      </c>
      <c r="H13" s="2"/>
    </row>
    <row r="14" spans="1:9" x14ac:dyDescent="0.35">
      <c r="A14" t="s">
        <v>12</v>
      </c>
      <c r="B14" s="8">
        <v>87</v>
      </c>
      <c r="C14" s="183">
        <f>'Normalized Therms'!P16</f>
        <v>23337042.118500698</v>
      </c>
      <c r="D14" s="135">
        <v>-1.3799999999999999E-3</v>
      </c>
      <c r="E14" s="135">
        <v>-1.3799999999999999E-3</v>
      </c>
      <c r="F14" s="161">
        <f t="shared" si="0"/>
        <v>-32205.118123530963</v>
      </c>
      <c r="G14" s="12">
        <f t="shared" si="1"/>
        <v>0</v>
      </c>
      <c r="H14" s="2"/>
    </row>
    <row r="15" spans="1:9" x14ac:dyDescent="0.35">
      <c r="A15" t="s">
        <v>32</v>
      </c>
      <c r="B15" s="8" t="s">
        <v>33</v>
      </c>
      <c r="C15" s="183">
        <f>'Normalized Therms'!P17</f>
        <v>36359.963605097219</v>
      </c>
      <c r="D15" s="135">
        <v>-1.1730000000000001E-2</v>
      </c>
      <c r="E15" s="135">
        <v>-1.1730000000000001E-2</v>
      </c>
      <c r="F15" s="161">
        <f t="shared" si="0"/>
        <v>-426.50237308779043</v>
      </c>
      <c r="G15" s="12">
        <f t="shared" si="1"/>
        <v>0</v>
      </c>
      <c r="H15" s="2"/>
    </row>
    <row r="16" spans="1:9" x14ac:dyDescent="0.35">
      <c r="A16" t="s">
        <v>34</v>
      </c>
      <c r="B16" t="s">
        <v>35</v>
      </c>
      <c r="C16" s="183">
        <f>'Normalized Therms'!P18</f>
        <v>20492334.449073855</v>
      </c>
      <c r="D16" s="135">
        <v>-4.6600000000000001E-3</v>
      </c>
      <c r="E16" s="135">
        <v>-4.6600000000000001E-3</v>
      </c>
      <c r="F16" s="161">
        <f t="shared" si="0"/>
        <v>-95494.278532684169</v>
      </c>
      <c r="G16" s="12">
        <f t="shared" si="1"/>
        <v>0</v>
      </c>
      <c r="H16" s="2"/>
    </row>
    <row r="17" spans="1:11" x14ac:dyDescent="0.35">
      <c r="A17" t="s">
        <v>36</v>
      </c>
      <c r="B17" t="s">
        <v>37</v>
      </c>
      <c r="C17" s="183">
        <f>'Normalized Therms'!P19</f>
        <v>74773537.134971097</v>
      </c>
      <c r="D17" s="135">
        <v>-2.5600000000000002E-3</v>
      </c>
      <c r="E17" s="135">
        <v>-2.5600000000000002E-3</v>
      </c>
      <c r="F17" s="161">
        <f t="shared" si="0"/>
        <v>-191420.25506552603</v>
      </c>
      <c r="G17" s="12">
        <f t="shared" si="1"/>
        <v>0</v>
      </c>
      <c r="H17" s="2"/>
    </row>
    <row r="18" spans="1:11" x14ac:dyDescent="0.35">
      <c r="A18" t="s">
        <v>38</v>
      </c>
      <c r="B18" t="s">
        <v>39</v>
      </c>
      <c r="C18" s="183">
        <f>'Normalized Therms'!P20</f>
        <v>351288.14999999997</v>
      </c>
      <c r="D18" s="135">
        <v>-4.1700000000000001E-3</v>
      </c>
      <c r="E18" s="135">
        <v>-4.1700000000000001E-3</v>
      </c>
      <c r="F18" s="161">
        <f t="shared" si="0"/>
        <v>-1464.8715854999998</v>
      </c>
      <c r="G18" s="12">
        <f t="shared" si="1"/>
        <v>0</v>
      </c>
      <c r="H18" s="2"/>
    </row>
    <row r="19" spans="1:11" x14ac:dyDescent="0.35">
      <c r="A19" t="s">
        <v>40</v>
      </c>
      <c r="B19" t="s">
        <v>41</v>
      </c>
      <c r="C19" s="183">
        <f>'Normalized Therms'!P21</f>
        <v>100441128.37470125</v>
      </c>
      <c r="D19" s="135">
        <v>-1.3799999999999999E-3</v>
      </c>
      <c r="E19" s="135">
        <v>-1.3799999999999999E-3</v>
      </c>
      <c r="F19" s="161">
        <f t="shared" si="0"/>
        <v>-138608.7571570877</v>
      </c>
      <c r="G19" s="12">
        <f t="shared" si="1"/>
        <v>0</v>
      </c>
      <c r="H19" s="2"/>
    </row>
    <row r="20" spans="1:11" x14ac:dyDescent="0.35">
      <c r="A20" t="s">
        <v>13</v>
      </c>
      <c r="C20" s="183">
        <f>'Normalized Therms'!P22</f>
        <v>37056427.854413897</v>
      </c>
      <c r="D20" s="14">
        <v>-1.74E-3</v>
      </c>
      <c r="E20" s="14">
        <v>-1.74E-3</v>
      </c>
      <c r="F20" s="161">
        <f>C20*D20</f>
        <v>-64478.184466680184</v>
      </c>
      <c r="G20" s="12">
        <f t="shared" si="1"/>
        <v>0</v>
      </c>
      <c r="H20" s="2"/>
    </row>
    <row r="21" spans="1:11" x14ac:dyDescent="0.35">
      <c r="A21" t="s">
        <v>6</v>
      </c>
      <c r="C21" s="15">
        <f>SUM(C8:C20)</f>
        <v>1191304269.0992641</v>
      </c>
      <c r="D21" s="9"/>
      <c r="E21" s="9"/>
      <c r="F21" s="162">
        <f t="shared" ref="F21:G21" si="2">SUM(F8:F20)</f>
        <v>-10103925.800094746</v>
      </c>
      <c r="G21" s="16">
        <f t="shared" si="2"/>
        <v>0</v>
      </c>
      <c r="H21" s="3">
        <f>G21/F21</f>
        <v>0</v>
      </c>
    </row>
    <row r="22" spans="1:11" s="24" customFormat="1" x14ac:dyDescent="0.35">
      <c r="A22" s="17"/>
      <c r="B22" s="18"/>
      <c r="C22" s="21"/>
      <c r="D22" s="20"/>
      <c r="E22" s="20"/>
      <c r="F22" s="20"/>
      <c r="G22" s="23"/>
    </row>
    <row r="23" spans="1:11" s="24" customFormat="1" x14ac:dyDescent="0.35">
      <c r="A23" s="17" t="s">
        <v>267</v>
      </c>
      <c r="B23" s="17"/>
      <c r="C23" s="207">
        <f>'12ME Dec18 Rentals'!$O$30</f>
        <v>351449</v>
      </c>
      <c r="D23" s="26">
        <v>-7.0000000000000007E-2</v>
      </c>
      <c r="E23" s="26">
        <v>-7.0000000000000007E-2</v>
      </c>
      <c r="F23" s="161">
        <f>D23*C23</f>
        <v>-24601.430000000004</v>
      </c>
      <c r="G23" s="12">
        <f t="shared" ref="G23" si="3">(E23-D23)*C23</f>
        <v>0</v>
      </c>
      <c r="H23" s="2"/>
      <c r="I23" s="27"/>
      <c r="J23" s="25"/>
      <c r="K23" s="28"/>
    </row>
    <row r="24" spans="1:11" s="24" customFormat="1" x14ac:dyDescent="0.35">
      <c r="A24" s="197" t="s">
        <v>6</v>
      </c>
      <c r="B24" s="197"/>
      <c r="C24" s="31"/>
      <c r="D24" s="31"/>
      <c r="E24" s="31"/>
      <c r="F24" s="30">
        <f t="shared" ref="F24:G24" si="4">F21+F23</f>
        <v>-10128527.230094746</v>
      </c>
      <c r="G24" s="30">
        <f t="shared" si="4"/>
        <v>0</v>
      </c>
      <c r="H24" s="3">
        <f t="shared" ref="H24" si="5">G24/F24</f>
        <v>0</v>
      </c>
      <c r="I24" s="27"/>
    </row>
    <row r="25" spans="1:11" x14ac:dyDescent="0.35">
      <c r="F25" s="12"/>
    </row>
    <row r="26" spans="1:11" x14ac:dyDescent="0.35">
      <c r="C26" s="32"/>
      <c r="F26" s="12"/>
    </row>
    <row r="27" spans="1:11" x14ac:dyDescent="0.3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zoomScaleNormal="100" workbookViewId="0">
      <pane ySplit="8" topLeftCell="A9" activePane="bottomLeft" state="frozen"/>
      <selection pane="bottomLeft" activeCell="L30" sqref="L30"/>
    </sheetView>
  </sheetViews>
  <sheetFormatPr defaultColWidth="9.1796875" defaultRowHeight="12.5" x14ac:dyDescent="0.25"/>
  <cols>
    <col min="1" max="1" width="2.54296875" style="105" customWidth="1"/>
    <col min="2" max="2" width="24.81640625" style="105" customWidth="1"/>
    <col min="3" max="3" width="8.7265625" style="105" bestFit="1" customWidth="1"/>
    <col min="4" max="5" width="16.54296875" style="105" bestFit="1" customWidth="1"/>
    <col min="6" max="6" width="11.7265625" style="105" customWidth="1"/>
    <col min="7" max="7" width="18" style="105" bestFit="1" customWidth="1"/>
    <col min="8" max="8" width="18" style="105" customWidth="1"/>
    <col min="9" max="9" width="15.54296875" style="105" customWidth="1"/>
    <col min="10" max="11" width="9.1796875" style="105"/>
    <col min="12" max="13" width="11.26953125" style="105" bestFit="1" customWidth="1"/>
    <col min="14" max="14" width="9.7265625" style="105" bestFit="1" customWidth="1"/>
    <col min="15" max="16384" width="9.1796875" style="105"/>
  </cols>
  <sheetData>
    <row r="1" spans="1:13" x14ac:dyDescent="0.25">
      <c r="A1" s="337" t="s">
        <v>0</v>
      </c>
      <c r="B1" s="337"/>
      <c r="C1" s="337"/>
      <c r="D1" s="337"/>
      <c r="E1" s="337"/>
      <c r="F1" s="337"/>
      <c r="G1" s="337"/>
      <c r="H1" s="337"/>
      <c r="I1" s="104"/>
    </row>
    <row r="2" spans="1:13" x14ac:dyDescent="0.25">
      <c r="A2" s="337" t="s">
        <v>271</v>
      </c>
      <c r="B2" s="337"/>
      <c r="C2" s="337"/>
      <c r="D2" s="337"/>
      <c r="E2" s="337"/>
      <c r="F2" s="337"/>
      <c r="G2" s="337"/>
      <c r="H2" s="337"/>
      <c r="I2" s="104"/>
    </row>
    <row r="3" spans="1:13" x14ac:dyDescent="0.25">
      <c r="A3" s="337" t="s">
        <v>311</v>
      </c>
      <c r="B3" s="337"/>
      <c r="C3" s="337"/>
      <c r="D3" s="337"/>
      <c r="E3" s="337"/>
      <c r="F3" s="337"/>
      <c r="G3" s="337"/>
      <c r="H3" s="337"/>
      <c r="I3" s="104"/>
    </row>
    <row r="4" spans="1:13" ht="13" x14ac:dyDescent="0.3">
      <c r="A4" s="159"/>
      <c r="B4" s="159"/>
      <c r="C4" s="159"/>
      <c r="D4" s="159"/>
      <c r="E4" s="159"/>
      <c r="F4" s="159"/>
      <c r="G4" s="159"/>
      <c r="H4" s="159"/>
      <c r="I4" s="104"/>
    </row>
    <row r="5" spans="1:13" x14ac:dyDescent="0.25">
      <c r="A5" s="234"/>
      <c r="B5" s="234"/>
      <c r="C5" s="234"/>
      <c r="D5" s="234"/>
      <c r="E5" s="234"/>
      <c r="F5" s="234"/>
      <c r="G5" s="234"/>
      <c r="H5" s="104"/>
    </row>
    <row r="6" spans="1:13" ht="15" customHeight="1" x14ac:dyDescent="0.35">
      <c r="C6" s="234"/>
      <c r="D6" s="5" t="s">
        <v>15</v>
      </c>
      <c r="E6" s="107" t="s">
        <v>5</v>
      </c>
      <c r="F6" s="107" t="s">
        <v>1</v>
      </c>
      <c r="G6" s="5"/>
      <c r="H6" s="234" t="s">
        <v>72</v>
      </c>
    </row>
    <row r="7" spans="1:13" ht="15" customHeight="1" x14ac:dyDescent="0.35">
      <c r="C7" s="234" t="s">
        <v>17</v>
      </c>
      <c r="D7" s="5" t="s">
        <v>3</v>
      </c>
      <c r="E7" s="107" t="s">
        <v>72</v>
      </c>
      <c r="F7" s="107" t="s">
        <v>72</v>
      </c>
      <c r="G7" s="5" t="s">
        <v>15</v>
      </c>
      <c r="H7" s="234" t="s">
        <v>74</v>
      </c>
    </row>
    <row r="8" spans="1:13" ht="14.5" x14ac:dyDescent="0.35">
      <c r="A8" s="236" t="s">
        <v>117</v>
      </c>
      <c r="B8" s="236"/>
      <c r="C8" s="237" t="s">
        <v>21</v>
      </c>
      <c r="D8" s="238" t="str">
        <f>'Base Rate Impacts'!$D$8</f>
        <v>Jan 18 - Dec 18</v>
      </c>
      <c r="E8" s="239" t="s">
        <v>22</v>
      </c>
      <c r="F8" s="239" t="s">
        <v>22</v>
      </c>
      <c r="G8" s="237" t="s">
        <v>247</v>
      </c>
      <c r="H8" s="237" t="s">
        <v>244</v>
      </c>
    </row>
    <row r="9" spans="1:13" x14ac:dyDescent="0.25">
      <c r="A9" s="111"/>
      <c r="B9" s="111"/>
      <c r="C9" s="111"/>
      <c r="D9" s="144"/>
      <c r="E9" s="112"/>
      <c r="F9" s="112"/>
      <c r="G9" s="111"/>
      <c r="H9" s="110"/>
    </row>
    <row r="10" spans="1:13" x14ac:dyDescent="0.25">
      <c r="A10" s="105" t="s">
        <v>7</v>
      </c>
      <c r="C10" s="234" t="s">
        <v>75</v>
      </c>
      <c r="D10" s="143">
        <f>SUM('Normalized Therms'!P9,'Normalized Therms'!P11)</f>
        <v>609248315.15931809</v>
      </c>
      <c r="E10" s="116">
        <v>1.9550000000000001E-2</v>
      </c>
      <c r="F10" s="116">
        <v>1.9550000000000001E-2</v>
      </c>
      <c r="G10" s="114">
        <f>ROUND(E10*D10,2)</f>
        <v>11910804.560000001</v>
      </c>
      <c r="H10" s="114">
        <f>ROUND((F10-E10)*D10,2)</f>
        <v>0</v>
      </c>
      <c r="K10" s="114"/>
      <c r="L10" s="114"/>
      <c r="M10" s="114"/>
    </row>
    <row r="11" spans="1:13" x14ac:dyDescent="0.25">
      <c r="C11" s="234"/>
      <c r="D11" s="145"/>
      <c r="E11" s="116"/>
      <c r="F11" s="116"/>
      <c r="G11" s="114"/>
      <c r="H11" s="114"/>
      <c r="K11" s="114"/>
      <c r="L11" s="114"/>
      <c r="M11" s="114"/>
    </row>
    <row r="12" spans="1:13" x14ac:dyDescent="0.25">
      <c r="A12" s="105" t="s">
        <v>76</v>
      </c>
      <c r="C12" s="234">
        <v>31</v>
      </c>
      <c r="K12" s="114"/>
      <c r="L12" s="114"/>
      <c r="M12" s="114"/>
    </row>
    <row r="13" spans="1:13" x14ac:dyDescent="0.25">
      <c r="B13" s="105" t="s">
        <v>79</v>
      </c>
      <c r="C13" s="234"/>
      <c r="D13" s="143">
        <f>'Normalized Therms'!$P$12</f>
        <v>234140158.08963937</v>
      </c>
      <c r="E13" s="116">
        <v>-1.0099999999999998E-2</v>
      </c>
      <c r="F13" s="116">
        <v>-1.0099999999999998E-2</v>
      </c>
      <c r="G13" s="114">
        <f>ROUND(E13*D13,2)</f>
        <v>-2364815.6</v>
      </c>
      <c r="H13" s="114">
        <f>ROUND((F13-E13)*D13,2)</f>
        <v>0</v>
      </c>
      <c r="K13" s="114"/>
      <c r="L13" s="114"/>
      <c r="M13" s="114"/>
    </row>
    <row r="14" spans="1:13" x14ac:dyDescent="0.25">
      <c r="B14" s="105" t="s">
        <v>87</v>
      </c>
      <c r="C14" s="234"/>
      <c r="D14" s="143">
        <f>'Normalized Therms'!$P$12</f>
        <v>234140158.08963937</v>
      </c>
      <c r="E14" s="116">
        <v>-2.9999999999999992E-4</v>
      </c>
      <c r="F14" s="116">
        <v>-2.9999999999999992E-4</v>
      </c>
      <c r="G14" s="114">
        <f>ROUND(E14*D14,2)</f>
        <v>-70242.05</v>
      </c>
      <c r="H14" s="114">
        <f>ROUND((F14-E14)*D14,2)</f>
        <v>0</v>
      </c>
      <c r="K14" s="114"/>
      <c r="L14" s="114"/>
      <c r="M14" s="114"/>
    </row>
    <row r="15" spans="1:13" x14ac:dyDescent="0.25">
      <c r="B15" s="105" t="s">
        <v>6</v>
      </c>
      <c r="C15" s="234"/>
      <c r="D15" s="143"/>
      <c r="E15" s="116"/>
      <c r="F15" s="116"/>
      <c r="G15" s="160">
        <f>SUM(G13:G14)</f>
        <v>-2435057.65</v>
      </c>
      <c r="H15" s="160">
        <f>SUM(H13:H14)</f>
        <v>0</v>
      </c>
      <c r="K15" s="114"/>
      <c r="L15" s="114"/>
      <c r="M15" s="114"/>
    </row>
    <row r="16" spans="1:13" x14ac:dyDescent="0.25">
      <c r="C16" s="234"/>
      <c r="D16" s="145"/>
      <c r="E16" s="116"/>
      <c r="F16" s="116"/>
      <c r="G16" s="114"/>
      <c r="H16" s="114"/>
      <c r="K16" s="114"/>
      <c r="L16" s="114"/>
      <c r="M16" s="114"/>
    </row>
    <row r="17" spans="1:13" x14ac:dyDescent="0.25">
      <c r="A17" s="105" t="s">
        <v>211</v>
      </c>
      <c r="C17" s="234" t="s">
        <v>33</v>
      </c>
      <c r="D17" s="145"/>
      <c r="E17" s="116"/>
      <c r="F17" s="116"/>
      <c r="G17" s="114"/>
      <c r="H17" s="114"/>
      <c r="K17" s="114"/>
      <c r="L17" s="114"/>
      <c r="M17" s="114"/>
    </row>
    <row r="18" spans="1:13" x14ac:dyDescent="0.25">
      <c r="B18" s="105" t="s">
        <v>79</v>
      </c>
      <c r="C18" s="234"/>
      <c r="D18" s="143">
        <f>'Normalized Therms'!P17</f>
        <v>36359.963605097219</v>
      </c>
      <c r="E18" s="116">
        <v>-9.8799999999999999E-3</v>
      </c>
      <c r="F18" s="116">
        <v>-9.8799999999999999E-3</v>
      </c>
      <c r="G18" s="114">
        <f>ROUND(E18*D18,2)</f>
        <v>-359.24</v>
      </c>
      <c r="H18" s="114">
        <f t="shared" ref="H18:H52" si="0">ROUND((F18-E18)*D18,2)</f>
        <v>0</v>
      </c>
      <c r="K18" s="114"/>
      <c r="L18" s="114"/>
      <c r="M18" s="114"/>
    </row>
    <row r="19" spans="1:13" x14ac:dyDescent="0.25">
      <c r="B19" s="105" t="s">
        <v>83</v>
      </c>
      <c r="C19" s="234"/>
      <c r="D19" s="143">
        <f>D18</f>
        <v>36359.963605097219</v>
      </c>
      <c r="E19" s="116">
        <v>0</v>
      </c>
      <c r="F19" s="116">
        <v>0</v>
      </c>
      <c r="G19" s="114">
        <f>ROUND(E19*D19,2)</f>
        <v>0</v>
      </c>
      <c r="H19" s="114">
        <f t="shared" si="0"/>
        <v>0</v>
      </c>
      <c r="K19" s="114"/>
      <c r="L19" s="114"/>
      <c r="M19" s="114"/>
    </row>
    <row r="20" spans="1:13" x14ac:dyDescent="0.25">
      <c r="B20" s="105" t="s">
        <v>6</v>
      </c>
      <c r="C20" s="234"/>
      <c r="D20" s="143"/>
      <c r="E20" s="116"/>
      <c r="F20" s="116"/>
      <c r="G20" s="160">
        <f>SUM(G18:G19)</f>
        <v>-359.24</v>
      </c>
      <c r="H20" s="160">
        <f>SUM(H18:H19)</f>
        <v>0</v>
      </c>
      <c r="K20" s="114"/>
      <c r="L20" s="114"/>
      <c r="M20" s="114"/>
    </row>
    <row r="21" spans="1:13" x14ac:dyDescent="0.25">
      <c r="C21" s="234"/>
      <c r="D21" s="145"/>
      <c r="E21" s="116"/>
      <c r="F21" s="116"/>
      <c r="G21" s="114"/>
      <c r="H21" s="114"/>
      <c r="K21" s="114"/>
      <c r="L21" s="114"/>
      <c r="M21" s="114"/>
    </row>
    <row r="22" spans="1:13" x14ac:dyDescent="0.25">
      <c r="A22" s="105" t="s">
        <v>77</v>
      </c>
      <c r="C22" s="234">
        <v>41</v>
      </c>
      <c r="D22" s="143"/>
      <c r="E22" s="116"/>
      <c r="F22" s="116"/>
      <c r="G22" s="114"/>
      <c r="H22" s="114"/>
      <c r="K22" s="114"/>
      <c r="L22" s="114"/>
      <c r="M22" s="114"/>
    </row>
    <row r="23" spans="1:13" x14ac:dyDescent="0.25">
      <c r="B23" s="105" t="s">
        <v>78</v>
      </c>
      <c r="C23" s="234"/>
      <c r="D23" s="143">
        <f>'12ME Dec18 Data'!N9</f>
        <v>4466417.6739999996</v>
      </c>
      <c r="E23" s="117">
        <v>-1.0000000000000009E-2</v>
      </c>
      <c r="F23" s="117">
        <v>-1.0000000000000009E-2</v>
      </c>
      <c r="G23" s="114">
        <f>ROUND(E23*D23,2)</f>
        <v>-44664.18</v>
      </c>
      <c r="H23" s="114">
        <f t="shared" si="0"/>
        <v>0</v>
      </c>
      <c r="K23" s="114"/>
      <c r="L23" s="114"/>
      <c r="M23" s="114"/>
    </row>
    <row r="24" spans="1:13" x14ac:dyDescent="0.25">
      <c r="B24" s="105" t="s">
        <v>87</v>
      </c>
      <c r="C24" s="234"/>
      <c r="D24" s="143">
        <f>'Normalized Therms'!P13</f>
        <v>65836657.463465482</v>
      </c>
      <c r="E24" s="116">
        <v>-4.0000000000000105E-5</v>
      </c>
      <c r="F24" s="116">
        <v>-4.0000000000000105E-5</v>
      </c>
      <c r="G24" s="114">
        <f>ROUND(E24*D24,2)</f>
        <v>-2633.47</v>
      </c>
      <c r="H24" s="114">
        <f t="shared" si="0"/>
        <v>0</v>
      </c>
      <c r="K24" s="114"/>
      <c r="L24" s="114"/>
      <c r="M24" s="114"/>
    </row>
    <row r="25" spans="1:13" x14ac:dyDescent="0.25">
      <c r="B25" s="105" t="s">
        <v>79</v>
      </c>
      <c r="C25" s="234"/>
      <c r="D25" s="143"/>
      <c r="E25" s="116"/>
      <c r="F25" s="116"/>
      <c r="G25" s="114"/>
      <c r="H25" s="114"/>
      <c r="K25" s="114"/>
      <c r="L25" s="114"/>
      <c r="M25" s="114"/>
    </row>
    <row r="26" spans="1:13" x14ac:dyDescent="0.25">
      <c r="B26" s="105" t="s">
        <v>80</v>
      </c>
      <c r="C26" s="234"/>
      <c r="D26" s="143">
        <f>'Normalized Therms'!$P$13*'12ME Dec18 Bill Freq'!N7</f>
        <v>29572063.336999994</v>
      </c>
      <c r="E26" s="116">
        <v>-7.5999999999998291E-4</v>
      </c>
      <c r="F26" s="116">
        <v>-7.5999999999998291E-4</v>
      </c>
      <c r="G26" s="114">
        <f>ROUND(E26*D26,2)</f>
        <v>-22474.77</v>
      </c>
      <c r="H26" s="114">
        <f t="shared" si="0"/>
        <v>0</v>
      </c>
      <c r="K26" s="114"/>
      <c r="L26" s="114"/>
      <c r="M26" s="114"/>
    </row>
    <row r="27" spans="1:13" x14ac:dyDescent="0.25">
      <c r="B27" s="105" t="s">
        <v>81</v>
      </c>
      <c r="C27" s="234"/>
      <c r="D27" s="143">
        <f>'Normalized Therms'!$P$13*'12ME Dec18 Bill Freq'!N8</f>
        <v>22876740.287465494</v>
      </c>
      <c r="E27" s="116">
        <v>-6.0999999999999943E-4</v>
      </c>
      <c r="F27" s="116">
        <v>-6.0999999999999943E-4</v>
      </c>
      <c r="G27" s="240">
        <f>ROUND(E27*D27,2)</f>
        <v>-13954.81</v>
      </c>
      <c r="H27" s="114">
        <f t="shared" si="0"/>
        <v>0</v>
      </c>
      <c r="K27" s="114"/>
      <c r="L27" s="114"/>
      <c r="M27" s="114"/>
    </row>
    <row r="28" spans="1:13" x14ac:dyDescent="0.25">
      <c r="B28" s="105" t="s">
        <v>6</v>
      </c>
      <c r="C28" s="234"/>
      <c r="D28" s="143"/>
      <c r="E28" s="116"/>
      <c r="F28" s="116"/>
      <c r="G28" s="114">
        <f>SUM(G23:G27)</f>
        <v>-83727.23</v>
      </c>
      <c r="H28" s="160">
        <f>SUM(H23:H27)</f>
        <v>0</v>
      </c>
      <c r="K28" s="114"/>
      <c r="L28" s="114"/>
      <c r="M28" s="114"/>
    </row>
    <row r="29" spans="1:13" x14ac:dyDescent="0.25">
      <c r="C29" s="234"/>
      <c r="D29" s="145"/>
      <c r="E29" s="116"/>
      <c r="F29" s="116"/>
      <c r="G29" s="114"/>
      <c r="H29" s="114"/>
      <c r="K29" s="114"/>
      <c r="L29" s="114"/>
      <c r="M29" s="114"/>
    </row>
    <row r="30" spans="1:13" x14ac:dyDescent="0.25">
      <c r="A30" s="105" t="s">
        <v>82</v>
      </c>
      <c r="C30" s="234" t="s">
        <v>35</v>
      </c>
      <c r="D30" s="143"/>
      <c r="E30" s="116"/>
      <c r="F30" s="116"/>
      <c r="G30" s="114"/>
      <c r="H30" s="114"/>
      <c r="K30" s="114"/>
      <c r="L30" s="114"/>
      <c r="M30" s="114"/>
    </row>
    <row r="31" spans="1:13" x14ac:dyDescent="0.25">
      <c r="B31" s="105" t="s">
        <v>78</v>
      </c>
      <c r="C31" s="234"/>
      <c r="D31" s="143">
        <f>'12ME Dec18 Data'!N10</f>
        <v>1160980.7009999999</v>
      </c>
      <c r="E31" s="117">
        <v>-1.0000000000000009E-2</v>
      </c>
      <c r="F31" s="117">
        <v>-1.0000000000000009E-2</v>
      </c>
      <c r="G31" s="114">
        <f>ROUND(E31*D31,2)</f>
        <v>-11609.81</v>
      </c>
      <c r="H31" s="114">
        <f t="shared" si="0"/>
        <v>0</v>
      </c>
      <c r="K31" s="114"/>
      <c r="L31" s="114"/>
      <c r="M31" s="114"/>
    </row>
    <row r="32" spans="1:13" x14ac:dyDescent="0.25">
      <c r="B32" s="105" t="s">
        <v>83</v>
      </c>
      <c r="C32" s="234"/>
      <c r="D32" s="206">
        <f>'Normalized Therms'!P18</f>
        <v>20492334.449073855</v>
      </c>
      <c r="E32" s="116">
        <v>0</v>
      </c>
      <c r="F32" s="116">
        <v>0</v>
      </c>
      <c r="G32" s="114">
        <f>ROUND(E32*D32,2)</f>
        <v>0</v>
      </c>
      <c r="H32" s="114">
        <f t="shared" si="0"/>
        <v>0</v>
      </c>
      <c r="K32" s="114"/>
      <c r="L32" s="114"/>
      <c r="M32" s="114"/>
    </row>
    <row r="33" spans="1:13" x14ac:dyDescent="0.25">
      <c r="B33" s="105" t="s">
        <v>79</v>
      </c>
      <c r="C33" s="234"/>
      <c r="D33" s="143"/>
      <c r="E33" s="116"/>
      <c r="F33" s="116"/>
      <c r="G33" s="114"/>
      <c r="H33" s="114"/>
      <c r="K33" s="114"/>
      <c r="L33" s="114"/>
      <c r="M33" s="114"/>
    </row>
    <row r="34" spans="1:13" x14ac:dyDescent="0.25">
      <c r="B34" s="105" t="s">
        <v>80</v>
      </c>
      <c r="C34" s="234"/>
      <c r="D34" s="143">
        <f>'Normalized Therms'!$P$18*'12ME Dec18 Bill Freq'!N37</f>
        <v>4274079.34</v>
      </c>
      <c r="E34" s="116">
        <v>-7.4000000000001842E-4</v>
      </c>
      <c r="F34" s="116">
        <v>-7.4000000000001842E-4</v>
      </c>
      <c r="G34" s="114">
        <f>ROUND(E34*D34,2)</f>
        <v>-3162.82</v>
      </c>
      <c r="H34" s="114">
        <f t="shared" si="0"/>
        <v>0</v>
      </c>
      <c r="K34" s="114"/>
      <c r="L34" s="114"/>
      <c r="M34" s="114"/>
    </row>
    <row r="35" spans="1:13" x14ac:dyDescent="0.25">
      <c r="B35" s="105" t="s">
        <v>81</v>
      </c>
      <c r="C35" s="234"/>
      <c r="D35" s="206">
        <f>'Normalized Therms'!$P$18*'12ME Dec18 Bill Freq'!N38</f>
        <v>15088478.149073856</v>
      </c>
      <c r="E35" s="116">
        <v>-5.9000000000000719E-4</v>
      </c>
      <c r="F35" s="116">
        <v>-5.9000000000000719E-4</v>
      </c>
      <c r="G35" s="240">
        <f>ROUND(E35*D35,2)</f>
        <v>-8902.2000000000007</v>
      </c>
      <c r="H35" s="114">
        <f t="shared" si="0"/>
        <v>0</v>
      </c>
      <c r="K35" s="114"/>
      <c r="L35" s="114"/>
      <c r="M35" s="114"/>
    </row>
    <row r="36" spans="1:13" x14ac:dyDescent="0.25">
      <c r="B36" s="105" t="s">
        <v>6</v>
      </c>
      <c r="C36" s="234"/>
      <c r="D36" s="143"/>
      <c r="E36" s="116"/>
      <c r="F36" s="116"/>
      <c r="G36" s="114">
        <f>SUM(G31:G35)</f>
        <v>-23674.83</v>
      </c>
      <c r="H36" s="160">
        <f>SUM(H31:H35)</f>
        <v>0</v>
      </c>
      <c r="K36" s="114"/>
      <c r="L36" s="114"/>
      <c r="M36" s="114"/>
    </row>
    <row r="37" spans="1:13" x14ac:dyDescent="0.25">
      <c r="C37" s="234"/>
      <c r="D37" s="143"/>
      <c r="E37" s="116"/>
      <c r="F37" s="116"/>
      <c r="G37" s="114"/>
      <c r="H37" s="114"/>
      <c r="K37" s="114"/>
      <c r="L37" s="114"/>
      <c r="M37" s="114"/>
    </row>
    <row r="38" spans="1:13" x14ac:dyDescent="0.25">
      <c r="B38" s="105" t="s">
        <v>84</v>
      </c>
      <c r="C38" s="234" t="s">
        <v>85</v>
      </c>
      <c r="D38" s="143"/>
      <c r="E38" s="116"/>
      <c r="F38" s="116"/>
      <c r="G38" s="114">
        <f t="shared" ref="G38:H38" si="1">G28+G36</f>
        <v>-107402.06</v>
      </c>
      <c r="H38" s="114">
        <f t="shared" si="1"/>
        <v>0</v>
      </c>
      <c r="K38" s="114"/>
      <c r="L38" s="114"/>
      <c r="M38" s="114"/>
    </row>
    <row r="39" spans="1:13" x14ac:dyDescent="0.25">
      <c r="C39" s="234"/>
      <c r="D39" s="145"/>
      <c r="E39" s="116"/>
      <c r="F39" s="116"/>
      <c r="G39" s="114"/>
      <c r="H39" s="114"/>
      <c r="K39" s="114"/>
      <c r="L39" s="114"/>
      <c r="M39" s="114"/>
    </row>
    <row r="40" spans="1:13" ht="14.5" x14ac:dyDescent="0.35">
      <c r="A40" s="105" t="s">
        <v>11</v>
      </c>
      <c r="C40" s="234">
        <v>86</v>
      </c>
      <c r="D40" s="145"/>
      <c r="E40" s="116"/>
      <c r="F40" s="116"/>
      <c r="G40" s="119"/>
      <c r="H40" s="114"/>
      <c r="K40" s="114"/>
      <c r="L40" s="114"/>
      <c r="M40" s="114"/>
    </row>
    <row r="41" spans="1:13" x14ac:dyDescent="0.25">
      <c r="B41" s="105" t="s">
        <v>78</v>
      </c>
      <c r="C41" s="234"/>
      <c r="D41" s="143">
        <f>'12ME Dec18 Data'!N13</f>
        <v>82401.308999999994</v>
      </c>
      <c r="E41" s="117">
        <v>-1.0000000000000009E-2</v>
      </c>
      <c r="F41" s="117">
        <v>-1.0000000000000009E-2</v>
      </c>
      <c r="G41" s="114">
        <f>ROUND(E41*D41,2)</f>
        <v>-824.01</v>
      </c>
      <c r="H41" s="114">
        <f t="shared" si="0"/>
        <v>0</v>
      </c>
      <c r="K41" s="114"/>
      <c r="L41" s="114"/>
      <c r="M41" s="114"/>
    </row>
    <row r="42" spans="1:13" x14ac:dyDescent="0.25">
      <c r="B42" s="105" t="s">
        <v>87</v>
      </c>
      <c r="C42" s="234"/>
      <c r="D42" s="143">
        <f>'Normalized Therms'!P15</f>
        <v>9397200.2729263529</v>
      </c>
      <c r="E42" s="116">
        <v>-5.0000000000001432E-5</v>
      </c>
      <c r="F42" s="116">
        <v>-5.0000000000001432E-5</v>
      </c>
      <c r="G42" s="114">
        <f>ROUND(E42*D42,2)</f>
        <v>-469.86</v>
      </c>
      <c r="H42" s="114">
        <f t="shared" si="0"/>
        <v>0</v>
      </c>
      <c r="K42" s="114"/>
      <c r="L42" s="114"/>
      <c r="M42" s="114"/>
    </row>
    <row r="43" spans="1:13" ht="14.5" x14ac:dyDescent="0.35">
      <c r="B43" s="105" t="s">
        <v>79</v>
      </c>
      <c r="C43" s="234"/>
      <c r="D43" s="145"/>
      <c r="E43" s="116"/>
      <c r="F43" s="116"/>
      <c r="G43" s="119"/>
      <c r="H43" s="114"/>
      <c r="K43" s="114"/>
      <c r="L43" s="114"/>
      <c r="M43" s="114"/>
    </row>
    <row r="44" spans="1:13" x14ac:dyDescent="0.25">
      <c r="B44" s="105" t="s">
        <v>94</v>
      </c>
      <c r="C44" s="234"/>
      <c r="D44" s="143">
        <f>'Normalized Therms'!P15*'12ME Dec18 Bill Freq'!N20</f>
        <v>2054251.267</v>
      </c>
      <c r="E44" s="116">
        <v>-1.1400000000000021E-3</v>
      </c>
      <c r="F44" s="116">
        <v>-1.1400000000000021E-3</v>
      </c>
      <c r="G44" s="114">
        <f>ROUND(E44*D44,2)</f>
        <v>-2341.85</v>
      </c>
      <c r="H44" s="114">
        <f t="shared" si="0"/>
        <v>0</v>
      </c>
      <c r="K44" s="114"/>
      <c r="L44" s="114"/>
      <c r="M44" s="114"/>
    </row>
    <row r="45" spans="1:13" x14ac:dyDescent="0.25">
      <c r="B45" s="105" t="s">
        <v>95</v>
      </c>
      <c r="C45" s="234"/>
      <c r="D45" s="206">
        <f>'Normalized Therms'!P15*'12ME Dec18 Bill Freq'!N21</f>
        <v>7342949.005926352</v>
      </c>
      <c r="E45" s="116">
        <v>-8.1000000000000516E-4</v>
      </c>
      <c r="F45" s="116">
        <v>-8.1000000000000516E-4</v>
      </c>
      <c r="G45" s="240">
        <f>ROUND(E45*D45,2)</f>
        <v>-5947.79</v>
      </c>
      <c r="H45" s="114">
        <f t="shared" si="0"/>
        <v>0</v>
      </c>
      <c r="K45" s="114"/>
      <c r="L45" s="114"/>
      <c r="M45" s="114"/>
    </row>
    <row r="46" spans="1:13" x14ac:dyDescent="0.25">
      <c r="B46" s="105" t="s">
        <v>6</v>
      </c>
      <c r="C46" s="234"/>
      <c r="D46" s="143"/>
      <c r="E46" s="116"/>
      <c r="F46" s="116"/>
      <c r="G46" s="114">
        <f>SUM(G41:G45)</f>
        <v>-9583.51</v>
      </c>
      <c r="H46" s="160">
        <f>SUM(H41:H45)</f>
        <v>0</v>
      </c>
      <c r="K46" s="114"/>
      <c r="L46" s="114"/>
      <c r="M46" s="114"/>
    </row>
    <row r="47" spans="1:13" x14ac:dyDescent="0.25">
      <c r="C47" s="234"/>
      <c r="D47" s="143"/>
      <c r="E47" s="116"/>
      <c r="F47" s="116"/>
      <c r="G47" s="114"/>
      <c r="H47" s="114"/>
      <c r="K47" s="114"/>
      <c r="L47" s="114"/>
      <c r="M47" s="114"/>
    </row>
    <row r="48" spans="1:13" ht="14.5" x14ac:dyDescent="0.35">
      <c r="A48" s="105" t="s">
        <v>96</v>
      </c>
      <c r="C48" s="234" t="s">
        <v>39</v>
      </c>
      <c r="D48" s="145"/>
      <c r="E48" s="116"/>
      <c r="F48" s="116"/>
      <c r="G48" s="119"/>
      <c r="H48" s="114"/>
      <c r="K48" s="114"/>
      <c r="L48" s="114"/>
      <c r="M48" s="114"/>
    </row>
    <row r="49" spans="1:13" x14ac:dyDescent="0.25">
      <c r="B49" s="105" t="s">
        <v>78</v>
      </c>
      <c r="C49" s="234"/>
      <c r="D49" s="143">
        <f>'12ME Dec18 Data'!N14</f>
        <v>9750</v>
      </c>
      <c r="E49" s="117">
        <v>-1.0000000000000009E-2</v>
      </c>
      <c r="F49" s="117">
        <v>-1.0000000000000009E-2</v>
      </c>
      <c r="G49" s="114">
        <f>ROUND(E49*D49,2)</f>
        <v>-97.5</v>
      </c>
      <c r="H49" s="114">
        <f t="shared" si="0"/>
        <v>0</v>
      </c>
      <c r="K49" s="114"/>
      <c r="L49" s="114"/>
      <c r="M49" s="114"/>
    </row>
    <row r="50" spans="1:13" ht="14.5" x14ac:dyDescent="0.35">
      <c r="B50" s="105" t="s">
        <v>79</v>
      </c>
      <c r="C50" s="234"/>
      <c r="D50" s="145"/>
      <c r="E50" s="116"/>
      <c r="F50" s="116"/>
      <c r="G50" s="119"/>
      <c r="H50" s="114"/>
      <c r="K50" s="114"/>
      <c r="L50" s="114"/>
      <c r="M50" s="114"/>
    </row>
    <row r="51" spans="1:13" x14ac:dyDescent="0.25">
      <c r="B51" s="105" t="s">
        <v>94</v>
      </c>
      <c r="C51" s="234"/>
      <c r="D51" s="143">
        <f>'Normalized Therms'!$P$20*'12ME Dec18 Bill Freq'!N50</f>
        <v>23011.74</v>
      </c>
      <c r="E51" s="116">
        <v>-1.1099999999999999E-3</v>
      </c>
      <c r="F51" s="116">
        <v>-1.1099999999999999E-3</v>
      </c>
      <c r="G51" s="114">
        <f>ROUND(E51*D51,2)</f>
        <v>-25.54</v>
      </c>
      <c r="H51" s="114">
        <f t="shared" si="0"/>
        <v>0</v>
      </c>
      <c r="K51" s="114"/>
      <c r="L51" s="114"/>
      <c r="M51" s="114"/>
    </row>
    <row r="52" spans="1:13" x14ac:dyDescent="0.25">
      <c r="B52" s="105" t="s">
        <v>95</v>
      </c>
      <c r="C52" s="234"/>
      <c r="D52" s="143">
        <f>'Normalized Therms'!$P$20*'12ME Dec18 Bill Freq'!N51</f>
        <v>328276.40999999997</v>
      </c>
      <c r="E52" s="116">
        <v>-7.8000000000000291E-4</v>
      </c>
      <c r="F52" s="116">
        <v>-7.8000000000000291E-4</v>
      </c>
      <c r="G52" s="240">
        <f>ROUND(E52*D52,2)</f>
        <v>-256.06</v>
      </c>
      <c r="H52" s="114">
        <f t="shared" si="0"/>
        <v>0</v>
      </c>
      <c r="K52" s="114"/>
      <c r="L52" s="114"/>
      <c r="M52" s="114"/>
    </row>
    <row r="53" spans="1:13" x14ac:dyDescent="0.25">
      <c r="B53" s="105" t="s">
        <v>6</v>
      </c>
      <c r="C53" s="234"/>
      <c r="D53" s="143"/>
      <c r="E53" s="116"/>
      <c r="F53" s="116"/>
      <c r="G53" s="114">
        <f>SUM(G49:G52)</f>
        <v>-379.1</v>
      </c>
      <c r="H53" s="160">
        <f>SUM(H49:H52)</f>
        <v>0</v>
      </c>
      <c r="K53" s="114"/>
      <c r="L53" s="114"/>
      <c r="M53" s="114"/>
    </row>
    <row r="54" spans="1:13" x14ac:dyDescent="0.25">
      <c r="C54" s="234"/>
      <c r="D54" s="143"/>
      <c r="E54" s="116"/>
      <c r="F54" s="116"/>
      <c r="G54" s="114"/>
      <c r="K54" s="114"/>
      <c r="L54" s="114"/>
      <c r="M54" s="114"/>
    </row>
    <row r="55" spans="1:13" x14ac:dyDescent="0.25">
      <c r="B55" s="105" t="s">
        <v>97</v>
      </c>
      <c r="C55" s="234" t="s">
        <v>98</v>
      </c>
      <c r="D55" s="143"/>
      <c r="E55" s="116"/>
      <c r="F55" s="116"/>
      <c r="G55" s="114">
        <f t="shared" ref="G55:H55" si="2">G46+G53</f>
        <v>-9962.61</v>
      </c>
      <c r="H55" s="114">
        <f t="shared" si="2"/>
        <v>0</v>
      </c>
      <c r="K55" s="114"/>
      <c r="L55" s="114"/>
      <c r="M55" s="114"/>
    </row>
    <row r="56" spans="1:13" x14ac:dyDescent="0.25">
      <c r="C56" s="234"/>
      <c r="D56" s="143"/>
      <c r="E56" s="123"/>
      <c r="F56" s="123"/>
      <c r="G56" s="114"/>
      <c r="H56" s="114"/>
      <c r="K56" s="114"/>
      <c r="L56" s="114"/>
      <c r="M56" s="114"/>
    </row>
    <row r="57" spans="1:13" x14ac:dyDescent="0.25">
      <c r="B57" s="105" t="s">
        <v>6</v>
      </c>
      <c r="C57" s="262" t="s">
        <v>237</v>
      </c>
      <c r="D57" s="143">
        <f>SUM(D10,D13,D18,D26:D27,D34:D35,D44:D45,D51:D52)</f>
        <v>924984682.74902809</v>
      </c>
      <c r="E57" s="123"/>
      <c r="F57" s="123"/>
      <c r="G57" s="114">
        <f>G10+G15+G20+G28+G36+G46+G53</f>
        <v>9358023</v>
      </c>
      <c r="H57" s="114">
        <f>H10+H15+H20+H28+H36+H46+H53</f>
        <v>0</v>
      </c>
      <c r="K57" s="114"/>
      <c r="L57" s="114"/>
      <c r="M57" s="114"/>
    </row>
    <row r="58" spans="1:13" x14ac:dyDescent="0.25">
      <c r="C58" s="262" t="s">
        <v>204</v>
      </c>
      <c r="D58" s="143">
        <f>SUM(D23,D31,D41,D49)</f>
        <v>5719549.6840000004</v>
      </c>
      <c r="M58" s="114"/>
    </row>
    <row r="59" spans="1:13" x14ac:dyDescent="0.25">
      <c r="A59" s="124"/>
      <c r="B59" s="125"/>
      <c r="C59" s="126"/>
      <c r="M59" s="114"/>
    </row>
    <row r="60" spans="1:13" ht="12.75" customHeight="1" x14ac:dyDescent="0.25">
      <c r="A60" s="124"/>
      <c r="B60" s="126"/>
      <c r="C60" s="122"/>
      <c r="D60" s="122"/>
      <c r="E60" s="122"/>
      <c r="F60" s="122"/>
      <c r="G60" s="122"/>
      <c r="H60" s="122"/>
      <c r="M60" s="114"/>
    </row>
    <row r="61" spans="1:13" x14ac:dyDescent="0.25">
      <c r="B61" s="125"/>
      <c r="M61" s="114"/>
    </row>
    <row r="62" spans="1:13" x14ac:dyDescent="0.25">
      <c r="M62" s="114"/>
    </row>
    <row r="63" spans="1:13" x14ac:dyDescent="0.25">
      <c r="M63" s="114"/>
    </row>
    <row r="64" spans="1:13" x14ac:dyDescent="0.25">
      <c r="M64" s="114"/>
    </row>
    <row r="65" spans="13:13" x14ac:dyDescent="0.25">
      <c r="M65" s="114"/>
    </row>
    <row r="66" spans="13:13" x14ac:dyDescent="0.25">
      <c r="M66" s="114"/>
    </row>
    <row r="67" spans="13:13" x14ac:dyDescent="0.25">
      <c r="M67" s="114"/>
    </row>
    <row r="68" spans="13:13" x14ac:dyDescent="0.25">
      <c r="M68" s="114"/>
    </row>
    <row r="69" spans="13:13" x14ac:dyDescent="0.25">
      <c r="M69" s="114"/>
    </row>
    <row r="70" spans="13:13" x14ac:dyDescent="0.25">
      <c r="M70" s="114"/>
    </row>
    <row r="71" spans="13:13" x14ac:dyDescent="0.25">
      <c r="M71" s="114"/>
    </row>
    <row r="72" spans="13:13" x14ac:dyDescent="0.25">
      <c r="M72" s="114"/>
    </row>
    <row r="73" spans="13:13" x14ac:dyDescent="0.25">
      <c r="M73" s="114"/>
    </row>
    <row r="74" spans="13:13" x14ac:dyDescent="0.25">
      <c r="M74" s="114"/>
    </row>
    <row r="75" spans="13:13" x14ac:dyDescent="0.25">
      <c r="M75" s="114"/>
    </row>
    <row r="76" spans="13:13" x14ac:dyDescent="0.25">
      <c r="M76" s="114"/>
    </row>
    <row r="77" spans="13:13" x14ac:dyDescent="0.25">
      <c r="M77" s="114"/>
    </row>
    <row r="78" spans="13:13" x14ac:dyDescent="0.25">
      <c r="M78" s="114"/>
    </row>
    <row r="79" spans="13:13" x14ac:dyDescent="0.25">
      <c r="M79" s="114"/>
    </row>
    <row r="80" spans="13:13" x14ac:dyDescent="0.25">
      <c r="M80" s="114"/>
    </row>
    <row r="81" spans="13:13" x14ac:dyDescent="0.25">
      <c r="M81" s="114"/>
    </row>
    <row r="82" spans="13:13" x14ac:dyDescent="0.25">
      <c r="M82" s="114"/>
    </row>
    <row r="83" spans="13:13" x14ac:dyDescent="0.25">
      <c r="M83" s="114"/>
    </row>
    <row r="84" spans="13:13" x14ac:dyDescent="0.25">
      <c r="M84" s="114"/>
    </row>
    <row r="85" spans="13:13" x14ac:dyDescent="0.25">
      <c r="M85" s="114"/>
    </row>
    <row r="86" spans="13:13" x14ac:dyDescent="0.25">
      <c r="M86" s="114"/>
    </row>
    <row r="87" spans="13:13" x14ac:dyDescent="0.25">
      <c r="M87" s="114"/>
    </row>
    <row r="88" spans="13:13" x14ac:dyDescent="0.25">
      <c r="M88" s="114"/>
    </row>
    <row r="89" spans="13:13" x14ac:dyDescent="0.25">
      <c r="M89" s="114"/>
    </row>
    <row r="90" spans="13:13" x14ac:dyDescent="0.25">
      <c r="M90" s="114"/>
    </row>
    <row r="91" spans="13:13" x14ac:dyDescent="0.25">
      <c r="M91" s="114"/>
    </row>
    <row r="92" spans="13:13" x14ac:dyDescent="0.25">
      <c r="M92" s="114"/>
    </row>
    <row r="93" spans="13:13" x14ac:dyDescent="0.25">
      <c r="M93" s="114"/>
    </row>
    <row r="94" spans="13:13" x14ac:dyDescent="0.25">
      <c r="M94" s="114"/>
    </row>
    <row r="95" spans="13:13" x14ac:dyDescent="0.25">
      <c r="M95" s="114"/>
    </row>
    <row r="96" spans="13:13" x14ac:dyDescent="0.25">
      <c r="M96" s="114"/>
    </row>
    <row r="97" spans="13:13" x14ac:dyDescent="0.25">
      <c r="M97" s="114"/>
    </row>
  </sheetData>
  <mergeCells count="3">
    <mergeCell ref="A1:H1"/>
    <mergeCell ref="A2:H2"/>
    <mergeCell ref="A3:H3"/>
  </mergeCells>
  <printOptions horizontalCentered="1"/>
  <pageMargins left="0.7" right="0.7" top="0.5" bottom="0.5" header="0.3" footer="0.3"/>
  <pageSetup scale="66" orientation="landscape" blackAndWhite="1" r:id="rId1"/>
  <headerFooter>
    <oddFooter>&amp;L&amp;F
&amp;A&amp;C&amp;P&amp;R&amp;D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zoomScale="90" zoomScaleNormal="90" workbookViewId="0">
      <selection activeCell="M42" sqref="M42"/>
    </sheetView>
  </sheetViews>
  <sheetFormatPr defaultColWidth="9.1796875" defaultRowHeight="14.5" x14ac:dyDescent="0.35"/>
  <cols>
    <col min="1" max="1" width="2.1796875" style="190" customWidth="1"/>
    <col min="2" max="2" width="2.453125" style="190" customWidth="1"/>
    <col min="3" max="3" width="33.7265625" style="190" customWidth="1"/>
    <col min="4" max="5" width="11.81640625" style="190" customWidth="1"/>
    <col min="6" max="6" width="2.7265625" style="191" customWidth="1"/>
    <col min="7" max="8" width="11.81640625" style="190" customWidth="1"/>
    <col min="9" max="9" width="2.7265625" style="190" customWidth="1"/>
    <col min="10" max="11" width="11.81640625" style="190" customWidth="1"/>
    <col min="12" max="12" width="2.7265625" style="190" customWidth="1"/>
    <col min="13" max="14" width="11.81640625" style="190" customWidth="1"/>
    <col min="15" max="15" width="2.7265625" style="190" customWidth="1"/>
    <col min="16" max="17" width="11.81640625" style="190" customWidth="1"/>
    <col min="18" max="18" width="2.7265625" style="190" customWidth="1"/>
    <col min="19" max="20" width="11.81640625" style="190" customWidth="1"/>
    <col min="21" max="16384" width="9.1796875" style="190"/>
  </cols>
  <sheetData>
    <row r="1" spans="2:20" x14ac:dyDescent="0.35">
      <c r="B1" s="335" t="s">
        <v>0</v>
      </c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</row>
    <row r="2" spans="2:20" x14ac:dyDescent="0.35">
      <c r="B2" s="335" t="s">
        <v>316</v>
      </c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</row>
    <row r="3" spans="2:20" x14ac:dyDescent="0.35">
      <c r="B3" s="333" t="s">
        <v>321</v>
      </c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</row>
    <row r="4" spans="2:20" x14ac:dyDescent="0.35"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  <c r="R4" s="333"/>
      <c r="S4" s="333"/>
      <c r="T4" s="333"/>
    </row>
    <row r="5" spans="2:20" x14ac:dyDescent="0.35">
      <c r="I5" s="43"/>
    </row>
    <row r="6" spans="2:20" x14ac:dyDescent="0.35">
      <c r="D6" s="246" t="s">
        <v>23</v>
      </c>
      <c r="E6" s="246"/>
      <c r="F6" s="44"/>
      <c r="G6" s="246" t="s">
        <v>323</v>
      </c>
      <c r="H6" s="246"/>
      <c r="I6" s="43"/>
      <c r="J6" s="246" t="s">
        <v>324</v>
      </c>
      <c r="K6" s="246"/>
      <c r="M6" s="246" t="s">
        <v>344</v>
      </c>
      <c r="N6" s="246"/>
      <c r="P6" s="328" t="s">
        <v>325</v>
      </c>
      <c r="Q6" s="328"/>
      <c r="S6" s="246" t="s">
        <v>293</v>
      </c>
      <c r="T6" s="246"/>
    </row>
    <row r="7" spans="2:20" ht="16.5" x14ac:dyDescent="0.35">
      <c r="D7" s="247" t="s">
        <v>52</v>
      </c>
      <c r="E7" s="247" t="s">
        <v>53</v>
      </c>
      <c r="F7" s="184"/>
      <c r="G7" s="247" t="s">
        <v>22</v>
      </c>
      <c r="H7" s="247" t="s">
        <v>53</v>
      </c>
      <c r="I7" s="43"/>
      <c r="J7" s="247" t="s">
        <v>22</v>
      </c>
      <c r="K7" s="247" t="s">
        <v>53</v>
      </c>
      <c r="M7" s="247" t="s">
        <v>22</v>
      </c>
      <c r="N7" s="247" t="s">
        <v>53</v>
      </c>
      <c r="P7" s="247" t="s">
        <v>22</v>
      </c>
      <c r="Q7" s="247" t="s">
        <v>53</v>
      </c>
      <c r="S7" s="247" t="s">
        <v>22</v>
      </c>
      <c r="T7" s="247" t="s">
        <v>53</v>
      </c>
    </row>
    <row r="8" spans="2:20" x14ac:dyDescent="0.35">
      <c r="B8" s="190" t="s">
        <v>54</v>
      </c>
      <c r="D8" s="45">
        <v>64</v>
      </c>
      <c r="E8" s="46"/>
      <c r="F8" s="47"/>
      <c r="G8" s="45">
        <v>64</v>
      </c>
      <c r="H8" s="46"/>
      <c r="I8" s="43"/>
      <c r="J8" s="45">
        <v>64</v>
      </c>
      <c r="K8" s="46"/>
      <c r="M8" s="45">
        <v>64</v>
      </c>
      <c r="N8" s="46"/>
      <c r="P8" s="45">
        <v>64</v>
      </c>
      <c r="Q8" s="46"/>
      <c r="S8" s="45">
        <v>64</v>
      </c>
      <c r="T8" s="46"/>
    </row>
    <row r="9" spans="2:20" x14ac:dyDescent="0.35">
      <c r="D9" s="45"/>
      <c r="E9" s="46"/>
      <c r="F9" s="47"/>
      <c r="G9" s="45"/>
      <c r="H9" s="46"/>
      <c r="I9" s="43"/>
      <c r="J9" s="45"/>
      <c r="K9" s="46"/>
      <c r="M9" s="45"/>
      <c r="N9" s="46"/>
      <c r="P9" s="45"/>
      <c r="Q9" s="46"/>
      <c r="S9" s="45"/>
      <c r="T9" s="46"/>
    </row>
    <row r="10" spans="2:20" x14ac:dyDescent="0.35">
      <c r="B10" s="190" t="s">
        <v>55</v>
      </c>
      <c r="D10" s="45"/>
      <c r="E10" s="46"/>
      <c r="F10" s="47"/>
      <c r="G10" s="45"/>
      <c r="H10" s="46"/>
      <c r="I10" s="43"/>
      <c r="J10" s="45"/>
      <c r="K10" s="46"/>
      <c r="M10" s="45"/>
      <c r="N10" s="46"/>
      <c r="P10" s="45"/>
      <c r="Q10" s="46"/>
      <c r="S10" s="45"/>
      <c r="T10" s="46"/>
    </row>
    <row r="11" spans="2:20" x14ac:dyDescent="0.35">
      <c r="C11" s="190" t="s">
        <v>56</v>
      </c>
      <c r="D11" s="48">
        <v>11</v>
      </c>
      <c r="E11" s="46">
        <f>D11</f>
        <v>11</v>
      </c>
      <c r="F11" s="49"/>
      <c r="G11" s="329">
        <f>'[63]Rate Design Res'!$H$12</f>
        <v>11.52</v>
      </c>
      <c r="H11" s="46">
        <f>G11</f>
        <v>11.52</v>
      </c>
      <c r="J11" s="50">
        <f>$D$11</f>
        <v>11</v>
      </c>
      <c r="K11" s="46">
        <f>J11</f>
        <v>11</v>
      </c>
      <c r="M11" s="50">
        <f>$D$11</f>
        <v>11</v>
      </c>
      <c r="N11" s="46">
        <f>M11</f>
        <v>11</v>
      </c>
      <c r="P11" s="50">
        <f>$D$11</f>
        <v>11</v>
      </c>
      <c r="Q11" s="46">
        <f>P11</f>
        <v>11</v>
      </c>
      <c r="S11" s="329">
        <f>'[63]Rate Design Res'!$H$12</f>
        <v>11.52</v>
      </c>
      <c r="T11" s="46">
        <f>S11</f>
        <v>11.52</v>
      </c>
    </row>
    <row r="12" spans="2:20" x14ac:dyDescent="0.35">
      <c r="C12" s="190" t="s">
        <v>273</v>
      </c>
      <c r="D12" s="49">
        <v>0.67</v>
      </c>
      <c r="E12" s="245">
        <f>D12</f>
        <v>0.67</v>
      </c>
      <c r="F12" s="49"/>
      <c r="G12" s="56">
        <f>$D$12</f>
        <v>0.67</v>
      </c>
      <c r="H12" s="245">
        <f>G12</f>
        <v>0.67</v>
      </c>
      <c r="J12" s="330">
        <f>'Schedule 141 Revenue'!$F$9</f>
        <v>0</v>
      </c>
      <c r="K12" s="245">
        <f>J12</f>
        <v>0</v>
      </c>
      <c r="M12" s="56">
        <f>$D$12</f>
        <v>0.67</v>
      </c>
      <c r="N12" s="245">
        <f>M12</f>
        <v>0.67</v>
      </c>
      <c r="P12" s="56">
        <f>$D$12</f>
        <v>0.67</v>
      </c>
      <c r="Q12" s="245">
        <f>P12</f>
        <v>0.67</v>
      </c>
      <c r="S12" s="330">
        <f>'Schedule 141 Revenue'!$F$9</f>
        <v>0</v>
      </c>
      <c r="T12" s="245">
        <f>S12</f>
        <v>0</v>
      </c>
    </row>
    <row r="13" spans="2:20" x14ac:dyDescent="0.35">
      <c r="C13" s="190" t="s">
        <v>279</v>
      </c>
      <c r="D13" s="49">
        <v>-0.15</v>
      </c>
      <c r="E13" s="245">
        <f>D13</f>
        <v>-0.15</v>
      </c>
      <c r="F13" s="49"/>
      <c r="G13" s="56">
        <f>$D$13</f>
        <v>-0.15</v>
      </c>
      <c r="H13" s="245">
        <f>G13</f>
        <v>-0.15</v>
      </c>
      <c r="J13" s="56">
        <f>$D$13</f>
        <v>-0.15</v>
      </c>
      <c r="K13" s="245">
        <f>J13</f>
        <v>-0.15</v>
      </c>
      <c r="M13" s="330">
        <f>'Schedule 141X Revenue'!$F$9</f>
        <v>0</v>
      </c>
      <c r="N13" s="245">
        <f>M13</f>
        <v>0</v>
      </c>
      <c r="P13" s="56">
        <f>$D$13</f>
        <v>-0.15</v>
      </c>
      <c r="Q13" s="245">
        <f>P13</f>
        <v>-0.15</v>
      </c>
      <c r="S13" s="330">
        <f>'Schedule 141X Revenue'!$F$9</f>
        <v>0</v>
      </c>
      <c r="T13" s="245">
        <f>S13</f>
        <v>0</v>
      </c>
    </row>
    <row r="14" spans="2:20" x14ac:dyDescent="0.35">
      <c r="C14" s="190" t="s">
        <v>14</v>
      </c>
      <c r="D14" s="248">
        <f>SUM(D11:D13)</f>
        <v>11.52</v>
      </c>
      <c r="E14" s="248">
        <f>SUM(E11:E13)</f>
        <v>11.52</v>
      </c>
      <c r="F14" s="49"/>
      <c r="G14" s="248">
        <f>SUM(G11:G13)</f>
        <v>12.04</v>
      </c>
      <c r="H14" s="248">
        <f>SUM(H11:H13)</f>
        <v>12.04</v>
      </c>
      <c r="J14" s="248">
        <f>SUM(J11:J13)</f>
        <v>10.85</v>
      </c>
      <c r="K14" s="248">
        <f>SUM(K11:K13)</f>
        <v>10.85</v>
      </c>
      <c r="M14" s="248">
        <f>SUM(M11:M13)</f>
        <v>11.67</v>
      </c>
      <c r="N14" s="248">
        <f>SUM(N11:N13)</f>
        <v>11.67</v>
      </c>
      <c r="P14" s="248">
        <f>SUM(P11:P13)</f>
        <v>11.52</v>
      </c>
      <c r="Q14" s="248">
        <f>SUM(Q11:Q13)</f>
        <v>11.52</v>
      </c>
      <c r="S14" s="248">
        <f>SUM(S11:S13)</f>
        <v>11.52</v>
      </c>
      <c r="T14" s="248">
        <f>SUM(T11:T13)</f>
        <v>11.52</v>
      </c>
    </row>
    <row r="15" spans="2:20" x14ac:dyDescent="0.35">
      <c r="D15" s="48"/>
      <c r="E15" s="46"/>
      <c r="F15" s="49"/>
      <c r="G15" s="50"/>
      <c r="H15" s="46"/>
      <c r="J15" s="50"/>
      <c r="K15" s="46"/>
      <c r="M15" s="50"/>
      <c r="N15" s="46"/>
      <c r="P15" s="50"/>
      <c r="Q15" s="46"/>
      <c r="S15" s="50"/>
      <c r="T15" s="46"/>
    </row>
    <row r="16" spans="2:20" x14ac:dyDescent="0.35">
      <c r="B16" s="190" t="s">
        <v>57</v>
      </c>
      <c r="E16" s="46"/>
      <c r="H16" s="46"/>
      <c r="K16" s="46"/>
      <c r="N16" s="46"/>
      <c r="Q16" s="46"/>
      <c r="T16" s="46"/>
    </row>
    <row r="17" spans="3:20" x14ac:dyDescent="0.35">
      <c r="C17" s="190" t="s">
        <v>58</v>
      </c>
      <c r="D17" s="71">
        <v>0.34603</v>
      </c>
      <c r="E17" s="46"/>
      <c r="F17" s="51"/>
      <c r="G17" s="260">
        <f>'[63]Rate Design Res'!$H$13</f>
        <v>0.44468000000000002</v>
      </c>
      <c r="H17" s="46"/>
      <c r="J17" s="52">
        <f>$D$17</f>
        <v>0.34603</v>
      </c>
      <c r="K17" s="46"/>
      <c r="M17" s="52">
        <f>$D$17</f>
        <v>0.34603</v>
      </c>
      <c r="N17" s="46"/>
      <c r="P17" s="52">
        <f>$D$17</f>
        <v>0.34603</v>
      </c>
      <c r="Q17" s="46"/>
      <c r="S17" s="260">
        <f>'[63]Rate Design Res'!$H$13</f>
        <v>0.44468000000000002</v>
      </c>
      <c r="T17" s="46"/>
    </row>
    <row r="18" spans="3:20" x14ac:dyDescent="0.35">
      <c r="C18" s="190" t="s">
        <v>61</v>
      </c>
      <c r="D18" s="72">
        <v>5.3699999999999998E-3</v>
      </c>
      <c r="E18" s="46"/>
      <c r="F18" s="51"/>
      <c r="G18" s="52">
        <f>$D$18</f>
        <v>5.3699999999999998E-3</v>
      </c>
      <c r="H18" s="46"/>
      <c r="J18" s="52">
        <f>$D$18</f>
        <v>5.3699999999999998E-3</v>
      </c>
      <c r="K18" s="46"/>
      <c r="M18" s="52">
        <f>$D$18</f>
        <v>5.3699999999999998E-3</v>
      </c>
      <c r="N18" s="46"/>
      <c r="P18" s="52">
        <f>$D$18</f>
        <v>5.3699999999999998E-3</v>
      </c>
      <c r="Q18" s="46"/>
      <c r="S18" s="52">
        <f>$D$18</f>
        <v>5.3699999999999998E-3</v>
      </c>
      <c r="T18" s="46"/>
    </row>
    <row r="19" spans="3:20" x14ac:dyDescent="0.35">
      <c r="C19" s="190" t="s">
        <v>59</v>
      </c>
      <c r="D19" s="71">
        <v>2.2350000000000002E-2</v>
      </c>
      <c r="E19" s="46"/>
      <c r="F19" s="51"/>
      <c r="G19" s="228">
        <f>$D$19</f>
        <v>2.2350000000000002E-2</v>
      </c>
      <c r="H19" s="46"/>
      <c r="J19" s="228">
        <f>$D$19</f>
        <v>2.2350000000000002E-2</v>
      </c>
      <c r="K19" s="46"/>
      <c r="M19" s="228">
        <f>$D$19</f>
        <v>2.2350000000000002E-2</v>
      </c>
      <c r="N19" s="46"/>
      <c r="P19" s="228">
        <f>$D$19</f>
        <v>2.2350000000000002E-2</v>
      </c>
      <c r="Q19" s="46"/>
      <c r="S19" s="228">
        <f>$D$19</f>
        <v>2.2350000000000002E-2</v>
      </c>
      <c r="T19" s="46"/>
    </row>
    <row r="20" spans="3:20" x14ac:dyDescent="0.35">
      <c r="C20" s="190" t="s">
        <v>273</v>
      </c>
      <c r="D20" s="71">
        <v>2.1229999999999999E-2</v>
      </c>
      <c r="E20" s="46"/>
      <c r="F20" s="51"/>
      <c r="G20" s="52">
        <f>$D$20</f>
        <v>2.1229999999999999E-2</v>
      </c>
      <c r="H20" s="46"/>
      <c r="J20" s="260">
        <f>'Schedule 141 Revenue'!$F$10</f>
        <v>0</v>
      </c>
      <c r="K20" s="46"/>
      <c r="M20" s="52">
        <f>$D$20</f>
        <v>2.1229999999999999E-2</v>
      </c>
      <c r="N20" s="46"/>
      <c r="P20" s="52">
        <f>$D$20</f>
        <v>2.1229999999999999E-2</v>
      </c>
      <c r="Q20" s="46"/>
      <c r="S20" s="260">
        <f>'Schedule 141 Revenue'!$F$10</f>
        <v>0</v>
      </c>
      <c r="T20" s="46"/>
    </row>
    <row r="21" spans="3:20" x14ac:dyDescent="0.35">
      <c r="C21" s="190" t="s">
        <v>279</v>
      </c>
      <c r="D21" s="71">
        <v>-4.79E-3</v>
      </c>
      <c r="E21" s="46"/>
      <c r="F21" s="51"/>
      <c r="G21" s="52">
        <f>$D$21</f>
        <v>-4.79E-3</v>
      </c>
      <c r="H21" s="46"/>
      <c r="J21" s="52">
        <f>$D$21</f>
        <v>-4.79E-3</v>
      </c>
      <c r="K21" s="46"/>
      <c r="M21" s="260">
        <f>'Schedule 141X Revenue'!$F$10</f>
        <v>0</v>
      </c>
      <c r="N21" s="46"/>
      <c r="P21" s="52">
        <f>$D$21</f>
        <v>-4.79E-3</v>
      </c>
      <c r="Q21" s="46"/>
      <c r="S21" s="260">
        <f>'Schedule 141X Revenue'!$F$10</f>
        <v>0</v>
      </c>
      <c r="T21" s="46"/>
    </row>
    <row r="22" spans="3:20" x14ac:dyDescent="0.35">
      <c r="C22" s="190" t="s">
        <v>295</v>
      </c>
      <c r="D22" s="71">
        <v>-1.0580000000000001E-2</v>
      </c>
      <c r="E22" s="46"/>
      <c r="F22" s="51"/>
      <c r="G22" s="228">
        <f>$D$22</f>
        <v>-1.0580000000000001E-2</v>
      </c>
      <c r="H22" s="46"/>
      <c r="J22" s="228">
        <f>$D$22</f>
        <v>-1.0580000000000001E-2</v>
      </c>
      <c r="K22" s="46"/>
      <c r="M22" s="228">
        <f>$D$22</f>
        <v>-1.0580000000000001E-2</v>
      </c>
      <c r="N22" s="46"/>
      <c r="P22" s="228">
        <f>$D$22</f>
        <v>-1.0580000000000001E-2</v>
      </c>
      <c r="Q22" s="46"/>
      <c r="S22" s="228">
        <f>$D$22</f>
        <v>-1.0580000000000001E-2</v>
      </c>
      <c r="T22" s="46"/>
    </row>
    <row r="23" spans="3:20" x14ac:dyDescent="0.35">
      <c r="C23" s="190" t="s">
        <v>60</v>
      </c>
      <c r="D23" s="71">
        <v>1.9550000000000001E-2</v>
      </c>
      <c r="E23" s="46"/>
      <c r="F23" s="51"/>
      <c r="G23" s="228">
        <f>$D$23</f>
        <v>1.9550000000000001E-2</v>
      </c>
      <c r="H23" s="46"/>
      <c r="J23" s="228">
        <f>$D$23</f>
        <v>1.9550000000000001E-2</v>
      </c>
      <c r="K23" s="46"/>
      <c r="M23" s="228">
        <f>$D$23</f>
        <v>1.9550000000000001E-2</v>
      </c>
      <c r="N23" s="46"/>
      <c r="P23" s="228">
        <f>$D$23</f>
        <v>1.9550000000000001E-2</v>
      </c>
      <c r="Q23" s="46"/>
      <c r="S23" s="228">
        <f>$D$23</f>
        <v>1.9550000000000001E-2</v>
      </c>
      <c r="T23" s="46"/>
    </row>
    <row r="24" spans="3:20" x14ac:dyDescent="0.35">
      <c r="C24" s="190" t="s">
        <v>62</v>
      </c>
      <c r="D24" s="73">
        <v>1.1209999999999999E-2</v>
      </c>
      <c r="E24" s="46"/>
      <c r="F24" s="51"/>
      <c r="G24" s="228">
        <f>$D$24</f>
        <v>1.1209999999999999E-2</v>
      </c>
      <c r="H24" s="46"/>
      <c r="J24" s="228">
        <f>$D$24</f>
        <v>1.1209999999999999E-2</v>
      </c>
      <c r="K24" s="46"/>
      <c r="M24" s="228">
        <f>$D$24</f>
        <v>1.1209999999999999E-2</v>
      </c>
      <c r="N24" s="46"/>
      <c r="P24" s="260">
        <f>'Schedule 149 Revenue'!$E$8</f>
        <v>0</v>
      </c>
      <c r="Q24" s="46"/>
      <c r="S24" s="260">
        <f>'Schedule 149 Revenue'!$E$8</f>
        <v>0</v>
      </c>
      <c r="T24" s="46"/>
    </row>
    <row r="25" spans="3:20" x14ac:dyDescent="0.35">
      <c r="C25" s="190" t="s">
        <v>14</v>
      </c>
      <c r="D25" s="53">
        <f>SUM(D17:D24)</f>
        <v>0.41037000000000001</v>
      </c>
      <c r="E25" s="46">
        <f>ROUND(D25*D$8,2)</f>
        <v>26.26</v>
      </c>
      <c r="F25" s="51"/>
      <c r="G25" s="53">
        <f>SUM(G17:G24)</f>
        <v>0.50902000000000003</v>
      </c>
      <c r="H25" s="46">
        <f>ROUND(G25*G$8,2)</f>
        <v>32.58</v>
      </c>
      <c r="J25" s="53">
        <f>SUM(J17:J24)</f>
        <v>0.38913999999999999</v>
      </c>
      <c r="K25" s="46">
        <f>ROUND(J25*J$8,2)</f>
        <v>24.9</v>
      </c>
      <c r="M25" s="53">
        <f>SUM(M17:M24)</f>
        <v>0.41516000000000003</v>
      </c>
      <c r="N25" s="46">
        <f>ROUND(M25*M$8,2)</f>
        <v>26.57</v>
      </c>
      <c r="P25" s="53">
        <f>SUM(P17:P24)</f>
        <v>0.39916000000000001</v>
      </c>
      <c r="Q25" s="46">
        <f>ROUND(P25*P$8,2)</f>
        <v>25.55</v>
      </c>
      <c r="S25" s="53">
        <f>SUM(S17:S24)</f>
        <v>0.48137000000000002</v>
      </c>
      <c r="T25" s="46">
        <f>ROUND(S25*S$8,2)</f>
        <v>30.81</v>
      </c>
    </row>
    <row r="26" spans="3:20" x14ac:dyDescent="0.35">
      <c r="T26" s="46"/>
    </row>
    <row r="27" spans="3:20" x14ac:dyDescent="0.35">
      <c r="C27" s="190" t="s">
        <v>63</v>
      </c>
      <c r="D27" s="200">
        <v>1.8149999999999999E-2</v>
      </c>
      <c r="E27" s="46">
        <f>ROUND(D27*D$8,2)</f>
        <v>1.1599999999999999</v>
      </c>
      <c r="F27" s="51"/>
      <c r="G27" s="231">
        <f>$D$27</f>
        <v>1.8149999999999999E-2</v>
      </c>
      <c r="H27" s="46">
        <f>ROUND(G27*G$8,2)</f>
        <v>1.1599999999999999</v>
      </c>
      <c r="J27" s="231">
        <f>$D$27</f>
        <v>1.8149999999999999E-2</v>
      </c>
      <c r="K27" s="46">
        <f>ROUND(J27*J$8,2)</f>
        <v>1.1599999999999999</v>
      </c>
      <c r="M27" s="231">
        <f>$D$27</f>
        <v>1.8149999999999999E-2</v>
      </c>
      <c r="N27" s="46">
        <f>ROUND(M27*M$8,2)</f>
        <v>1.1599999999999999</v>
      </c>
      <c r="P27" s="231">
        <f>$D$27</f>
        <v>1.8149999999999999E-2</v>
      </c>
      <c r="Q27" s="46">
        <f>ROUND(P27*P$8,2)</f>
        <v>1.1599999999999999</v>
      </c>
      <c r="S27" s="231">
        <f>$D$27</f>
        <v>1.8149999999999999E-2</v>
      </c>
      <c r="T27" s="46">
        <f>ROUND(S27*S$8,2)</f>
        <v>1.1599999999999999</v>
      </c>
    </row>
    <row r="28" spans="3:20" x14ac:dyDescent="0.35">
      <c r="D28" s="201"/>
      <c r="E28" s="46"/>
      <c r="F28" s="51"/>
      <c r="G28" s="52"/>
      <c r="H28" s="46"/>
      <c r="J28" s="52"/>
      <c r="K28" s="46"/>
      <c r="M28" s="52"/>
      <c r="N28" s="46"/>
      <c r="P28" s="52"/>
      <c r="Q28" s="46"/>
      <c r="S28" s="52"/>
      <c r="T28" s="46"/>
    </row>
    <row r="29" spans="3:20" x14ac:dyDescent="0.35">
      <c r="C29" s="190" t="s">
        <v>64</v>
      </c>
      <c r="D29" s="200">
        <v>0</v>
      </c>
      <c r="E29" s="46">
        <f>ROUND(D29*D$8,2)</f>
        <v>0</v>
      </c>
      <c r="F29" s="51"/>
      <c r="G29" s="228">
        <f>$D$29</f>
        <v>0</v>
      </c>
      <c r="H29" s="46">
        <f>ROUND(G29*G$8,2)</f>
        <v>0</v>
      </c>
      <c r="J29" s="228">
        <f>$D$29</f>
        <v>0</v>
      </c>
      <c r="K29" s="46">
        <f>ROUND(J29*J$8,2)</f>
        <v>0</v>
      </c>
      <c r="M29" s="228">
        <f>$D$29</f>
        <v>0</v>
      </c>
      <c r="N29" s="46">
        <f>ROUND(M29*M$8,2)</f>
        <v>0</v>
      </c>
      <c r="P29" s="228">
        <f>$D$29</f>
        <v>0</v>
      </c>
      <c r="Q29" s="46">
        <f>ROUND(P29*P$8,2)</f>
        <v>0</v>
      </c>
      <c r="S29" s="228">
        <f>$D$29</f>
        <v>0</v>
      </c>
      <c r="T29" s="46">
        <f>ROUND(S29*S$8,2)</f>
        <v>0</v>
      </c>
    </row>
    <row r="30" spans="3:20" x14ac:dyDescent="0.35">
      <c r="D30" s="201"/>
      <c r="E30" s="46"/>
      <c r="F30" s="51"/>
      <c r="G30" s="52"/>
      <c r="H30" s="46"/>
      <c r="J30" s="52"/>
      <c r="K30" s="46"/>
      <c r="M30" s="52"/>
      <c r="N30" s="46"/>
      <c r="P30" s="52"/>
      <c r="Q30" s="46"/>
      <c r="S30" s="52"/>
      <c r="T30" s="46"/>
    </row>
    <row r="31" spans="3:20" x14ac:dyDescent="0.35">
      <c r="C31" s="190" t="s">
        <v>65</v>
      </c>
      <c r="D31" s="200">
        <v>0.32665</v>
      </c>
      <c r="E31" s="46"/>
      <c r="F31" s="51"/>
      <c r="G31" s="52">
        <f>$D$31</f>
        <v>0.32665</v>
      </c>
      <c r="H31" s="46"/>
      <c r="J31" s="52">
        <f>$D$31</f>
        <v>0.32665</v>
      </c>
      <c r="K31" s="46"/>
      <c r="M31" s="52">
        <f>$D$31</f>
        <v>0.32665</v>
      </c>
      <c r="N31" s="46"/>
      <c r="P31" s="52">
        <f>$D$31</f>
        <v>0.32665</v>
      </c>
      <c r="Q31" s="46"/>
      <c r="S31" s="52">
        <f>$D$31</f>
        <v>0.32665</v>
      </c>
      <c r="T31" s="46"/>
    </row>
    <row r="32" spans="3:20" x14ac:dyDescent="0.35">
      <c r="C32" s="190" t="s">
        <v>66</v>
      </c>
      <c r="D32" s="200">
        <v>-3.8500000000000001E-3</v>
      </c>
      <c r="E32" s="46"/>
      <c r="F32" s="51"/>
      <c r="G32" s="228">
        <f>$D$32</f>
        <v>-3.8500000000000001E-3</v>
      </c>
      <c r="H32" s="46"/>
      <c r="J32" s="228">
        <f>$D$32</f>
        <v>-3.8500000000000001E-3</v>
      </c>
      <c r="K32" s="46"/>
      <c r="M32" s="228">
        <f>$D$32</f>
        <v>-3.8500000000000001E-3</v>
      </c>
      <c r="N32" s="46"/>
      <c r="P32" s="228">
        <f>$D$32</f>
        <v>-3.8500000000000001E-3</v>
      </c>
      <c r="Q32" s="46"/>
      <c r="S32" s="228">
        <f>$D$32</f>
        <v>-3.8500000000000001E-3</v>
      </c>
      <c r="T32" s="46"/>
    </row>
    <row r="33" spans="2:20" x14ac:dyDescent="0.35">
      <c r="C33" s="190" t="s">
        <v>14</v>
      </c>
      <c r="D33" s="53">
        <f>SUM(D31:D32)</f>
        <v>0.32279999999999998</v>
      </c>
      <c r="E33" s="46">
        <f>ROUND(D33*D$8,2)</f>
        <v>20.66</v>
      </c>
      <c r="F33" s="51"/>
      <c r="G33" s="53">
        <f>SUM(G31:G32)</f>
        <v>0.32279999999999998</v>
      </c>
      <c r="H33" s="46">
        <f>ROUND(G33*G$8,2)</f>
        <v>20.66</v>
      </c>
      <c r="J33" s="53">
        <f>SUM(J31:J32)</f>
        <v>0.32279999999999998</v>
      </c>
      <c r="K33" s="46">
        <f>ROUND(J33*J$8,2)</f>
        <v>20.66</v>
      </c>
      <c r="M33" s="53">
        <f>SUM(M31:M32)</f>
        <v>0.32279999999999998</v>
      </c>
      <c r="N33" s="46">
        <f>ROUND(M33*M$8,2)</f>
        <v>20.66</v>
      </c>
      <c r="P33" s="53">
        <f>SUM(P31:P32)</f>
        <v>0.32279999999999998</v>
      </c>
      <c r="Q33" s="46">
        <f>ROUND(P33*P$8,2)</f>
        <v>20.66</v>
      </c>
      <c r="S33" s="53">
        <f>SUM(S31:S32)</f>
        <v>0.32279999999999998</v>
      </c>
      <c r="T33" s="46">
        <f>ROUND(S33*S$8,2)</f>
        <v>20.66</v>
      </c>
    </row>
    <row r="34" spans="2:20" x14ac:dyDescent="0.35">
      <c r="C34" s="190" t="s">
        <v>67</v>
      </c>
      <c r="D34" s="53">
        <f>D25+D27+D29+D33</f>
        <v>0.75131999999999999</v>
      </c>
      <c r="E34" s="54">
        <f>SUM(E25,E27,E29,E33)</f>
        <v>48.08</v>
      </c>
      <c r="F34" s="55"/>
      <c r="G34" s="53">
        <f>G25+G27+G29+G33</f>
        <v>0.84997</v>
      </c>
      <c r="H34" s="54">
        <f>SUM(H25,H27,H29,H33)</f>
        <v>54.399999999999991</v>
      </c>
      <c r="J34" s="53">
        <f>J25+J27+J29+J33</f>
        <v>0.73008999999999991</v>
      </c>
      <c r="K34" s="54">
        <f>SUM(K25,K27,K29,K33)</f>
        <v>46.72</v>
      </c>
      <c r="M34" s="53">
        <f>M25+M27+M29+M33</f>
        <v>0.75611000000000006</v>
      </c>
      <c r="N34" s="54">
        <f>SUM(N25,N27,N29,N33)</f>
        <v>48.39</v>
      </c>
      <c r="P34" s="53">
        <f>P25+P27+P29+P33</f>
        <v>0.74011000000000005</v>
      </c>
      <c r="Q34" s="54">
        <f>SUM(Q25,Q27,Q29,Q33)</f>
        <v>47.370000000000005</v>
      </c>
      <c r="S34" s="53">
        <f>S25+S27+S29+S33</f>
        <v>0.82231999999999994</v>
      </c>
      <c r="T34" s="54">
        <f>SUM(T25,T27,T29,T33)</f>
        <v>52.629999999999995</v>
      </c>
    </row>
    <row r="35" spans="2:20" x14ac:dyDescent="0.35">
      <c r="E35" s="46"/>
      <c r="H35" s="46"/>
      <c r="K35" s="46"/>
      <c r="N35" s="46"/>
      <c r="Q35" s="46"/>
      <c r="T35" s="46"/>
    </row>
    <row r="36" spans="2:20" x14ac:dyDescent="0.35">
      <c r="B36" s="190" t="s">
        <v>68</v>
      </c>
      <c r="D36" s="50"/>
      <c r="E36" s="46">
        <f>E14+E34</f>
        <v>59.599999999999994</v>
      </c>
      <c r="F36" s="56"/>
      <c r="G36" s="50"/>
      <c r="H36" s="46">
        <f>H14+H34</f>
        <v>66.44</v>
      </c>
      <c r="J36" s="50"/>
      <c r="K36" s="46">
        <f>K14+K34</f>
        <v>57.57</v>
      </c>
      <c r="M36" s="50"/>
      <c r="N36" s="46">
        <f>N14+N34</f>
        <v>60.06</v>
      </c>
      <c r="P36" s="50"/>
      <c r="Q36" s="46">
        <f>Q14+Q34</f>
        <v>58.89</v>
      </c>
      <c r="S36" s="50"/>
      <c r="T36" s="46">
        <f>T14+T34</f>
        <v>64.149999999999991</v>
      </c>
    </row>
    <row r="37" spans="2:20" x14ac:dyDescent="0.35">
      <c r="B37" s="190" t="s">
        <v>69</v>
      </c>
      <c r="D37" s="50"/>
      <c r="E37" s="46"/>
      <c r="F37" s="56"/>
      <c r="G37" s="50"/>
      <c r="H37" s="46">
        <f>H36-$E36</f>
        <v>6.8400000000000034</v>
      </c>
      <c r="J37" s="50"/>
      <c r="K37" s="46">
        <f>K36-$E36</f>
        <v>-2.029999999999994</v>
      </c>
      <c r="M37" s="50"/>
      <c r="N37" s="46">
        <f>N36-$E36</f>
        <v>0.46000000000000796</v>
      </c>
      <c r="P37" s="50"/>
      <c r="Q37" s="46">
        <f>Q36-$E36</f>
        <v>-0.70999999999999375</v>
      </c>
      <c r="S37" s="50"/>
      <c r="T37" s="46">
        <f>T36-$E36</f>
        <v>4.5499999999999972</v>
      </c>
    </row>
    <row r="38" spans="2:20" x14ac:dyDescent="0.35">
      <c r="B38" s="190" t="s">
        <v>70</v>
      </c>
      <c r="D38" s="57"/>
      <c r="E38" s="57"/>
      <c r="F38" s="58"/>
      <c r="G38" s="57"/>
      <c r="H38" s="232">
        <f>H37/$E36</f>
        <v>0.11476510067114101</v>
      </c>
      <c r="J38" s="57"/>
      <c r="K38" s="232">
        <f>K37/$E36</f>
        <v>-3.4060402684563659E-2</v>
      </c>
      <c r="M38" s="57"/>
      <c r="N38" s="232">
        <f>N37/$E36</f>
        <v>7.7181208053692619E-3</v>
      </c>
      <c r="P38" s="57"/>
      <c r="Q38" s="232">
        <f>Q37/$E36</f>
        <v>-1.1912751677852246E-2</v>
      </c>
      <c r="S38" s="57"/>
      <c r="T38" s="232">
        <f>T37/$E36</f>
        <v>7.634228187919459E-2</v>
      </c>
    </row>
    <row r="39" spans="2:20" x14ac:dyDescent="0.35">
      <c r="E39" s="46"/>
    </row>
    <row r="40" spans="2:20" x14ac:dyDescent="0.35">
      <c r="B40" s="190" t="s">
        <v>71</v>
      </c>
      <c r="D40" s="52">
        <f>D25+D27+D29</f>
        <v>0.42852000000000001</v>
      </c>
      <c r="E40" s="46"/>
      <c r="F40" s="55"/>
      <c r="G40" s="52">
        <f>G25+G27+G29</f>
        <v>0.52717000000000003</v>
      </c>
      <c r="J40" s="52">
        <f>J25+J27+J29</f>
        <v>0.40728999999999999</v>
      </c>
      <c r="M40" s="52">
        <f>M25+M27+M29</f>
        <v>0.43331000000000003</v>
      </c>
      <c r="P40" s="52">
        <f>P25+P27+P29</f>
        <v>0.41731000000000001</v>
      </c>
      <c r="S40" s="52">
        <f>S25+S27+S29</f>
        <v>0.49952000000000002</v>
      </c>
    </row>
    <row r="42" spans="2:20" ht="16.5" x14ac:dyDescent="0.35">
      <c r="B42" s="59" t="s">
        <v>322</v>
      </c>
    </row>
    <row r="43" spans="2:20" x14ac:dyDescent="0.35">
      <c r="C43" s="59"/>
      <c r="D43" s="59"/>
      <c r="E43" s="59"/>
      <c r="F43" s="60"/>
      <c r="G43" s="60"/>
      <c r="H43" s="60"/>
    </row>
    <row r="48" spans="2:20" ht="14.25" customHeight="1" x14ac:dyDescent="0.35"/>
  </sheetData>
  <mergeCells count="4">
    <mergeCell ref="B1:T1"/>
    <mergeCell ref="B2:T2"/>
    <mergeCell ref="B3:T3"/>
    <mergeCell ref="B4:T4"/>
  </mergeCells>
  <printOptions horizontalCentered="1"/>
  <pageMargins left="0.5" right="0.5" top="1" bottom="1" header="0.5" footer="0.5"/>
  <pageSetup scale="66" orientation="landscape" blackAndWhite="1" r:id="rId1"/>
  <headerFooter alignWithMargins="0">
    <oddFooter>&amp;L&amp;F  
&amp;A&amp;RExhibit No. ___(JAP-15)
                   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8"/>
  <sheetViews>
    <sheetView zoomScaleNormal="100" workbookViewId="0">
      <pane ySplit="8" topLeftCell="A63" activePane="bottomLeft" state="frozen"/>
      <selection pane="bottomLeft" activeCell="B95" sqref="B95"/>
    </sheetView>
  </sheetViews>
  <sheetFormatPr defaultColWidth="9.1796875" defaultRowHeight="12.5" x14ac:dyDescent="0.25"/>
  <cols>
    <col min="1" max="1" width="2.81640625" style="105" customWidth="1"/>
    <col min="2" max="2" width="40.81640625" style="105" customWidth="1"/>
    <col min="3" max="3" width="8.7265625" style="105" bestFit="1" customWidth="1"/>
    <col min="4" max="4" width="16.54296875" style="105" bestFit="1" customWidth="1"/>
    <col min="5" max="6" width="14.453125" style="105" customWidth="1"/>
    <col min="7" max="8" width="17.1796875" style="105" customWidth="1"/>
    <col min="9" max="9" width="15.54296875" style="105" customWidth="1"/>
    <col min="10" max="11" width="9.1796875" style="105"/>
    <col min="12" max="13" width="11.26953125" style="105" bestFit="1" customWidth="1"/>
    <col min="14" max="14" width="9.7265625" style="105" bestFit="1" customWidth="1"/>
    <col min="15" max="16384" width="9.1796875" style="105"/>
  </cols>
  <sheetData>
    <row r="1" spans="1:13" x14ac:dyDescent="0.25">
      <c r="A1" s="337" t="s">
        <v>0</v>
      </c>
      <c r="B1" s="337"/>
      <c r="C1" s="337"/>
      <c r="D1" s="337"/>
      <c r="E1" s="337"/>
      <c r="F1" s="337"/>
      <c r="G1" s="337"/>
      <c r="H1" s="337"/>
      <c r="I1" s="104"/>
    </row>
    <row r="2" spans="1:13" x14ac:dyDescent="0.25">
      <c r="A2" s="337" t="s">
        <v>270</v>
      </c>
      <c r="B2" s="337"/>
      <c r="C2" s="337"/>
      <c r="D2" s="337"/>
      <c r="E2" s="337"/>
      <c r="F2" s="337"/>
      <c r="G2" s="337"/>
      <c r="H2" s="337"/>
      <c r="I2" s="104"/>
    </row>
    <row r="3" spans="1:13" x14ac:dyDescent="0.25">
      <c r="A3" s="337" t="s">
        <v>263</v>
      </c>
      <c r="B3" s="337"/>
      <c r="C3" s="337"/>
      <c r="D3" s="337"/>
      <c r="E3" s="337"/>
      <c r="F3" s="337"/>
      <c r="G3" s="337"/>
      <c r="H3" s="337"/>
      <c r="I3" s="104"/>
    </row>
    <row r="4" spans="1:13" ht="13" x14ac:dyDescent="0.3">
      <c r="A4" s="159"/>
      <c r="B4" s="159"/>
      <c r="C4" s="159"/>
      <c r="D4" s="159"/>
      <c r="E4" s="159"/>
      <c r="F4" s="159"/>
      <c r="G4" s="158"/>
      <c r="H4" s="104"/>
    </row>
    <row r="5" spans="1:13" x14ac:dyDescent="0.25">
      <c r="A5" s="106"/>
      <c r="B5" s="106"/>
      <c r="C5" s="106"/>
      <c r="D5" s="106"/>
      <c r="E5" s="106"/>
      <c r="F5" s="106"/>
      <c r="G5" s="106"/>
      <c r="H5" s="104"/>
    </row>
    <row r="6" spans="1:13" ht="15" customHeight="1" x14ac:dyDescent="0.35">
      <c r="C6" s="106"/>
      <c r="D6" s="5" t="s">
        <v>15</v>
      </c>
      <c r="E6" s="107" t="s">
        <v>5</v>
      </c>
      <c r="F6" s="107" t="s">
        <v>1</v>
      </c>
      <c r="G6" s="5"/>
      <c r="H6" s="106" t="s">
        <v>72</v>
      </c>
    </row>
    <row r="7" spans="1:13" ht="15" customHeight="1" x14ac:dyDescent="0.35">
      <c r="C7" s="106" t="s">
        <v>17</v>
      </c>
      <c r="D7" s="5" t="s">
        <v>3</v>
      </c>
      <c r="E7" s="107" t="s">
        <v>72</v>
      </c>
      <c r="F7" s="107" t="s">
        <v>72</v>
      </c>
      <c r="G7" s="5" t="s">
        <v>15</v>
      </c>
      <c r="H7" s="106" t="s">
        <v>207</v>
      </c>
    </row>
    <row r="8" spans="1:13" ht="14.5" x14ac:dyDescent="0.35">
      <c r="A8" s="127" t="s">
        <v>117</v>
      </c>
      <c r="B8" s="127"/>
      <c r="C8" s="108" t="s">
        <v>21</v>
      </c>
      <c r="D8" s="238" t="str">
        <f>'Base Rate Impacts'!$D$8</f>
        <v>Jan 18 - Dec 18</v>
      </c>
      <c r="E8" s="109" t="s">
        <v>22</v>
      </c>
      <c r="F8" s="109" t="s">
        <v>22</v>
      </c>
      <c r="G8" s="108" t="s">
        <v>248</v>
      </c>
      <c r="H8" s="108" t="s">
        <v>245</v>
      </c>
    </row>
    <row r="9" spans="1:13" x14ac:dyDescent="0.25">
      <c r="A9" s="111"/>
      <c r="B9" s="111"/>
      <c r="C9" s="111"/>
      <c r="D9" s="111"/>
      <c r="E9" s="112"/>
      <c r="F9" s="112"/>
      <c r="G9" s="111"/>
      <c r="H9" s="110"/>
    </row>
    <row r="10" spans="1:13" x14ac:dyDescent="0.25">
      <c r="A10" s="105" t="s">
        <v>119</v>
      </c>
      <c r="B10" s="111"/>
      <c r="C10" s="111">
        <v>16</v>
      </c>
      <c r="D10" s="143">
        <f>'Normalized Therms'!P10</f>
        <v>9386</v>
      </c>
      <c r="E10" s="113">
        <v>0</v>
      </c>
      <c r="F10" s="113">
        <v>0</v>
      </c>
      <c r="G10" s="114">
        <f>ROUND(E10*D10,2)</f>
        <v>0</v>
      </c>
      <c r="H10" s="114">
        <f>ROUND((F10-E10)*D10,2)</f>
        <v>0</v>
      </c>
    </row>
    <row r="11" spans="1:13" x14ac:dyDescent="0.25">
      <c r="A11" s="111"/>
      <c r="B11" s="111"/>
      <c r="C11" s="111"/>
      <c r="D11" s="144"/>
      <c r="E11" s="115"/>
      <c r="F11" s="115"/>
      <c r="G11" s="114"/>
      <c r="H11" s="110"/>
    </row>
    <row r="12" spans="1:13" ht="14.5" x14ac:dyDescent="0.35">
      <c r="A12" s="105" t="s">
        <v>10</v>
      </c>
      <c r="C12" s="106">
        <v>85</v>
      </c>
      <c r="D12" s="145"/>
      <c r="E12" s="116"/>
      <c r="F12" s="116"/>
      <c r="G12" s="119"/>
      <c r="H12" s="114"/>
      <c r="K12" s="114"/>
      <c r="L12" s="114"/>
      <c r="M12" s="114"/>
    </row>
    <row r="13" spans="1:13" x14ac:dyDescent="0.25">
      <c r="B13" s="105" t="s">
        <v>86</v>
      </c>
      <c r="C13" s="106"/>
      <c r="D13" s="143">
        <f>'12ME Dec18 Data'!N29</f>
        <v>329.5178182456545</v>
      </c>
      <c r="E13" s="120">
        <v>0</v>
      </c>
      <c r="F13" s="120">
        <v>0</v>
      </c>
      <c r="G13" s="114">
        <f>ROUND(E13*D13,2)</f>
        <v>0</v>
      </c>
      <c r="H13" s="114">
        <f>ROUND((F13-E13)*D13,2)</f>
        <v>0</v>
      </c>
      <c r="K13" s="114"/>
      <c r="L13" s="114"/>
      <c r="M13" s="114"/>
    </row>
    <row r="14" spans="1:13" x14ac:dyDescent="0.25">
      <c r="B14" s="105" t="s">
        <v>78</v>
      </c>
      <c r="C14" s="106"/>
      <c r="D14" s="143"/>
      <c r="E14" s="120"/>
      <c r="F14" s="120"/>
      <c r="G14" s="114"/>
      <c r="H14" s="114"/>
      <c r="K14" s="114"/>
      <c r="L14" s="114"/>
      <c r="M14" s="114"/>
    </row>
    <row r="15" spans="1:13" x14ac:dyDescent="0.25">
      <c r="B15" s="105" t="s">
        <v>87</v>
      </c>
      <c r="C15" s="106"/>
      <c r="D15" s="143">
        <f>'Normalized Therms'!P14</f>
        <v>16184434.068649085</v>
      </c>
      <c r="E15" s="121">
        <v>0</v>
      </c>
      <c r="F15" s="121">
        <v>0</v>
      </c>
      <c r="G15" s="114">
        <f>ROUND(E15*D15,2)</f>
        <v>0</v>
      </c>
      <c r="H15" s="114">
        <f>ROUND((F15-E15)*D15,2)</f>
        <v>0</v>
      </c>
      <c r="K15" s="114"/>
      <c r="L15" s="114"/>
      <c r="M15" s="114"/>
    </row>
    <row r="16" spans="1:13" ht="14.5" x14ac:dyDescent="0.35">
      <c r="B16" s="105" t="s">
        <v>79</v>
      </c>
      <c r="C16" s="106"/>
      <c r="D16" s="145"/>
      <c r="E16" s="121"/>
      <c r="F16" s="121"/>
      <c r="G16" s="119"/>
      <c r="H16" s="114"/>
      <c r="K16" s="114"/>
      <c r="L16" s="114"/>
      <c r="M16" s="114"/>
    </row>
    <row r="17" spans="1:13" x14ac:dyDescent="0.25">
      <c r="B17" s="105" t="s">
        <v>88</v>
      </c>
      <c r="C17" s="106"/>
      <c r="D17" s="143">
        <f>'Normalized Therms'!$P$14*'12ME Dec18 Bill Freq'!N13</f>
        <v>7617621.6730000013</v>
      </c>
      <c r="E17" s="121">
        <v>0</v>
      </c>
      <c r="F17" s="121">
        <v>0</v>
      </c>
      <c r="G17" s="114">
        <f>ROUND(E17*D17,2)</f>
        <v>0</v>
      </c>
      <c r="H17" s="114">
        <f t="shared" ref="H17:H19" si="0">ROUND((F17-E17)*D17,2)</f>
        <v>0</v>
      </c>
      <c r="K17" s="114"/>
      <c r="L17" s="114"/>
      <c r="M17" s="114"/>
    </row>
    <row r="18" spans="1:13" x14ac:dyDescent="0.25">
      <c r="B18" s="105" t="s">
        <v>89</v>
      </c>
      <c r="C18" s="106"/>
      <c r="D18" s="143">
        <f>'Normalized Therms'!$P$14*'12ME Dec18 Bill Freq'!N14</f>
        <v>4021281.8229999999</v>
      </c>
      <c r="E18" s="121">
        <v>0</v>
      </c>
      <c r="F18" s="121">
        <v>0</v>
      </c>
      <c r="G18" s="114">
        <f>ROUND(E18*D18,2)</f>
        <v>0</v>
      </c>
      <c r="H18" s="114">
        <f t="shared" si="0"/>
        <v>0</v>
      </c>
      <c r="K18" s="114"/>
      <c r="L18" s="114"/>
      <c r="M18" s="114"/>
    </row>
    <row r="19" spans="1:13" x14ac:dyDescent="0.25">
      <c r="B19" s="105" t="s">
        <v>90</v>
      </c>
      <c r="C19" s="106"/>
      <c r="D19" s="143">
        <f>'Normalized Therms'!$P$14*'12ME Dec18 Bill Freq'!N15</f>
        <v>4545530.572649084</v>
      </c>
      <c r="E19" s="121">
        <v>0</v>
      </c>
      <c r="F19" s="121">
        <v>0</v>
      </c>
      <c r="G19" s="118">
        <f>ROUND(E19*D19,2)</f>
        <v>0</v>
      </c>
      <c r="H19" s="114">
        <f t="shared" si="0"/>
        <v>0</v>
      </c>
      <c r="K19" s="114"/>
      <c r="L19" s="114"/>
      <c r="M19" s="114"/>
    </row>
    <row r="20" spans="1:13" x14ac:dyDescent="0.25">
      <c r="B20" s="105" t="s">
        <v>6</v>
      </c>
      <c r="C20" s="106"/>
      <c r="D20" s="143"/>
      <c r="E20" s="121"/>
      <c r="F20" s="121"/>
      <c r="G20" s="114">
        <f>SUM(G13:G19)</f>
        <v>0</v>
      </c>
      <c r="H20" s="160">
        <f>SUM(H13:H19)</f>
        <v>0</v>
      </c>
      <c r="K20" s="114"/>
      <c r="L20" s="114"/>
      <c r="M20" s="114"/>
    </row>
    <row r="21" spans="1:13" x14ac:dyDescent="0.25">
      <c r="C21" s="106"/>
      <c r="D21" s="145"/>
      <c r="E21" s="121"/>
      <c r="F21" s="121"/>
      <c r="G21" s="114"/>
      <c r="H21" s="114"/>
      <c r="K21" s="114"/>
      <c r="L21" s="114"/>
      <c r="M21" s="114"/>
    </row>
    <row r="22" spans="1:13" ht="14.5" x14ac:dyDescent="0.35">
      <c r="A22" s="105" t="s">
        <v>91</v>
      </c>
      <c r="C22" s="106" t="s">
        <v>37</v>
      </c>
      <c r="D22" s="145"/>
      <c r="E22" s="121"/>
      <c r="F22" s="121"/>
      <c r="G22" s="119"/>
      <c r="H22" s="114"/>
      <c r="K22" s="114"/>
      <c r="L22" s="114"/>
      <c r="M22" s="114"/>
    </row>
    <row r="23" spans="1:13" x14ac:dyDescent="0.25">
      <c r="B23" s="105" t="s">
        <v>86</v>
      </c>
      <c r="C23" s="106"/>
      <c r="D23" s="143">
        <f>'12ME Dec18 Data'!N30</f>
        <v>1199.4001036779719</v>
      </c>
      <c r="E23" s="120">
        <v>0</v>
      </c>
      <c r="F23" s="120">
        <v>0</v>
      </c>
      <c r="G23" s="114">
        <f>ROUND(E23*D23,2)</f>
        <v>0</v>
      </c>
      <c r="H23" s="114">
        <f t="shared" ref="H23:H24" si="1">ROUND((F23-E23)*D23,2)</f>
        <v>0</v>
      </c>
      <c r="K23" s="114"/>
      <c r="L23" s="114"/>
      <c r="M23" s="114"/>
    </row>
    <row r="24" spans="1:13" x14ac:dyDescent="0.25">
      <c r="B24" s="105" t="s">
        <v>78</v>
      </c>
      <c r="C24" s="106"/>
      <c r="D24" s="143"/>
      <c r="E24" s="121">
        <v>0</v>
      </c>
      <c r="F24" s="121">
        <v>0</v>
      </c>
      <c r="G24" s="114">
        <f>ROUND(E24*D24,2)</f>
        <v>0</v>
      </c>
      <c r="H24" s="114">
        <f t="shared" si="1"/>
        <v>0</v>
      </c>
      <c r="K24" s="114"/>
      <c r="L24" s="114"/>
      <c r="M24" s="114"/>
    </row>
    <row r="25" spans="1:13" ht="14.5" x14ac:dyDescent="0.35">
      <c r="B25" s="105" t="s">
        <v>79</v>
      </c>
      <c r="C25" s="106"/>
      <c r="D25" s="145"/>
      <c r="E25" s="121"/>
      <c r="F25" s="121"/>
      <c r="G25" s="119"/>
      <c r="H25" s="114"/>
      <c r="K25" s="114"/>
      <c r="L25" s="114"/>
      <c r="M25" s="114"/>
    </row>
    <row r="26" spans="1:13" x14ac:dyDescent="0.25">
      <c r="B26" s="105" t="s">
        <v>88</v>
      </c>
      <c r="C26" s="106"/>
      <c r="D26" s="143">
        <f>'Normalized Therms'!$P$19*'12ME Dec18 Bill Freq'!N43</f>
        <v>28123063.68</v>
      </c>
      <c r="E26" s="121">
        <v>0</v>
      </c>
      <c r="F26" s="121">
        <v>0</v>
      </c>
      <c r="G26" s="114">
        <f>ROUND(E26*D26,2)</f>
        <v>0</v>
      </c>
      <c r="H26" s="114">
        <f t="shared" ref="H26:H28" si="2">ROUND((F26-E26)*D26,2)</f>
        <v>0</v>
      </c>
      <c r="K26" s="114"/>
      <c r="L26" s="114"/>
      <c r="M26" s="114"/>
    </row>
    <row r="27" spans="1:13" x14ac:dyDescent="0.25">
      <c r="B27" s="105" t="s">
        <v>89</v>
      </c>
      <c r="C27" s="106"/>
      <c r="D27" s="143">
        <f>'Normalized Therms'!$P$19*'12ME Dec18 Bill Freq'!N44</f>
        <v>18732272.720000003</v>
      </c>
      <c r="E27" s="121">
        <v>0</v>
      </c>
      <c r="F27" s="121">
        <v>0</v>
      </c>
      <c r="G27" s="114">
        <f>ROUND(E27*D27,2)</f>
        <v>0</v>
      </c>
      <c r="H27" s="114">
        <f t="shared" si="2"/>
        <v>0</v>
      </c>
      <c r="K27" s="114"/>
      <c r="L27" s="114"/>
      <c r="M27" s="114"/>
    </row>
    <row r="28" spans="1:13" x14ac:dyDescent="0.25">
      <c r="B28" s="105" t="s">
        <v>90</v>
      </c>
      <c r="C28" s="106"/>
      <c r="D28" s="143">
        <f>'Normalized Therms'!$P$19*'12ME Dec18 Bill Freq'!N45</f>
        <v>27918200.734971087</v>
      </c>
      <c r="E28" s="121">
        <v>0</v>
      </c>
      <c r="F28" s="121">
        <v>0</v>
      </c>
      <c r="G28" s="118">
        <f>ROUND(E28*D28,2)</f>
        <v>0</v>
      </c>
      <c r="H28" s="114">
        <f t="shared" si="2"/>
        <v>0</v>
      </c>
      <c r="K28" s="114"/>
      <c r="L28" s="114"/>
      <c r="M28" s="114"/>
    </row>
    <row r="29" spans="1:13" x14ac:dyDescent="0.25">
      <c r="B29" s="105" t="s">
        <v>6</v>
      </c>
      <c r="C29" s="106"/>
      <c r="D29" s="143"/>
      <c r="E29" s="116"/>
      <c r="F29" s="116"/>
      <c r="G29" s="114">
        <f>SUM(G23:G28)</f>
        <v>0</v>
      </c>
      <c r="H29" s="160">
        <f>SUM(H23:H28)</f>
        <v>0</v>
      </c>
      <c r="K29" s="114"/>
      <c r="L29" s="114"/>
      <c r="M29" s="114"/>
    </row>
    <row r="30" spans="1:13" x14ac:dyDescent="0.25">
      <c r="C30" s="106"/>
      <c r="D30" s="143"/>
      <c r="E30" s="116"/>
      <c r="F30" s="116"/>
      <c r="G30" s="114"/>
      <c r="H30" s="114"/>
      <c r="K30" s="114"/>
      <c r="L30" s="114"/>
      <c r="M30" s="114"/>
    </row>
    <row r="31" spans="1:13" x14ac:dyDescent="0.25">
      <c r="B31" s="105" t="s">
        <v>92</v>
      </c>
      <c r="C31" s="106" t="s">
        <v>93</v>
      </c>
      <c r="D31" s="143"/>
      <c r="E31" s="116"/>
      <c r="F31" s="116"/>
      <c r="G31" s="114">
        <f>G20+G29</f>
        <v>0</v>
      </c>
      <c r="H31" s="114">
        <f>ROUND((F31-E31)*D31,2)</f>
        <v>0</v>
      </c>
      <c r="K31" s="114"/>
      <c r="L31" s="114"/>
      <c r="M31" s="114"/>
    </row>
    <row r="32" spans="1:13" x14ac:dyDescent="0.25">
      <c r="C32" s="106"/>
      <c r="D32" s="143"/>
      <c r="E32" s="116"/>
      <c r="F32" s="116"/>
      <c r="G32" s="114"/>
      <c r="H32" s="114"/>
      <c r="K32" s="114"/>
      <c r="L32" s="114"/>
      <c r="M32" s="114"/>
    </row>
    <row r="33" spans="1:13" ht="14.5" x14ac:dyDescent="0.35">
      <c r="A33" s="105" t="s">
        <v>10</v>
      </c>
      <c r="C33" s="106">
        <v>87</v>
      </c>
      <c r="D33" s="145"/>
      <c r="E33" s="116"/>
      <c r="F33" s="116"/>
      <c r="G33" s="119"/>
      <c r="H33" s="114"/>
      <c r="K33" s="114"/>
      <c r="L33" s="114"/>
      <c r="M33" s="114"/>
    </row>
    <row r="34" spans="1:13" x14ac:dyDescent="0.25">
      <c r="B34" s="105" t="s">
        <v>86</v>
      </c>
      <c r="C34" s="106"/>
      <c r="D34" s="143">
        <f>'12ME Dec18 Data'!N33</f>
        <v>60.025001175986063</v>
      </c>
      <c r="E34" s="120">
        <v>0</v>
      </c>
      <c r="F34" s="120">
        <v>0</v>
      </c>
      <c r="G34" s="114">
        <f>ROUND(E34*D34,2)</f>
        <v>0</v>
      </c>
      <c r="H34" s="114">
        <f t="shared" ref="H34:H36" si="3">ROUND((F34-E34)*D34,2)</f>
        <v>0</v>
      </c>
      <c r="K34" s="114"/>
      <c r="L34" s="114"/>
      <c r="M34" s="114"/>
    </row>
    <row r="35" spans="1:13" x14ac:dyDescent="0.25">
      <c r="B35" s="105" t="s">
        <v>78</v>
      </c>
      <c r="C35" s="106"/>
      <c r="D35" s="143"/>
      <c r="E35" s="121">
        <v>0</v>
      </c>
      <c r="F35" s="121">
        <v>0</v>
      </c>
      <c r="G35" s="114">
        <f>ROUND(E35*D35,2)</f>
        <v>0</v>
      </c>
      <c r="H35" s="114">
        <f t="shared" si="3"/>
        <v>0</v>
      </c>
      <c r="K35" s="114"/>
      <c r="L35" s="114"/>
      <c r="M35" s="114"/>
    </row>
    <row r="36" spans="1:13" x14ac:dyDescent="0.25">
      <c r="B36" s="105" t="s">
        <v>87</v>
      </c>
      <c r="C36" s="106"/>
      <c r="D36" s="143">
        <f>'Normalized Therms'!P16</f>
        <v>23337042.118500698</v>
      </c>
      <c r="E36" s="121">
        <v>0</v>
      </c>
      <c r="F36" s="121">
        <v>0</v>
      </c>
      <c r="G36" s="114">
        <f>ROUND(E36*D36,2)</f>
        <v>0</v>
      </c>
      <c r="H36" s="114">
        <f t="shared" si="3"/>
        <v>0</v>
      </c>
      <c r="K36" s="114"/>
      <c r="L36" s="114"/>
      <c r="M36" s="114"/>
    </row>
    <row r="37" spans="1:13" ht="14.5" x14ac:dyDescent="0.35">
      <c r="B37" s="105" t="s">
        <v>79</v>
      </c>
      <c r="C37" s="106"/>
      <c r="D37" s="145"/>
      <c r="E37" s="121"/>
      <c r="F37" s="121"/>
      <c r="G37" s="119"/>
      <c r="H37" s="114"/>
      <c r="K37" s="114"/>
      <c r="L37" s="114"/>
      <c r="M37" s="114"/>
    </row>
    <row r="38" spans="1:13" x14ac:dyDescent="0.25">
      <c r="B38" s="105" t="s">
        <v>88</v>
      </c>
      <c r="C38" s="106"/>
      <c r="D38" s="143">
        <f>'Normalized Therms'!$P$16*'12ME Dec18 Bill Freq'!N26</f>
        <v>1500625.1840000001</v>
      </c>
      <c r="E38" s="121">
        <v>0</v>
      </c>
      <c r="F38" s="121">
        <v>0</v>
      </c>
      <c r="G38" s="114">
        <f t="shared" ref="G38:G43" si="4">ROUND(E38*D38,2)</f>
        <v>0</v>
      </c>
      <c r="H38" s="114">
        <f t="shared" ref="H38:H43" si="5">ROUND((F38-E38)*D38,2)</f>
        <v>0</v>
      </c>
      <c r="K38" s="114"/>
      <c r="L38" s="114"/>
      <c r="M38" s="114"/>
    </row>
    <row r="39" spans="1:13" x14ac:dyDescent="0.25">
      <c r="B39" s="105" t="s">
        <v>89</v>
      </c>
      <c r="C39" s="106"/>
      <c r="D39" s="143">
        <f>'Normalized Therms'!$P$16*'12ME Dec18 Bill Freq'!N27</f>
        <v>1470839.4030000002</v>
      </c>
      <c r="E39" s="121">
        <v>0</v>
      </c>
      <c r="F39" s="121">
        <v>0</v>
      </c>
      <c r="G39" s="114">
        <f t="shared" si="4"/>
        <v>0</v>
      </c>
      <c r="H39" s="114">
        <f t="shared" si="5"/>
        <v>0</v>
      </c>
      <c r="K39" s="114"/>
      <c r="L39" s="114"/>
      <c r="M39" s="114"/>
    </row>
    <row r="40" spans="1:13" x14ac:dyDescent="0.25">
      <c r="B40" s="105" t="s">
        <v>99</v>
      </c>
      <c r="C40" s="106"/>
      <c r="D40" s="143">
        <f>'Normalized Therms'!$P$16*'12ME Dec18 Bill Freq'!N28</f>
        <v>2603460.2510000006</v>
      </c>
      <c r="E40" s="121">
        <v>0</v>
      </c>
      <c r="F40" s="121">
        <v>0</v>
      </c>
      <c r="G40" s="114">
        <f t="shared" si="4"/>
        <v>0</v>
      </c>
      <c r="H40" s="114">
        <f t="shared" si="5"/>
        <v>0</v>
      </c>
      <c r="K40" s="114"/>
      <c r="L40" s="114"/>
      <c r="M40" s="114"/>
    </row>
    <row r="41" spans="1:13" x14ac:dyDescent="0.25">
      <c r="B41" s="105" t="s">
        <v>100</v>
      </c>
      <c r="C41" s="106"/>
      <c r="D41" s="143">
        <f>'Normalized Therms'!$P$16*'12ME Dec18 Bill Freq'!N29</f>
        <v>3197116.5290000001</v>
      </c>
      <c r="E41" s="121">
        <v>0</v>
      </c>
      <c r="F41" s="121">
        <v>0</v>
      </c>
      <c r="G41" s="114">
        <f t="shared" si="4"/>
        <v>0</v>
      </c>
      <c r="H41" s="114">
        <f t="shared" si="5"/>
        <v>0</v>
      </c>
      <c r="K41" s="114"/>
      <c r="L41" s="114"/>
      <c r="M41" s="114"/>
    </row>
    <row r="42" spans="1:13" x14ac:dyDescent="0.25">
      <c r="B42" s="122" t="s">
        <v>101</v>
      </c>
      <c r="C42" s="106"/>
      <c r="D42" s="143">
        <f>'Normalized Therms'!$P$16*'12ME Dec18 Bill Freq'!N30</f>
        <v>3739136.742000001</v>
      </c>
      <c r="E42" s="121">
        <v>0</v>
      </c>
      <c r="F42" s="121">
        <v>0</v>
      </c>
      <c r="G42" s="114">
        <f t="shared" si="4"/>
        <v>0</v>
      </c>
      <c r="H42" s="114">
        <f t="shared" si="5"/>
        <v>0</v>
      </c>
      <c r="K42" s="114"/>
      <c r="L42" s="114"/>
      <c r="M42" s="114"/>
    </row>
    <row r="43" spans="1:13" x14ac:dyDescent="0.25">
      <c r="B43" s="105" t="s">
        <v>102</v>
      </c>
      <c r="C43" s="106"/>
      <c r="D43" s="143">
        <f>'Normalized Therms'!$P$16*'12ME Dec18 Bill Freq'!N31</f>
        <v>10825864.009500695</v>
      </c>
      <c r="E43" s="121">
        <v>0</v>
      </c>
      <c r="F43" s="121">
        <v>0</v>
      </c>
      <c r="G43" s="118">
        <f t="shared" si="4"/>
        <v>0</v>
      </c>
      <c r="H43" s="114">
        <f t="shared" si="5"/>
        <v>0</v>
      </c>
      <c r="K43" s="114"/>
      <c r="L43" s="114"/>
      <c r="M43" s="114"/>
    </row>
    <row r="44" spans="1:13" x14ac:dyDescent="0.25">
      <c r="B44" s="105" t="s">
        <v>6</v>
      </c>
      <c r="C44" s="106"/>
      <c r="D44" s="143"/>
      <c r="E44" s="121"/>
      <c r="F44" s="121"/>
      <c r="G44" s="114">
        <f>SUM(G34:G43)</f>
        <v>0</v>
      </c>
      <c r="H44" s="160">
        <f>SUM(H34:H43)</f>
        <v>0</v>
      </c>
      <c r="K44" s="114"/>
      <c r="L44" s="114"/>
      <c r="M44" s="114"/>
    </row>
    <row r="45" spans="1:13" x14ac:dyDescent="0.25">
      <c r="C45" s="106"/>
      <c r="D45" s="143"/>
      <c r="E45" s="121"/>
      <c r="F45" s="121"/>
      <c r="G45" s="114"/>
      <c r="H45" s="114"/>
      <c r="K45" s="114"/>
      <c r="L45" s="114"/>
      <c r="M45" s="114"/>
    </row>
    <row r="46" spans="1:13" ht="14.5" x14ac:dyDescent="0.35">
      <c r="A46" s="105" t="s">
        <v>91</v>
      </c>
      <c r="C46" s="106" t="s">
        <v>41</v>
      </c>
      <c r="D46" s="145"/>
      <c r="E46" s="121"/>
      <c r="F46" s="121"/>
      <c r="G46" s="119"/>
      <c r="H46" s="114"/>
      <c r="K46" s="114"/>
      <c r="L46" s="114"/>
      <c r="M46" s="114"/>
    </row>
    <row r="47" spans="1:13" x14ac:dyDescent="0.25">
      <c r="B47" s="105" t="s">
        <v>86</v>
      </c>
      <c r="C47" s="106"/>
      <c r="D47" s="143">
        <f>'12ME Dec18 Data'!N34</f>
        <v>118.76667017913593</v>
      </c>
      <c r="E47" s="120">
        <v>0</v>
      </c>
      <c r="F47" s="120">
        <v>0</v>
      </c>
      <c r="G47" s="114">
        <f>ROUND(E47*D47,2)</f>
        <v>0</v>
      </c>
      <c r="H47" s="114">
        <f t="shared" ref="H47:H48" si="6">ROUND((F47-E47)*D47,2)</f>
        <v>0</v>
      </c>
      <c r="K47" s="114"/>
      <c r="L47" s="114"/>
      <c r="M47" s="114"/>
    </row>
    <row r="48" spans="1:13" x14ac:dyDescent="0.25">
      <c r="B48" s="105" t="s">
        <v>78</v>
      </c>
      <c r="C48" s="106"/>
      <c r="D48" s="143"/>
      <c r="E48" s="121">
        <v>0</v>
      </c>
      <c r="F48" s="121">
        <v>0</v>
      </c>
      <c r="G48" s="114">
        <f>ROUND(E48*D48,2)</f>
        <v>0</v>
      </c>
      <c r="H48" s="114">
        <f t="shared" si="6"/>
        <v>0</v>
      </c>
      <c r="K48" s="114"/>
      <c r="L48" s="114"/>
      <c r="M48" s="114"/>
    </row>
    <row r="49" spans="1:13" ht="14.5" x14ac:dyDescent="0.35">
      <c r="B49" s="105" t="s">
        <v>79</v>
      </c>
      <c r="C49" s="106"/>
      <c r="D49" s="145"/>
      <c r="E49" s="121"/>
      <c r="F49" s="121"/>
      <c r="G49" s="119"/>
      <c r="H49" s="114"/>
      <c r="K49" s="114"/>
      <c r="L49" s="114"/>
      <c r="M49" s="114"/>
    </row>
    <row r="50" spans="1:13" x14ac:dyDescent="0.25">
      <c r="B50" s="105" t="s">
        <v>88</v>
      </c>
      <c r="C50" s="106"/>
      <c r="D50" s="143">
        <f>'Normalized Therms'!$P$21*'12ME Dec18 Bill Freq'!N56</f>
        <v>3000000</v>
      </c>
      <c r="E50" s="121">
        <v>0</v>
      </c>
      <c r="F50" s="121">
        <v>0</v>
      </c>
      <c r="G50" s="114">
        <f t="shared" ref="G50:G55" si="7">ROUND(E50*D50,2)</f>
        <v>0</v>
      </c>
      <c r="H50" s="114">
        <f t="shared" ref="H50:H55" si="8">ROUND((F50-E50)*D50,2)</f>
        <v>0</v>
      </c>
      <c r="K50" s="114"/>
      <c r="L50" s="114"/>
      <c r="M50" s="114"/>
    </row>
    <row r="51" spans="1:13" x14ac:dyDescent="0.25">
      <c r="B51" s="105" t="s">
        <v>89</v>
      </c>
      <c r="C51" s="106"/>
      <c r="D51" s="143">
        <f>'Normalized Therms'!$P$21*'12ME Dec18 Bill Freq'!N57</f>
        <v>3000000</v>
      </c>
      <c r="E51" s="121">
        <v>0</v>
      </c>
      <c r="F51" s="121">
        <v>0</v>
      </c>
      <c r="G51" s="114">
        <f t="shared" si="7"/>
        <v>0</v>
      </c>
      <c r="H51" s="114">
        <f t="shared" si="8"/>
        <v>0</v>
      </c>
      <c r="K51" s="114"/>
      <c r="L51" s="114"/>
      <c r="M51" s="114"/>
    </row>
    <row r="52" spans="1:13" x14ac:dyDescent="0.25">
      <c r="B52" s="105" t="s">
        <v>99</v>
      </c>
      <c r="C52" s="106"/>
      <c r="D52" s="143">
        <f>'Normalized Therms'!$P$21*'12ME Dec18 Bill Freq'!N58</f>
        <v>5983755.4799999995</v>
      </c>
      <c r="E52" s="121">
        <v>0</v>
      </c>
      <c r="F52" s="121">
        <v>0</v>
      </c>
      <c r="G52" s="114">
        <f t="shared" si="7"/>
        <v>0</v>
      </c>
      <c r="H52" s="114">
        <f t="shared" si="8"/>
        <v>0</v>
      </c>
      <c r="K52" s="114"/>
      <c r="L52" s="114"/>
      <c r="M52" s="114"/>
    </row>
    <row r="53" spans="1:13" x14ac:dyDescent="0.25">
      <c r="B53" s="105" t="s">
        <v>100</v>
      </c>
      <c r="C53" s="106"/>
      <c r="D53" s="143">
        <f>'Normalized Therms'!$P$21*'12ME Dec18 Bill Freq'!N59</f>
        <v>11737512.850000001</v>
      </c>
      <c r="E53" s="121">
        <v>0</v>
      </c>
      <c r="F53" s="121">
        <v>0</v>
      </c>
      <c r="G53" s="114">
        <f t="shared" si="7"/>
        <v>0</v>
      </c>
      <c r="H53" s="114">
        <f t="shared" si="8"/>
        <v>0</v>
      </c>
      <c r="K53" s="114"/>
      <c r="L53" s="114"/>
      <c r="M53" s="114"/>
    </row>
    <row r="54" spans="1:13" x14ac:dyDescent="0.25">
      <c r="B54" s="122" t="s">
        <v>101</v>
      </c>
      <c r="C54" s="106"/>
      <c r="D54" s="143">
        <f>'Normalized Therms'!$P$21*'12ME Dec18 Bill Freq'!N60</f>
        <v>26253607.010000002</v>
      </c>
      <c r="E54" s="121">
        <v>0</v>
      </c>
      <c r="F54" s="121">
        <v>0</v>
      </c>
      <c r="G54" s="114">
        <f t="shared" si="7"/>
        <v>0</v>
      </c>
      <c r="H54" s="114">
        <f t="shared" si="8"/>
        <v>0</v>
      </c>
      <c r="K54" s="114"/>
      <c r="L54" s="114"/>
      <c r="M54" s="114"/>
    </row>
    <row r="55" spans="1:13" x14ac:dyDescent="0.25">
      <c r="B55" s="105" t="s">
        <v>102</v>
      </c>
      <c r="C55" s="106"/>
      <c r="D55" s="143">
        <f>'Normalized Therms'!$P$21*'12ME Dec18 Bill Freq'!N61</f>
        <v>50466253.034701236</v>
      </c>
      <c r="E55" s="121">
        <v>0</v>
      </c>
      <c r="F55" s="121">
        <v>0</v>
      </c>
      <c r="G55" s="118">
        <f t="shared" si="7"/>
        <v>0</v>
      </c>
      <c r="H55" s="114">
        <f t="shared" si="8"/>
        <v>0</v>
      </c>
      <c r="K55" s="114"/>
      <c r="L55" s="114"/>
      <c r="M55" s="114"/>
    </row>
    <row r="56" spans="1:13" x14ac:dyDescent="0.25">
      <c r="B56" s="105" t="s">
        <v>6</v>
      </c>
      <c r="C56" s="106"/>
      <c r="D56" s="143"/>
      <c r="E56" s="116"/>
      <c r="F56" s="116"/>
      <c r="G56" s="114">
        <f>SUM(G47:G55)</f>
        <v>0</v>
      </c>
      <c r="H56" s="160">
        <f>SUM(H47:H55)</f>
        <v>0</v>
      </c>
      <c r="K56" s="114"/>
      <c r="L56" s="114"/>
      <c r="M56" s="114"/>
    </row>
    <row r="57" spans="1:13" x14ac:dyDescent="0.25">
      <c r="C57" s="106"/>
      <c r="D57" s="143"/>
      <c r="E57" s="116"/>
      <c r="F57" s="116"/>
      <c r="G57" s="114"/>
      <c r="H57" s="114"/>
      <c r="K57" s="114"/>
      <c r="L57" s="114"/>
      <c r="M57" s="114"/>
    </row>
    <row r="58" spans="1:13" x14ac:dyDescent="0.25">
      <c r="B58" s="105" t="s">
        <v>103</v>
      </c>
      <c r="C58" s="106" t="s">
        <v>104</v>
      </c>
      <c r="D58" s="143"/>
      <c r="E58" s="116"/>
      <c r="F58" s="116"/>
      <c r="G58" s="114">
        <f>G44+G56</f>
        <v>0</v>
      </c>
      <c r="H58" s="114">
        <f>ROUND((F58-E58)*D58,2)</f>
        <v>0</v>
      </c>
      <c r="K58" s="114"/>
      <c r="L58" s="114"/>
      <c r="M58" s="114"/>
    </row>
    <row r="59" spans="1:13" x14ac:dyDescent="0.25">
      <c r="C59" s="106"/>
      <c r="D59" s="143"/>
      <c r="E59" s="116"/>
      <c r="F59" s="116"/>
      <c r="G59" s="114"/>
      <c r="H59" s="114"/>
      <c r="K59" s="114"/>
      <c r="L59" s="114"/>
      <c r="M59" s="114"/>
    </row>
    <row r="60" spans="1:13" x14ac:dyDescent="0.25">
      <c r="A60" s="105" t="s">
        <v>120</v>
      </c>
      <c r="C60" s="106"/>
      <c r="D60" s="143"/>
      <c r="E60" s="116"/>
      <c r="F60" s="116"/>
      <c r="G60" s="114"/>
      <c r="H60" s="114"/>
      <c r="K60" s="114"/>
      <c r="L60" s="114"/>
      <c r="M60" s="114"/>
    </row>
    <row r="61" spans="1:13" x14ac:dyDescent="0.25">
      <c r="B61" s="105" t="s">
        <v>121</v>
      </c>
      <c r="C61" s="105" t="s">
        <v>122</v>
      </c>
      <c r="D61" s="143">
        <f>'12ME Dec18 Rentals'!O5</f>
        <v>12263</v>
      </c>
      <c r="E61" s="120">
        <v>0</v>
      </c>
      <c r="F61" s="120">
        <v>0</v>
      </c>
      <c r="G61" s="114">
        <f t="shared" ref="G61:G66" si="9">ROUND(E61*D61,2)</f>
        <v>0</v>
      </c>
      <c r="H61" s="114">
        <f t="shared" ref="H61:H66" si="10">ROUND((F61-E61)*D61,2)</f>
        <v>0</v>
      </c>
      <c r="K61" s="114"/>
      <c r="L61" s="114"/>
      <c r="M61" s="114"/>
    </row>
    <row r="62" spans="1:13" x14ac:dyDescent="0.25">
      <c r="B62" s="105" t="s">
        <v>123</v>
      </c>
      <c r="C62" s="105" t="s">
        <v>124</v>
      </c>
      <c r="D62" s="143">
        <f>'12ME Dec18 Rentals'!O6</f>
        <v>190792</v>
      </c>
      <c r="E62" s="120">
        <v>0</v>
      </c>
      <c r="F62" s="120">
        <v>0</v>
      </c>
      <c r="G62" s="114">
        <f t="shared" si="9"/>
        <v>0</v>
      </c>
      <c r="H62" s="114">
        <f t="shared" si="10"/>
        <v>0</v>
      </c>
      <c r="K62" s="114"/>
      <c r="L62" s="114"/>
      <c r="M62" s="114"/>
    </row>
    <row r="63" spans="1:13" x14ac:dyDescent="0.25">
      <c r="B63" s="105" t="s">
        <v>125</v>
      </c>
      <c r="C63" s="105" t="s">
        <v>126</v>
      </c>
      <c r="D63" s="143">
        <f>'12ME Dec18 Rentals'!O7</f>
        <v>36011</v>
      </c>
      <c r="E63" s="120">
        <v>0</v>
      </c>
      <c r="F63" s="120">
        <v>0</v>
      </c>
      <c r="G63" s="114">
        <f t="shared" si="9"/>
        <v>0</v>
      </c>
      <c r="H63" s="114">
        <f t="shared" si="10"/>
        <v>0</v>
      </c>
      <c r="K63" s="114"/>
      <c r="L63" s="114"/>
      <c r="M63" s="114"/>
    </row>
    <row r="64" spans="1:13" x14ac:dyDescent="0.25">
      <c r="B64" s="105" t="s">
        <v>127</v>
      </c>
      <c r="C64" s="105" t="s">
        <v>128</v>
      </c>
      <c r="D64" s="143">
        <f>'12ME Dec18 Rentals'!O8</f>
        <v>7959</v>
      </c>
      <c r="E64" s="120">
        <v>0</v>
      </c>
      <c r="F64" s="120">
        <v>0</v>
      </c>
      <c r="G64" s="114">
        <f t="shared" si="9"/>
        <v>0</v>
      </c>
      <c r="H64" s="114">
        <f t="shared" si="10"/>
        <v>0</v>
      </c>
      <c r="K64" s="114"/>
      <c r="L64" s="114"/>
      <c r="M64" s="114"/>
    </row>
    <row r="65" spans="1:13" x14ac:dyDescent="0.25">
      <c r="B65" s="105" t="s">
        <v>129</v>
      </c>
      <c r="C65" s="105" t="s">
        <v>130</v>
      </c>
      <c r="D65" s="143">
        <f>'12ME Dec18 Rentals'!O9</f>
        <v>40377</v>
      </c>
      <c r="E65" s="120">
        <v>0</v>
      </c>
      <c r="F65" s="120">
        <v>0</v>
      </c>
      <c r="G65" s="114">
        <f t="shared" si="9"/>
        <v>0</v>
      </c>
      <c r="H65" s="114">
        <f t="shared" si="10"/>
        <v>0</v>
      </c>
      <c r="K65" s="114"/>
      <c r="L65" s="114"/>
      <c r="M65" s="114"/>
    </row>
    <row r="66" spans="1:13" x14ac:dyDescent="0.25">
      <c r="B66" s="105" t="s">
        <v>131</v>
      </c>
      <c r="C66" s="105" t="s">
        <v>132</v>
      </c>
      <c r="D66" s="143">
        <f>'12ME Dec18 Rentals'!O10</f>
        <v>2345</v>
      </c>
      <c r="E66" s="120">
        <v>0</v>
      </c>
      <c r="F66" s="120">
        <v>0</v>
      </c>
      <c r="G66" s="118">
        <f t="shared" si="9"/>
        <v>0</v>
      </c>
      <c r="H66" s="114">
        <f t="shared" si="10"/>
        <v>0</v>
      </c>
      <c r="K66" s="114"/>
      <c r="L66" s="114"/>
      <c r="M66" s="114"/>
    </row>
    <row r="67" spans="1:13" x14ac:dyDescent="0.25">
      <c r="B67" s="105" t="s">
        <v>133</v>
      </c>
      <c r="C67" s="106"/>
      <c r="D67" s="143"/>
      <c r="E67" s="121"/>
      <c r="F67" s="121"/>
      <c r="G67" s="114">
        <f>SUM(G61:G66)</f>
        <v>0</v>
      </c>
      <c r="H67" s="160">
        <f>SUM(H61:H66)</f>
        <v>0</v>
      </c>
      <c r="K67" s="114"/>
      <c r="L67" s="114"/>
      <c r="M67" s="114"/>
    </row>
    <row r="68" spans="1:13" x14ac:dyDescent="0.25">
      <c r="C68" s="106"/>
      <c r="D68" s="143"/>
      <c r="E68" s="121"/>
      <c r="F68" s="121"/>
      <c r="G68" s="114"/>
      <c r="H68" s="114"/>
      <c r="K68" s="114"/>
      <c r="L68" s="114"/>
      <c r="M68" s="114"/>
    </row>
    <row r="69" spans="1:13" x14ac:dyDescent="0.25">
      <c r="A69" s="105" t="s">
        <v>134</v>
      </c>
      <c r="C69" s="106"/>
      <c r="D69" s="143"/>
      <c r="E69" s="121"/>
      <c r="F69" s="121"/>
      <c r="G69" s="114"/>
      <c r="H69" s="114"/>
      <c r="K69" s="114"/>
      <c r="L69" s="114"/>
      <c r="M69" s="114"/>
    </row>
    <row r="70" spans="1:13" x14ac:dyDescent="0.25">
      <c r="B70" s="105" t="s">
        <v>135</v>
      </c>
      <c r="C70" s="105" t="s">
        <v>136</v>
      </c>
      <c r="D70" s="143">
        <f>'12ME Dec18 Rentals'!O14</f>
        <v>1384</v>
      </c>
      <c r="E70" s="120">
        <v>0</v>
      </c>
      <c r="F70" s="120">
        <v>0</v>
      </c>
      <c r="G70" s="114">
        <f t="shared" ref="G70:G76" si="11">ROUND(E70*D70,2)</f>
        <v>0</v>
      </c>
      <c r="H70" s="114">
        <f t="shared" ref="H70:H76" si="12">ROUND((F70-E70)*D70,2)</f>
        <v>0</v>
      </c>
      <c r="K70" s="114"/>
      <c r="L70" s="114"/>
      <c r="M70" s="114"/>
    </row>
    <row r="71" spans="1:13" x14ac:dyDescent="0.25">
      <c r="B71" s="105" t="s">
        <v>137</v>
      </c>
      <c r="C71" s="105" t="s">
        <v>138</v>
      </c>
      <c r="D71" s="143">
        <f>'12ME Dec18 Rentals'!O15</f>
        <v>1036</v>
      </c>
      <c r="E71" s="120">
        <v>0</v>
      </c>
      <c r="F71" s="120">
        <v>0</v>
      </c>
      <c r="G71" s="114">
        <f t="shared" si="11"/>
        <v>0</v>
      </c>
      <c r="H71" s="114">
        <f t="shared" si="12"/>
        <v>0</v>
      </c>
      <c r="K71" s="114"/>
      <c r="L71" s="114"/>
      <c r="M71" s="114"/>
    </row>
    <row r="72" spans="1:13" x14ac:dyDescent="0.25">
      <c r="B72" s="105" t="s">
        <v>139</v>
      </c>
      <c r="C72" s="105" t="s">
        <v>140</v>
      </c>
      <c r="D72" s="143">
        <f>'12ME Dec18 Rentals'!O16</f>
        <v>2711</v>
      </c>
      <c r="E72" s="120">
        <v>0</v>
      </c>
      <c r="F72" s="120">
        <v>0</v>
      </c>
      <c r="G72" s="114">
        <f t="shared" si="11"/>
        <v>0</v>
      </c>
      <c r="H72" s="114">
        <f t="shared" si="12"/>
        <v>0</v>
      </c>
      <c r="K72" s="114"/>
      <c r="L72" s="114"/>
      <c r="M72" s="114"/>
    </row>
    <row r="73" spans="1:13" x14ac:dyDescent="0.25">
      <c r="B73" s="105" t="s">
        <v>141</v>
      </c>
      <c r="C73" s="105" t="s">
        <v>142</v>
      </c>
      <c r="D73" s="143">
        <f>'12ME Dec18 Rentals'!O17</f>
        <v>157</v>
      </c>
      <c r="E73" s="120">
        <v>0</v>
      </c>
      <c r="F73" s="120">
        <v>0</v>
      </c>
      <c r="G73" s="114">
        <f t="shared" si="11"/>
        <v>0</v>
      </c>
      <c r="H73" s="114">
        <f t="shared" si="12"/>
        <v>0</v>
      </c>
      <c r="K73" s="114"/>
      <c r="L73" s="114"/>
      <c r="M73" s="114"/>
    </row>
    <row r="74" spans="1:13" x14ac:dyDescent="0.25">
      <c r="B74" s="105" t="s">
        <v>143</v>
      </c>
      <c r="C74" s="105" t="s">
        <v>144</v>
      </c>
      <c r="D74" s="143">
        <f>'12ME Dec18 Rentals'!O18</f>
        <v>6638</v>
      </c>
      <c r="E74" s="120">
        <v>0</v>
      </c>
      <c r="F74" s="120">
        <v>0</v>
      </c>
      <c r="G74" s="114">
        <f t="shared" si="11"/>
        <v>0</v>
      </c>
      <c r="H74" s="114">
        <f t="shared" si="12"/>
        <v>0</v>
      </c>
      <c r="K74" s="114"/>
      <c r="L74" s="114"/>
      <c r="M74" s="114"/>
    </row>
    <row r="75" spans="1:13" x14ac:dyDescent="0.25">
      <c r="B75" s="105" t="s">
        <v>145</v>
      </c>
      <c r="C75" s="105" t="s">
        <v>146</v>
      </c>
      <c r="D75" s="143">
        <f>'12ME Dec18 Rentals'!O19</f>
        <v>4526</v>
      </c>
      <c r="E75" s="120">
        <v>0</v>
      </c>
      <c r="F75" s="120">
        <v>0</v>
      </c>
      <c r="G75" s="114">
        <f t="shared" si="11"/>
        <v>0</v>
      </c>
      <c r="H75" s="114">
        <f t="shared" si="12"/>
        <v>0</v>
      </c>
      <c r="K75" s="114"/>
      <c r="L75" s="114"/>
      <c r="M75" s="114"/>
    </row>
    <row r="76" spans="1:13" x14ac:dyDescent="0.25">
      <c r="B76" s="105" t="s">
        <v>147</v>
      </c>
      <c r="C76" s="105" t="s">
        <v>148</v>
      </c>
      <c r="D76" s="143">
        <f>'12ME Dec18 Rentals'!O20</f>
        <v>13159</v>
      </c>
      <c r="E76" s="120">
        <v>0</v>
      </c>
      <c r="F76" s="120">
        <v>0</v>
      </c>
      <c r="G76" s="118">
        <f t="shared" si="11"/>
        <v>0</v>
      </c>
      <c r="H76" s="114">
        <f t="shared" si="12"/>
        <v>0</v>
      </c>
      <c r="K76" s="114"/>
      <c r="L76" s="114"/>
      <c r="M76" s="114"/>
    </row>
    <row r="77" spans="1:13" x14ac:dyDescent="0.25">
      <c r="B77" s="105" t="s">
        <v>149</v>
      </c>
      <c r="C77" s="106"/>
      <c r="D77" s="143"/>
      <c r="E77" s="121"/>
      <c r="F77" s="121"/>
      <c r="G77" s="114">
        <f>SUM(G70:G76)</f>
        <v>0</v>
      </c>
      <c r="H77" s="160">
        <f>SUM(H70:H76)</f>
        <v>0</v>
      </c>
      <c r="K77" s="114"/>
      <c r="L77" s="114"/>
      <c r="M77" s="114"/>
    </row>
    <row r="78" spans="1:13" x14ac:dyDescent="0.25">
      <c r="C78" s="106"/>
      <c r="D78" s="143"/>
      <c r="E78" s="121"/>
      <c r="F78" s="121"/>
      <c r="G78" s="114"/>
      <c r="H78" s="114"/>
      <c r="K78" s="114"/>
      <c r="L78" s="114"/>
      <c r="M78" s="114"/>
    </row>
    <row r="79" spans="1:13" x14ac:dyDescent="0.25">
      <c r="A79" s="105" t="s">
        <v>150</v>
      </c>
      <c r="C79" s="106"/>
      <c r="D79" s="143"/>
      <c r="E79" s="121"/>
      <c r="F79" s="121"/>
      <c r="G79" s="114"/>
      <c r="H79" s="114"/>
      <c r="K79" s="114"/>
      <c r="L79" s="114"/>
      <c r="M79" s="114"/>
    </row>
    <row r="80" spans="1:13" x14ac:dyDescent="0.25">
      <c r="B80" s="105" t="s">
        <v>151</v>
      </c>
      <c r="C80" s="105" t="s">
        <v>152</v>
      </c>
      <c r="D80" s="143">
        <f>'12ME Dec18 Rentals'!O24</f>
        <v>11501</v>
      </c>
      <c r="E80" s="120">
        <v>0</v>
      </c>
      <c r="F80" s="120">
        <v>0</v>
      </c>
      <c r="G80" s="114">
        <f>ROUND(E80*D80,2)</f>
        <v>0</v>
      </c>
      <c r="H80" s="114">
        <f t="shared" ref="H80:H83" si="13">ROUND((F80-E80)*D80,2)</f>
        <v>0</v>
      </c>
      <c r="K80" s="114"/>
      <c r="L80" s="114"/>
      <c r="M80" s="114"/>
    </row>
    <row r="81" spans="1:13" x14ac:dyDescent="0.25">
      <c r="B81" s="105" t="s">
        <v>153</v>
      </c>
      <c r="C81" s="105" t="s">
        <v>154</v>
      </c>
      <c r="D81" s="143">
        <f>'12ME Dec18 Rentals'!O25</f>
        <v>844</v>
      </c>
      <c r="E81" s="120">
        <v>0</v>
      </c>
      <c r="F81" s="120">
        <v>0</v>
      </c>
      <c r="G81" s="114">
        <f>ROUND(E81*D81,2)</f>
        <v>0</v>
      </c>
      <c r="H81" s="114">
        <f t="shared" si="13"/>
        <v>0</v>
      </c>
      <c r="K81" s="114"/>
      <c r="L81" s="114"/>
      <c r="M81" s="114"/>
    </row>
    <row r="82" spans="1:13" x14ac:dyDescent="0.25">
      <c r="B82" s="105" t="s">
        <v>155</v>
      </c>
      <c r="C82" s="105" t="s">
        <v>156</v>
      </c>
      <c r="D82" s="143">
        <f>'12ME Dec18 Rentals'!O26</f>
        <v>541</v>
      </c>
      <c r="E82" s="120">
        <v>0</v>
      </c>
      <c r="F82" s="120">
        <v>0</v>
      </c>
      <c r="G82" s="114">
        <f>ROUND(E82*D82,2)</f>
        <v>0</v>
      </c>
      <c r="H82" s="114">
        <f t="shared" si="13"/>
        <v>0</v>
      </c>
      <c r="K82" s="114"/>
      <c r="L82" s="114"/>
      <c r="M82" s="114"/>
    </row>
    <row r="83" spans="1:13" x14ac:dyDescent="0.25">
      <c r="B83" s="105" t="s">
        <v>157</v>
      </c>
      <c r="C83" s="105" t="s">
        <v>158</v>
      </c>
      <c r="D83" s="143">
        <f>'12ME Dec18 Rentals'!O27</f>
        <v>19205</v>
      </c>
      <c r="E83" s="120">
        <v>0</v>
      </c>
      <c r="F83" s="120">
        <v>0</v>
      </c>
      <c r="G83" s="118">
        <f>ROUND(E83*D83,2)</f>
        <v>0</v>
      </c>
      <c r="H83" s="114">
        <f t="shared" si="13"/>
        <v>0</v>
      </c>
      <c r="K83" s="114"/>
      <c r="L83" s="114"/>
      <c r="M83" s="114"/>
    </row>
    <row r="84" spans="1:13" x14ac:dyDescent="0.25">
      <c r="B84" s="105" t="s">
        <v>149</v>
      </c>
      <c r="C84" s="106"/>
      <c r="D84" s="143"/>
      <c r="E84" s="123"/>
      <c r="F84" s="123"/>
      <c r="G84" s="114">
        <f>SUM(G80:G83)</f>
        <v>0</v>
      </c>
      <c r="H84" s="160">
        <f>SUM(H80:H83)</f>
        <v>0</v>
      </c>
      <c r="K84" s="114"/>
      <c r="L84" s="114"/>
      <c r="M84" s="114"/>
    </row>
    <row r="85" spans="1:13" x14ac:dyDescent="0.25">
      <c r="C85" s="106"/>
      <c r="D85" s="143"/>
      <c r="E85" s="123"/>
      <c r="F85" s="123"/>
      <c r="G85" s="114"/>
      <c r="H85" s="114"/>
      <c r="K85" s="114"/>
      <c r="L85" s="114"/>
      <c r="M85" s="114"/>
    </row>
    <row r="86" spans="1:13" x14ac:dyDescent="0.25">
      <c r="B86" s="105" t="s">
        <v>159</v>
      </c>
      <c r="C86" s="106" t="s">
        <v>160</v>
      </c>
      <c r="D86" s="143"/>
      <c r="E86" s="123"/>
      <c r="F86" s="123"/>
      <c r="G86" s="114">
        <f>SUM(G67,G77,G84)</f>
        <v>0</v>
      </c>
      <c r="H86" s="114">
        <f>ROUND((F86-E86)*D86,2)</f>
        <v>0</v>
      </c>
      <c r="K86" s="114"/>
      <c r="L86" s="114"/>
      <c r="M86" s="114"/>
    </row>
    <row r="87" spans="1:13" x14ac:dyDescent="0.25">
      <c r="C87" s="106"/>
      <c r="D87" s="143"/>
      <c r="E87" s="123"/>
      <c r="F87" s="123"/>
      <c r="G87" s="114"/>
      <c r="H87" s="114"/>
      <c r="K87" s="114"/>
      <c r="L87" s="114"/>
      <c r="M87" s="114"/>
    </row>
    <row r="88" spans="1:13" x14ac:dyDescent="0.25">
      <c r="B88" s="105" t="s">
        <v>6</v>
      </c>
      <c r="C88" s="106"/>
      <c r="D88" s="143"/>
      <c r="E88" s="123"/>
      <c r="F88" s="123"/>
      <c r="G88" s="114">
        <f>G10+G20+G29+G44+G56+G86</f>
        <v>0</v>
      </c>
      <c r="H88" s="114">
        <f>ROUND((F88-E88)*D88,2)</f>
        <v>0</v>
      </c>
      <c r="K88" s="114"/>
      <c r="L88" s="114"/>
      <c r="M88" s="114"/>
    </row>
    <row r="89" spans="1:13" x14ac:dyDescent="0.25">
      <c r="L89" s="114"/>
    </row>
    <row r="90" spans="1:13" x14ac:dyDescent="0.25">
      <c r="A90" s="125"/>
      <c r="B90" s="126"/>
      <c r="L90" s="114"/>
    </row>
    <row r="91" spans="1:13" ht="12.75" customHeight="1" x14ac:dyDescent="0.25">
      <c r="A91" s="124"/>
      <c r="B91" s="126"/>
      <c r="C91" s="122"/>
      <c r="D91" s="122"/>
      <c r="E91" s="122"/>
      <c r="F91" s="122"/>
      <c r="G91" s="122"/>
      <c r="H91" s="122"/>
      <c r="M91" s="114"/>
    </row>
    <row r="92" spans="1:13" x14ac:dyDescent="0.25">
      <c r="B92" s="125"/>
      <c r="M92" s="114"/>
    </row>
    <row r="93" spans="1:13" x14ac:dyDescent="0.25">
      <c r="M93" s="114"/>
    </row>
    <row r="94" spans="1:13" x14ac:dyDescent="0.25">
      <c r="M94" s="114"/>
    </row>
    <row r="95" spans="1:13" x14ac:dyDescent="0.25">
      <c r="M95" s="114"/>
    </row>
    <row r="96" spans="1:13" x14ac:dyDescent="0.25">
      <c r="M96" s="114"/>
    </row>
    <row r="97" spans="13:13" x14ac:dyDescent="0.25">
      <c r="M97" s="114"/>
    </row>
    <row r="98" spans="13:13" x14ac:dyDescent="0.25">
      <c r="M98" s="114"/>
    </row>
    <row r="99" spans="13:13" x14ac:dyDescent="0.25">
      <c r="M99" s="114"/>
    </row>
    <row r="100" spans="13:13" x14ac:dyDescent="0.25">
      <c r="M100" s="114"/>
    </row>
    <row r="101" spans="13:13" x14ac:dyDescent="0.25">
      <c r="M101" s="114"/>
    </row>
    <row r="102" spans="13:13" x14ac:dyDescent="0.25">
      <c r="M102" s="114"/>
    </row>
    <row r="103" spans="13:13" x14ac:dyDescent="0.25">
      <c r="M103" s="114"/>
    </row>
    <row r="104" spans="13:13" x14ac:dyDescent="0.25">
      <c r="M104" s="114"/>
    </row>
    <row r="105" spans="13:13" x14ac:dyDescent="0.25">
      <c r="M105" s="114"/>
    </row>
    <row r="106" spans="13:13" x14ac:dyDescent="0.25">
      <c r="M106" s="114"/>
    </row>
    <row r="107" spans="13:13" x14ac:dyDescent="0.25">
      <c r="M107" s="114"/>
    </row>
    <row r="108" spans="13:13" x14ac:dyDescent="0.25">
      <c r="M108" s="114"/>
    </row>
    <row r="109" spans="13:13" x14ac:dyDescent="0.25">
      <c r="M109" s="114"/>
    </row>
    <row r="110" spans="13:13" x14ac:dyDescent="0.25">
      <c r="M110" s="114"/>
    </row>
    <row r="111" spans="13:13" x14ac:dyDescent="0.25">
      <c r="M111" s="114"/>
    </row>
    <row r="112" spans="13:13" x14ac:dyDescent="0.25">
      <c r="M112" s="114"/>
    </row>
    <row r="113" spans="13:13" x14ac:dyDescent="0.25">
      <c r="M113" s="114"/>
    </row>
    <row r="114" spans="13:13" x14ac:dyDescent="0.25">
      <c r="M114" s="114"/>
    </row>
    <row r="115" spans="13:13" x14ac:dyDescent="0.25">
      <c r="M115" s="114"/>
    </row>
    <row r="116" spans="13:13" x14ac:dyDescent="0.25">
      <c r="M116" s="114"/>
    </row>
    <row r="117" spans="13:13" x14ac:dyDescent="0.25">
      <c r="M117" s="114"/>
    </row>
    <row r="118" spans="13:13" x14ac:dyDescent="0.25">
      <c r="M118" s="114"/>
    </row>
    <row r="119" spans="13:13" x14ac:dyDescent="0.25">
      <c r="M119" s="114"/>
    </row>
    <row r="120" spans="13:13" x14ac:dyDescent="0.25">
      <c r="M120" s="114"/>
    </row>
    <row r="121" spans="13:13" x14ac:dyDescent="0.25">
      <c r="M121" s="114"/>
    </row>
    <row r="122" spans="13:13" x14ac:dyDescent="0.25">
      <c r="M122" s="114"/>
    </row>
    <row r="123" spans="13:13" x14ac:dyDescent="0.25">
      <c r="M123" s="114"/>
    </row>
    <row r="124" spans="13:13" x14ac:dyDescent="0.25">
      <c r="M124" s="114"/>
    </row>
    <row r="125" spans="13:13" x14ac:dyDescent="0.25">
      <c r="M125" s="114"/>
    </row>
    <row r="126" spans="13:13" x14ac:dyDescent="0.25">
      <c r="M126" s="114"/>
    </row>
    <row r="127" spans="13:13" x14ac:dyDescent="0.25">
      <c r="M127" s="114"/>
    </row>
    <row r="128" spans="13:13" x14ac:dyDescent="0.25">
      <c r="M128" s="114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75" fitToHeight="2" orientation="landscape" blackAndWhite="1" r:id="rId1"/>
  <headerFooter>
    <oddFooter>&amp;L&amp;F
&amp;A&amp;C&amp;P&amp;R&amp;D</oddFooter>
  </headerFooter>
  <rowBreaks count="1" manualBreakCount="1">
    <brk id="3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15" sqref="C15"/>
    </sheetView>
  </sheetViews>
  <sheetFormatPr defaultRowHeight="14.5" x14ac:dyDescent="0.35"/>
  <cols>
    <col min="1" max="1" width="38.7265625" customWidth="1"/>
    <col min="2" max="2" width="9.1796875" bestFit="1" customWidth="1"/>
    <col min="3" max="3" width="15.81640625" customWidth="1"/>
    <col min="4" max="4" width="16.81640625" bestFit="1" customWidth="1"/>
    <col min="5" max="5" width="16.81640625" customWidth="1"/>
    <col min="6" max="6" width="20.453125" customWidth="1"/>
    <col min="7" max="7" width="15.1796875" customWidth="1"/>
    <col min="8" max="8" width="7.81640625" bestFit="1" customWidth="1"/>
  </cols>
  <sheetData>
    <row r="1" spans="1:9" s="75" customFormat="1" ht="15" customHeight="1" x14ac:dyDescent="0.25">
      <c r="A1" s="337" t="s">
        <v>0</v>
      </c>
      <c r="B1" s="337"/>
      <c r="C1" s="337"/>
      <c r="D1" s="337"/>
      <c r="E1" s="337"/>
      <c r="F1" s="337"/>
      <c r="G1" s="337"/>
      <c r="H1" s="337"/>
      <c r="I1" s="74"/>
    </row>
    <row r="2" spans="1:9" s="75" customFormat="1" ht="15" customHeight="1" x14ac:dyDescent="0.25">
      <c r="A2" s="337" t="s">
        <v>269</v>
      </c>
      <c r="B2" s="337"/>
      <c r="C2" s="337"/>
      <c r="D2" s="337"/>
      <c r="E2" s="337"/>
      <c r="F2" s="337"/>
      <c r="G2" s="337"/>
      <c r="H2" s="337"/>
      <c r="I2" s="74"/>
    </row>
    <row r="3" spans="1:9" s="75" customFormat="1" ht="15" customHeight="1" x14ac:dyDescent="0.25">
      <c r="A3" s="337" t="s">
        <v>259</v>
      </c>
      <c r="B3" s="337"/>
      <c r="C3" s="337"/>
      <c r="D3" s="337"/>
      <c r="E3" s="337"/>
      <c r="F3" s="337"/>
      <c r="G3" s="337"/>
      <c r="H3" s="337"/>
      <c r="I3" s="74"/>
    </row>
    <row r="4" spans="1:9" x14ac:dyDescent="0.35">
      <c r="D4" s="4"/>
      <c r="E4" s="4"/>
    </row>
    <row r="5" spans="1:9" x14ac:dyDescent="0.3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110</v>
      </c>
      <c r="H5" s="5"/>
    </row>
    <row r="6" spans="1:9" x14ac:dyDescent="0.35">
      <c r="A6" s="5"/>
      <c r="B6" s="5" t="s">
        <v>17</v>
      </c>
      <c r="C6" s="5" t="s">
        <v>3</v>
      </c>
      <c r="D6" s="5" t="s">
        <v>110</v>
      </c>
      <c r="E6" s="5" t="s">
        <v>110</v>
      </c>
      <c r="F6" s="5" t="s">
        <v>15</v>
      </c>
      <c r="G6" s="5" t="s">
        <v>2</v>
      </c>
      <c r="H6" s="5" t="s">
        <v>20</v>
      </c>
    </row>
    <row r="7" spans="1:9" x14ac:dyDescent="0.3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35">
      <c r="A8" t="s">
        <v>7</v>
      </c>
      <c r="B8" s="8" t="s">
        <v>30</v>
      </c>
      <c r="C8" s="183">
        <f>SUM('Normalized Therms'!P9,'Normalized Therms'!P11)</f>
        <v>609248315.15931809</v>
      </c>
      <c r="D8" s="10">
        <v>1.1209999999999999E-2</v>
      </c>
      <c r="E8" s="10">
        <v>0</v>
      </c>
      <c r="F8" s="161">
        <f>C8*D8</f>
        <v>6829673.6129359556</v>
      </c>
      <c r="G8" s="12">
        <f>(E8-D8)*C8</f>
        <v>-6829673.6129359556</v>
      </c>
      <c r="H8" s="2">
        <f>G8/F8</f>
        <v>-1</v>
      </c>
    </row>
    <row r="9" spans="1:9" x14ac:dyDescent="0.35">
      <c r="A9" t="s">
        <v>31</v>
      </c>
      <c r="B9" s="8">
        <v>16</v>
      </c>
      <c r="C9" s="183">
        <f>'Normalized Therms'!P10</f>
        <v>9386</v>
      </c>
      <c r="D9" s="10">
        <v>1.1209999999999999E-2</v>
      </c>
      <c r="E9" s="10">
        <v>0</v>
      </c>
      <c r="F9" s="161">
        <f t="shared" ref="F9:F20" si="0">C9*D9</f>
        <v>105.21705999999999</v>
      </c>
      <c r="G9" s="12">
        <f t="shared" ref="G9:G20" si="1">(E9-D9)*C9</f>
        <v>-105.21705999999999</v>
      </c>
      <c r="H9" s="2">
        <f t="shared" ref="H9:H21" si="2">G9/F9</f>
        <v>-1</v>
      </c>
    </row>
    <row r="10" spans="1:9" x14ac:dyDescent="0.35">
      <c r="A10" t="s">
        <v>8</v>
      </c>
      <c r="B10" s="8">
        <v>31</v>
      </c>
      <c r="C10" s="183">
        <f>'Normalized Therms'!P12</f>
        <v>234140158.08963937</v>
      </c>
      <c r="D10" s="10">
        <v>1.0880000000000001E-2</v>
      </c>
      <c r="E10" s="10">
        <v>0</v>
      </c>
      <c r="F10" s="161">
        <f t="shared" si="0"/>
        <v>2547444.9200152764</v>
      </c>
      <c r="G10" s="12">
        <f t="shared" si="1"/>
        <v>-2547444.9200152764</v>
      </c>
      <c r="H10" s="2">
        <f t="shared" si="2"/>
        <v>-1</v>
      </c>
    </row>
    <row r="11" spans="1:9" x14ac:dyDescent="0.35">
      <c r="A11" t="s">
        <v>9</v>
      </c>
      <c r="B11" s="8">
        <v>41</v>
      </c>
      <c r="C11" s="183">
        <f>'Normalized Therms'!P13</f>
        <v>65836657.463465482</v>
      </c>
      <c r="D11" s="10">
        <v>6.2199999999999998E-3</v>
      </c>
      <c r="E11" s="10">
        <v>0</v>
      </c>
      <c r="F11" s="161">
        <f t="shared" si="0"/>
        <v>409504.00942275528</v>
      </c>
      <c r="G11" s="12">
        <f t="shared" si="1"/>
        <v>-409504.00942275528</v>
      </c>
      <c r="H11" s="2">
        <f t="shared" si="2"/>
        <v>-1</v>
      </c>
    </row>
    <row r="12" spans="1:9" x14ac:dyDescent="0.35">
      <c r="A12" t="s">
        <v>10</v>
      </c>
      <c r="B12" s="8">
        <v>85</v>
      </c>
      <c r="C12" s="183">
        <f>'Normalized Therms'!P14</f>
        <v>16184434.068649085</v>
      </c>
      <c r="D12" s="10">
        <v>3.31E-3</v>
      </c>
      <c r="E12" s="10">
        <v>0</v>
      </c>
      <c r="F12" s="161">
        <f t="shared" si="0"/>
        <v>53570.476767228472</v>
      </c>
      <c r="G12" s="12">
        <f t="shared" si="1"/>
        <v>-53570.476767228472</v>
      </c>
      <c r="H12" s="2">
        <f t="shared" si="2"/>
        <v>-1</v>
      </c>
    </row>
    <row r="13" spans="1:9" x14ac:dyDescent="0.35">
      <c r="A13" t="s">
        <v>11</v>
      </c>
      <c r="B13" s="8">
        <v>86</v>
      </c>
      <c r="C13" s="183">
        <f>'Normalized Therms'!P15</f>
        <v>9397200.2729263529</v>
      </c>
      <c r="D13" s="10">
        <v>4.15E-3</v>
      </c>
      <c r="E13" s="10">
        <v>0</v>
      </c>
      <c r="F13" s="161">
        <f t="shared" si="0"/>
        <v>38998.381132644368</v>
      </c>
      <c r="G13" s="12">
        <f t="shared" si="1"/>
        <v>-38998.381132644368</v>
      </c>
      <c r="H13" s="2">
        <f t="shared" si="2"/>
        <v>-1</v>
      </c>
    </row>
    <row r="14" spans="1:9" x14ac:dyDescent="0.35">
      <c r="A14" t="s">
        <v>12</v>
      </c>
      <c r="B14" s="8">
        <v>87</v>
      </c>
      <c r="C14" s="183">
        <f>'Normalized Therms'!P16</f>
        <v>23337042.118500698</v>
      </c>
      <c r="D14" s="10">
        <v>2.0200000000000001E-3</v>
      </c>
      <c r="E14" s="10">
        <v>0</v>
      </c>
      <c r="F14" s="161">
        <f t="shared" si="0"/>
        <v>47140.825079371411</v>
      </c>
      <c r="G14" s="12">
        <f t="shared" si="1"/>
        <v>-47140.825079371411</v>
      </c>
      <c r="H14" s="2">
        <f t="shared" si="2"/>
        <v>-1</v>
      </c>
    </row>
    <row r="15" spans="1:9" x14ac:dyDescent="0.35">
      <c r="A15" t="s">
        <v>32</v>
      </c>
      <c r="B15" s="8" t="s">
        <v>33</v>
      </c>
      <c r="C15" s="183">
        <f>'Normalized Therms'!P17</f>
        <v>36359.963605097219</v>
      </c>
      <c r="D15" s="10">
        <v>1.0880000000000001E-2</v>
      </c>
      <c r="E15" s="10">
        <v>0</v>
      </c>
      <c r="F15" s="161">
        <f t="shared" si="0"/>
        <v>395.59640402345775</v>
      </c>
      <c r="G15" s="12">
        <f t="shared" si="1"/>
        <v>-395.59640402345775</v>
      </c>
      <c r="H15" s="2">
        <f t="shared" si="2"/>
        <v>-1</v>
      </c>
    </row>
    <row r="16" spans="1:9" x14ac:dyDescent="0.35">
      <c r="A16" t="s">
        <v>34</v>
      </c>
      <c r="B16" t="s">
        <v>35</v>
      </c>
      <c r="C16" s="183">
        <f>'Normalized Therms'!P18</f>
        <v>20492334.449073855</v>
      </c>
      <c r="D16" s="10">
        <v>6.2199999999999998E-3</v>
      </c>
      <c r="E16" s="10">
        <v>0</v>
      </c>
      <c r="F16" s="161">
        <f t="shared" si="0"/>
        <v>127462.32027323937</v>
      </c>
      <c r="G16" s="12">
        <f t="shared" si="1"/>
        <v>-127462.32027323937</v>
      </c>
      <c r="H16" s="2">
        <f t="shared" si="2"/>
        <v>-1</v>
      </c>
    </row>
    <row r="17" spans="1:11" x14ac:dyDescent="0.35">
      <c r="A17" t="s">
        <v>36</v>
      </c>
      <c r="B17" t="s">
        <v>37</v>
      </c>
      <c r="C17" s="183">
        <f>'Normalized Therms'!P19</f>
        <v>74773537.134971097</v>
      </c>
      <c r="D17" s="10">
        <v>3.31E-3</v>
      </c>
      <c r="E17" s="10">
        <v>0</v>
      </c>
      <c r="F17" s="161">
        <f t="shared" si="0"/>
        <v>247500.40791675434</v>
      </c>
      <c r="G17" s="12">
        <f t="shared" si="1"/>
        <v>-247500.40791675434</v>
      </c>
      <c r="H17" s="2">
        <f t="shared" si="2"/>
        <v>-1</v>
      </c>
    </row>
    <row r="18" spans="1:11" x14ac:dyDescent="0.35">
      <c r="A18" t="s">
        <v>38</v>
      </c>
      <c r="B18" t="s">
        <v>39</v>
      </c>
      <c r="C18" s="183">
        <f>'Normalized Therms'!P20</f>
        <v>351288.14999999997</v>
      </c>
      <c r="D18" s="10">
        <v>4.15E-3</v>
      </c>
      <c r="E18" s="10">
        <v>0</v>
      </c>
      <c r="F18" s="161">
        <f t="shared" si="0"/>
        <v>1457.8458224999999</v>
      </c>
      <c r="G18" s="12">
        <f t="shared" si="1"/>
        <v>-1457.8458224999999</v>
      </c>
      <c r="H18" s="2">
        <f t="shared" si="2"/>
        <v>-1</v>
      </c>
    </row>
    <row r="19" spans="1:11" x14ac:dyDescent="0.35">
      <c r="A19" t="s">
        <v>40</v>
      </c>
      <c r="B19" t="s">
        <v>41</v>
      </c>
      <c r="C19" s="183">
        <f>'Normalized Therms'!P21</f>
        <v>100441128.37470125</v>
      </c>
      <c r="D19" s="10">
        <v>2.0200000000000001E-3</v>
      </c>
      <c r="E19" s="10">
        <v>0</v>
      </c>
      <c r="F19" s="161">
        <f t="shared" si="0"/>
        <v>202891.07931689653</v>
      </c>
      <c r="G19" s="12">
        <f>(E19-D19)*C19</f>
        <v>-202891.07931689653</v>
      </c>
      <c r="H19" s="2">
        <f t="shared" si="2"/>
        <v>-1</v>
      </c>
    </row>
    <row r="20" spans="1:11" x14ac:dyDescent="0.35">
      <c r="A20" t="s">
        <v>13</v>
      </c>
      <c r="C20" s="183">
        <f>'Normalized Therms'!P22</f>
        <v>37056427.854413897</v>
      </c>
      <c r="D20" s="14">
        <v>2.47E-3</v>
      </c>
      <c r="E20" s="14">
        <v>0</v>
      </c>
      <c r="F20" s="161">
        <f t="shared" si="0"/>
        <v>91529.37680040233</v>
      </c>
      <c r="G20" s="12">
        <f t="shared" si="1"/>
        <v>-91529.37680040233</v>
      </c>
      <c r="H20" s="2">
        <f t="shared" si="2"/>
        <v>-1</v>
      </c>
    </row>
    <row r="21" spans="1:11" x14ac:dyDescent="0.35">
      <c r="A21" t="s">
        <v>6</v>
      </c>
      <c r="C21" s="15">
        <f>SUM(C8:C20)</f>
        <v>1191304269.0992641</v>
      </c>
      <c r="D21" s="9"/>
      <c r="E21" s="9"/>
      <c r="F21" s="162">
        <f t="shared" ref="F21:G21" si="3">SUM(F8:F20)</f>
        <v>10597674.068947049</v>
      </c>
      <c r="G21" s="16">
        <f t="shared" si="3"/>
        <v>-10597674.068947049</v>
      </c>
      <c r="H21" s="3">
        <f t="shared" si="2"/>
        <v>-1</v>
      </c>
    </row>
    <row r="22" spans="1:11" s="24" customFormat="1" x14ac:dyDescent="0.35">
      <c r="A22" s="17"/>
      <c r="B22" s="18"/>
      <c r="C22" s="21"/>
      <c r="D22" s="20"/>
      <c r="E22" s="20"/>
      <c r="F22" s="20"/>
      <c r="G22" s="23"/>
    </row>
    <row r="23" spans="1:11" s="24" customFormat="1" x14ac:dyDescent="0.35">
      <c r="A23" s="17" t="s">
        <v>267</v>
      </c>
      <c r="B23" s="17"/>
      <c r="C23" s="207">
        <f>'12ME Dec18 Rentals'!$O$30</f>
        <v>351449</v>
      </c>
      <c r="D23" s="26">
        <v>0</v>
      </c>
      <c r="E23" s="26">
        <v>0</v>
      </c>
      <c r="F23" s="161">
        <f>D23*C23</f>
        <v>0</v>
      </c>
      <c r="G23" s="12">
        <f t="shared" ref="G23" si="4">(E23-D23)*C23</f>
        <v>0</v>
      </c>
      <c r="H23" s="2"/>
      <c r="I23" s="27"/>
      <c r="J23" s="25"/>
      <c r="K23" s="28"/>
    </row>
    <row r="24" spans="1:11" s="24" customFormat="1" x14ac:dyDescent="0.35">
      <c r="A24" s="29" t="s">
        <v>6</v>
      </c>
      <c r="B24" s="29"/>
      <c r="C24" s="31"/>
      <c r="D24" s="31"/>
      <c r="E24" s="31"/>
      <c r="F24" s="30">
        <f t="shared" ref="F24:G24" si="5">F21+F23</f>
        <v>10597674.068947049</v>
      </c>
      <c r="G24" s="30">
        <f t="shared" si="5"/>
        <v>-10597674.068947049</v>
      </c>
      <c r="H24" s="3">
        <f>G24/F24</f>
        <v>-1</v>
      </c>
      <c r="I24" s="27"/>
    </row>
    <row r="25" spans="1:11" x14ac:dyDescent="0.35">
      <c r="F25" s="12"/>
    </row>
    <row r="26" spans="1:11" x14ac:dyDescent="0.35">
      <c r="C26" s="32"/>
      <c r="F26" s="12"/>
    </row>
    <row r="27" spans="1:11" x14ac:dyDescent="0.3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U31" sqref="U31"/>
    </sheetView>
  </sheetViews>
  <sheetFormatPr defaultRowHeight="14.5" x14ac:dyDescent="0.35"/>
  <sheetData/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1"/>
  <sheetViews>
    <sheetView zoomScale="90" zoomScaleNormal="90" workbookViewId="0">
      <selection activeCell="S32" sqref="S32"/>
    </sheetView>
  </sheetViews>
  <sheetFormatPr defaultColWidth="9.1796875" defaultRowHeight="14.5" x14ac:dyDescent="0.35"/>
  <cols>
    <col min="1" max="1" width="1.54296875" style="62" customWidth="1"/>
    <col min="2" max="2" width="15.54296875" style="62" customWidth="1"/>
    <col min="3" max="3" width="4" style="62" bestFit="1" customWidth="1"/>
    <col min="4" max="15" width="13.1796875" style="62" customWidth="1"/>
    <col min="16" max="16" width="14.1796875" style="62" customWidth="1"/>
    <col min="17" max="16384" width="9.1796875" style="62"/>
  </cols>
  <sheetData>
    <row r="1" spans="2:18" x14ac:dyDescent="0.35">
      <c r="B1" s="341" t="s">
        <v>0</v>
      </c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</row>
    <row r="2" spans="2:18" x14ac:dyDescent="0.35">
      <c r="B2" s="342" t="s">
        <v>313</v>
      </c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</row>
    <row r="3" spans="2:18" x14ac:dyDescent="0.35">
      <c r="B3" s="342" t="s">
        <v>329</v>
      </c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</row>
    <row r="4" spans="2:18" x14ac:dyDescent="0.35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2:18" x14ac:dyDescent="0.35">
      <c r="B5" s="62" t="s">
        <v>312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</row>
    <row r="7" spans="2:18" x14ac:dyDescent="0.35">
      <c r="B7" s="64" t="s">
        <v>21</v>
      </c>
      <c r="D7" s="70">
        <v>43101</v>
      </c>
      <c r="E7" s="70">
        <f>EDATE(D7,1)</f>
        <v>43132</v>
      </c>
      <c r="F7" s="70">
        <f t="shared" ref="F7:O7" si="0">EDATE(E7,1)</f>
        <v>43160</v>
      </c>
      <c r="G7" s="70">
        <f t="shared" si="0"/>
        <v>43191</v>
      </c>
      <c r="H7" s="70">
        <f t="shared" si="0"/>
        <v>43221</v>
      </c>
      <c r="I7" s="70">
        <f t="shared" si="0"/>
        <v>43252</v>
      </c>
      <c r="J7" s="70">
        <f t="shared" si="0"/>
        <v>43282</v>
      </c>
      <c r="K7" s="70">
        <f t="shared" si="0"/>
        <v>43313</v>
      </c>
      <c r="L7" s="70">
        <f t="shared" si="0"/>
        <v>43344</v>
      </c>
      <c r="M7" s="70">
        <f t="shared" si="0"/>
        <v>43374</v>
      </c>
      <c r="N7" s="70">
        <f t="shared" si="0"/>
        <v>43405</v>
      </c>
      <c r="O7" s="70">
        <f t="shared" si="0"/>
        <v>43435</v>
      </c>
      <c r="P7" s="65" t="s">
        <v>6</v>
      </c>
    </row>
    <row r="8" spans="2:18" x14ac:dyDescent="0.35">
      <c r="B8" s="66"/>
    </row>
    <row r="9" spans="2:18" x14ac:dyDescent="0.35">
      <c r="B9" s="66">
        <v>23</v>
      </c>
      <c r="D9" s="207">
        <f>'[64]Weather Adj'!D149</f>
        <v>93421350.850518093</v>
      </c>
      <c r="E9" s="207">
        <f>'[64]Weather Adj'!E149</f>
        <v>80765756.743281141</v>
      </c>
      <c r="F9" s="207">
        <f>'[64]Weather Adj'!F149</f>
        <v>73588981.052105859</v>
      </c>
      <c r="G9" s="207">
        <f>'[64]Weather Adj'!G149</f>
        <v>54225390.576538458</v>
      </c>
      <c r="H9" s="207">
        <f>'[64]Weather Adj'!H149</f>
        <v>29283078.131864034</v>
      </c>
      <c r="I9" s="207">
        <f>'[64]Weather Adj'!I149</f>
        <v>20073081.825583894</v>
      </c>
      <c r="J9" s="207">
        <f>'[64]Weather Adj'!J149</f>
        <v>13034137.192011889</v>
      </c>
      <c r="K9" s="207">
        <f>'[64]Weather Adj'!K149</f>
        <v>12666894.05795379</v>
      </c>
      <c r="L9" s="207">
        <f>'[64]Weather Adj'!L149</f>
        <v>18783605.989420865</v>
      </c>
      <c r="M9" s="207">
        <f>'[64]Weather Adj'!M149</f>
        <v>44226800.543073878</v>
      </c>
      <c r="N9" s="207">
        <f>'[64]Weather Adj'!N149</f>
        <v>71485047.417921156</v>
      </c>
      <c r="O9" s="207">
        <f>'[64]Weather Adj'!O149</f>
        <v>97694107.449045002</v>
      </c>
      <c r="P9" s="63">
        <f>SUM(D9:O9)</f>
        <v>609248231.82931805</v>
      </c>
      <c r="R9" s="199"/>
    </row>
    <row r="10" spans="2:18" x14ac:dyDescent="0.35">
      <c r="B10" s="197">
        <v>16</v>
      </c>
      <c r="D10" s="207">
        <f>'[64]Weather Adj'!D164</f>
        <v>798</v>
      </c>
      <c r="E10" s="207">
        <f>'[64]Weather Adj'!E164</f>
        <v>798</v>
      </c>
      <c r="F10" s="207">
        <f>'[64]Weather Adj'!F164</f>
        <v>798</v>
      </c>
      <c r="G10" s="207">
        <f>'[64]Weather Adj'!G164</f>
        <v>798</v>
      </c>
      <c r="H10" s="207">
        <f>'[64]Weather Adj'!H164</f>
        <v>798</v>
      </c>
      <c r="I10" s="207">
        <f>'[64]Weather Adj'!I164</f>
        <v>798</v>
      </c>
      <c r="J10" s="207">
        <f>'[64]Weather Adj'!J164</f>
        <v>769.5</v>
      </c>
      <c r="K10" s="207">
        <f>'[64]Weather Adj'!K164</f>
        <v>817</v>
      </c>
      <c r="L10" s="207">
        <f>'[64]Weather Adj'!L164</f>
        <v>826.5</v>
      </c>
      <c r="M10" s="207">
        <f>'[64]Weather Adj'!M164</f>
        <v>665</v>
      </c>
      <c r="N10" s="207">
        <f>'[64]Weather Adj'!N164</f>
        <v>807.5</v>
      </c>
      <c r="O10" s="207">
        <f>'[64]Weather Adj'!O164</f>
        <v>712.5</v>
      </c>
      <c r="P10" s="63">
        <f>SUM(D10:O10)</f>
        <v>9386</v>
      </c>
      <c r="R10" s="199"/>
    </row>
    <row r="11" spans="2:18" x14ac:dyDescent="0.35">
      <c r="B11" s="66">
        <v>53</v>
      </c>
      <c r="D11" s="207">
        <f>'[64]Weather Adj'!D165</f>
        <v>63.377999999999993</v>
      </c>
      <c r="E11" s="207">
        <f>'[64]Weather Adj'!E165</f>
        <v>19.951999999999998</v>
      </c>
      <c r="F11" s="207">
        <f>'[64]Weather Adj'!F165</f>
        <v>0</v>
      </c>
      <c r="G11" s="207">
        <f>'[64]Weather Adj'!G165</f>
        <v>0</v>
      </c>
      <c r="H11" s="207">
        <f>'[64]Weather Adj'!H165</f>
        <v>0</v>
      </c>
      <c r="I11" s="207">
        <f>'[64]Weather Adj'!I165</f>
        <v>0</v>
      </c>
      <c r="J11" s="207">
        <f>'[64]Weather Adj'!J165</f>
        <v>0</v>
      </c>
      <c r="K11" s="207">
        <f>'[64]Weather Adj'!K165</f>
        <v>0</v>
      </c>
      <c r="L11" s="207">
        <f>'[64]Weather Adj'!L165</f>
        <v>0</v>
      </c>
      <c r="M11" s="207">
        <f>'[64]Weather Adj'!M165</f>
        <v>0</v>
      </c>
      <c r="N11" s="207">
        <f>'[64]Weather Adj'!N165</f>
        <v>0</v>
      </c>
      <c r="O11" s="207">
        <f>'[64]Weather Adj'!O165</f>
        <v>0</v>
      </c>
      <c r="P11" s="63">
        <f t="shared" ref="P11:P26" si="1">SUM(D11:O11)</f>
        <v>83.329999999999984</v>
      </c>
      <c r="R11" s="199"/>
    </row>
    <row r="12" spans="2:18" x14ac:dyDescent="0.35">
      <c r="B12" s="66">
        <v>31</v>
      </c>
      <c r="D12" s="207">
        <f>'[64]Weather Adj'!D200</f>
        <v>32852638.671714101</v>
      </c>
      <c r="E12" s="207">
        <f>'[64]Weather Adj'!E200</f>
        <v>29006589.329172958</v>
      </c>
      <c r="F12" s="207">
        <f>'[64]Weather Adj'!F200</f>
        <v>27640317.097351622</v>
      </c>
      <c r="G12" s="207">
        <f>'[64]Weather Adj'!G200</f>
        <v>19072747.091606524</v>
      </c>
      <c r="H12" s="207">
        <f>'[64]Weather Adj'!H200</f>
        <v>13094665.303904446</v>
      </c>
      <c r="I12" s="207">
        <f>'[64]Weather Adj'!I200</f>
        <v>10441868.971499177</v>
      </c>
      <c r="J12" s="207">
        <f>'[64]Weather Adj'!J200</f>
        <v>7644096.0075623002</v>
      </c>
      <c r="K12" s="207">
        <f>'[64]Weather Adj'!K200</f>
        <v>8241900.0369669097</v>
      </c>
      <c r="L12" s="207">
        <f>'[64]Weather Adj'!L200</f>
        <v>9238365.1368257962</v>
      </c>
      <c r="M12" s="207">
        <f>'[64]Weather Adj'!M200</f>
        <v>16422128.384004632</v>
      </c>
      <c r="N12" s="207">
        <f>'[64]Weather Adj'!N200</f>
        <v>24464696.048186779</v>
      </c>
      <c r="O12" s="207">
        <f>'[64]Weather Adj'!O200</f>
        <v>36020146.010844097</v>
      </c>
      <c r="P12" s="63">
        <f t="shared" si="1"/>
        <v>234140158.08963937</v>
      </c>
      <c r="R12" s="199"/>
    </row>
    <row r="13" spans="2:18" x14ac:dyDescent="0.35">
      <c r="B13" s="66">
        <v>41</v>
      </c>
      <c r="D13" s="207">
        <f>'[64]Weather Adj'!D201</f>
        <v>8209208.2939787712</v>
      </c>
      <c r="E13" s="207">
        <f>'[64]Weather Adj'!E201</f>
        <v>7171673.5921670441</v>
      </c>
      <c r="F13" s="207">
        <f>'[64]Weather Adj'!F201</f>
        <v>6858805.0163550498</v>
      </c>
      <c r="G13" s="207">
        <f>'[64]Weather Adj'!G201</f>
        <v>5800978.8662811778</v>
      </c>
      <c r="H13" s="207">
        <f>'[64]Weather Adj'!H201</f>
        <v>4058647.0116447923</v>
      </c>
      <c r="I13" s="207">
        <f>'[64]Weather Adj'!I201</f>
        <v>4583960.921302883</v>
      </c>
      <c r="J13" s="207">
        <f>'[64]Weather Adj'!J201</f>
        <v>622642.19161639689</v>
      </c>
      <c r="K13" s="207">
        <f>'[64]Weather Adj'!K201</f>
        <v>5317375.6049357168</v>
      </c>
      <c r="L13" s="207">
        <f>'[64]Weather Adj'!L201</f>
        <v>3402076.3808797454</v>
      </c>
      <c r="M13" s="207">
        <f>'[64]Weather Adj'!M201</f>
        <v>4831151.2302754819</v>
      </c>
      <c r="N13" s="207">
        <f>'[64]Weather Adj'!N201</f>
        <v>6324418.3226982355</v>
      </c>
      <c r="O13" s="207">
        <f>'[64]Weather Adj'!O201</f>
        <v>8655720.031330198</v>
      </c>
      <c r="P13" s="63">
        <f t="shared" si="1"/>
        <v>65836657.463465482</v>
      </c>
      <c r="R13" s="199"/>
    </row>
    <row r="14" spans="2:18" x14ac:dyDescent="0.35">
      <c r="B14" s="66">
        <v>85</v>
      </c>
      <c r="D14" s="207">
        <f>'[64]Weather Adj'!D204</f>
        <v>2286069.1033305554</v>
      </c>
      <c r="E14" s="207">
        <f>'[64]Weather Adj'!E204</f>
        <v>366123.62150000012</v>
      </c>
      <c r="F14" s="207">
        <f>'[64]Weather Adj'!F204</f>
        <v>2022453.0662701395</v>
      </c>
      <c r="G14" s="207">
        <f>'[64]Weather Adj'!G204</f>
        <v>1005286.3932124993</v>
      </c>
      <c r="H14" s="207">
        <f>'[64]Weather Adj'!H204</f>
        <v>1078607.2613222227</v>
      </c>
      <c r="I14" s="207">
        <f>'[64]Weather Adj'!I204</f>
        <v>1505850.7620000001</v>
      </c>
      <c r="J14" s="207">
        <f>'[64]Weather Adj'!J204</f>
        <v>947457.08775000006</v>
      </c>
      <c r="K14" s="207">
        <f>'[64]Weather Adj'!K204</f>
        <v>1108607.1752499999</v>
      </c>
      <c r="L14" s="207">
        <f>'[64]Weather Adj'!L204</f>
        <v>748022.79449999996</v>
      </c>
      <c r="M14" s="207">
        <f>'[64]Weather Adj'!M204</f>
        <v>1546074.9429000001</v>
      </c>
      <c r="N14" s="207">
        <f>'[64]Weather Adj'!N204</f>
        <v>1967482.4444429993</v>
      </c>
      <c r="O14" s="207">
        <f>'[64]Weather Adj'!O204</f>
        <v>1602399.4161706674</v>
      </c>
      <c r="P14" s="63">
        <f t="shared" si="1"/>
        <v>16184434.068649085</v>
      </c>
      <c r="R14" s="199"/>
    </row>
    <row r="15" spans="2:18" x14ac:dyDescent="0.35">
      <c r="B15" s="66">
        <v>86</v>
      </c>
      <c r="D15" s="207">
        <f>'[64]Weather Adj'!D205</f>
        <v>1326920.78215962</v>
      </c>
      <c r="E15" s="207">
        <f>'[64]Weather Adj'!E205</f>
        <v>1049801.0412697112</v>
      </c>
      <c r="F15" s="207">
        <f>'[64]Weather Adj'!F205</f>
        <v>1087987.6920276775</v>
      </c>
      <c r="G15" s="207">
        <f>'[64]Weather Adj'!G205</f>
        <v>965229.59035049553</v>
      </c>
      <c r="H15" s="207">
        <f>'[64]Weather Adj'!H205</f>
        <v>674304.57821747451</v>
      </c>
      <c r="I15" s="207">
        <f>'[64]Weather Adj'!I205</f>
        <v>463043.80454248143</v>
      </c>
      <c r="J15" s="207">
        <f>'[64]Weather Adj'!J205</f>
        <v>229069.38598556269</v>
      </c>
      <c r="K15" s="207">
        <f>'[64]Weather Adj'!K205</f>
        <v>210625.33194923261</v>
      </c>
      <c r="L15" s="207">
        <f>'[64]Weather Adj'!L205</f>
        <v>313557.82154155365</v>
      </c>
      <c r="M15" s="207">
        <f>'[64]Weather Adj'!M205</f>
        <v>699245.35289394844</v>
      </c>
      <c r="N15" s="207">
        <f>'[64]Weather Adj'!N205</f>
        <v>931860.96731208719</v>
      </c>
      <c r="O15" s="207">
        <f>'[64]Weather Adj'!O205</f>
        <v>1445553.9246765082</v>
      </c>
      <c r="P15" s="63">
        <f t="shared" si="1"/>
        <v>9397200.2729263529</v>
      </c>
      <c r="R15" s="199"/>
    </row>
    <row r="16" spans="2:18" x14ac:dyDescent="0.35">
      <c r="B16" s="66">
        <v>87</v>
      </c>
      <c r="D16" s="207">
        <f>'[64]Weather Adj'!D206</f>
        <v>3082429.4890472237</v>
      </c>
      <c r="E16" s="207">
        <f>'[64]Weather Adj'!E206</f>
        <v>1082090.9661666662</v>
      </c>
      <c r="F16" s="207">
        <f>'[64]Weather Adj'!F206</f>
        <v>4162340.8524916675</v>
      </c>
      <c r="G16" s="207">
        <f>'[64]Weather Adj'!G206</f>
        <v>128297.16925555449</v>
      </c>
      <c r="H16" s="207">
        <f>'[64]Weather Adj'!H206</f>
        <v>2160675.2354277777</v>
      </c>
      <c r="I16" s="207">
        <f>'[64]Weather Adj'!I206</f>
        <v>1783685.3682499998</v>
      </c>
      <c r="J16" s="207">
        <f>'[64]Weather Adj'!J206</f>
        <v>1382354.0072500003</v>
      </c>
      <c r="K16" s="207">
        <f>'[64]Weather Adj'!K206</f>
        <v>1653354.8407499997</v>
      </c>
      <c r="L16" s="207">
        <f>'[64]Weather Adj'!L206</f>
        <v>1304457.4219999998</v>
      </c>
      <c r="M16" s="207">
        <f>'[64]Weather Adj'!M206</f>
        <v>2279808.7720833337</v>
      </c>
      <c r="N16" s="207">
        <f>'[64]Weather Adj'!N206</f>
        <v>2114393.5197826382</v>
      </c>
      <c r="O16" s="207">
        <f>'[64]Weather Adj'!O206</f>
        <v>2203154.475995834</v>
      </c>
      <c r="P16" s="63">
        <f t="shared" si="1"/>
        <v>23337042.118500698</v>
      </c>
      <c r="R16" s="199"/>
    </row>
    <row r="17" spans="2:18" x14ac:dyDescent="0.35">
      <c r="B17" s="66" t="s">
        <v>33</v>
      </c>
      <c r="D17" s="207">
        <f>'[64]Weather Adj'!D207</f>
        <v>6664.6625658499997</v>
      </c>
      <c r="E17" s="207">
        <f>'[64]Weather Adj'!E207</f>
        <v>5897.9395264166669</v>
      </c>
      <c r="F17" s="207">
        <f>'[64]Weather Adj'!F207</f>
        <v>4605.515821077779</v>
      </c>
      <c r="G17" s="207">
        <f>'[64]Weather Adj'!G207</f>
        <v>4707.0025577333336</v>
      </c>
      <c r="H17" s="207">
        <f>'[64]Weather Adj'!H207</f>
        <v>3308.5745063944451</v>
      </c>
      <c r="I17" s="207">
        <f>'[64]Weather Adj'!I207</f>
        <v>1401.2286276249993</v>
      </c>
      <c r="J17" s="207">
        <f>'[64]Weather Adj'!J207</f>
        <v>220.76999999999998</v>
      </c>
      <c r="K17" s="207">
        <f>'[64]Weather Adj'!K207</f>
        <v>1962.5200000000004</v>
      </c>
      <c r="L17" s="207">
        <f>'[64]Weather Adj'!L207</f>
        <v>548.85999999999945</v>
      </c>
      <c r="M17" s="207">
        <f>'[64]Weather Adj'!M207</f>
        <v>2932.3549999999996</v>
      </c>
      <c r="N17" s="207">
        <f>'[64]Weather Adj'!N207</f>
        <v>89384.865000000005</v>
      </c>
      <c r="O17" s="207">
        <f>'[64]Weather Adj'!O207</f>
        <v>-85274.33</v>
      </c>
      <c r="P17" s="63">
        <f t="shared" si="1"/>
        <v>36359.963605097219</v>
      </c>
      <c r="R17" s="199"/>
    </row>
    <row r="18" spans="2:18" x14ac:dyDescent="0.35">
      <c r="B18" s="66" t="s">
        <v>35</v>
      </c>
      <c r="D18" s="207">
        <f>'[64]Weather Adj'!D208</f>
        <v>2036956.235849211</v>
      </c>
      <c r="E18" s="207">
        <f>'[64]Weather Adj'!E208</f>
        <v>2923851.8185548889</v>
      </c>
      <c r="F18" s="207">
        <f>'[64]Weather Adj'!F208</f>
        <v>741073.62715784507</v>
      </c>
      <c r="G18" s="207">
        <f>'[64]Weather Adj'!G208</f>
        <v>1694763.5437733326</v>
      </c>
      <c r="H18" s="207">
        <f>'[64]Weather Adj'!H208</f>
        <v>1677916.6393041252</v>
      </c>
      <c r="I18" s="207">
        <f>'[64]Weather Adj'!I208</f>
        <v>1470403.8599999999</v>
      </c>
      <c r="J18" s="207">
        <f>'[64]Weather Adj'!J208</f>
        <v>1208674.2000000002</v>
      </c>
      <c r="K18" s="207">
        <f>'[64]Weather Adj'!K208</f>
        <v>1883968.17</v>
      </c>
      <c r="L18" s="207">
        <f>'[64]Weather Adj'!L208</f>
        <v>1445352.4800000002</v>
      </c>
      <c r="M18" s="207">
        <f>'[64]Weather Adj'!M208</f>
        <v>1706734.8338025003</v>
      </c>
      <c r="N18" s="207">
        <f>'[64]Weather Adj'!N208</f>
        <v>2048070.4670088862</v>
      </c>
      <c r="O18" s="207">
        <f>'[64]Weather Adj'!O208</f>
        <v>1654568.5736230663</v>
      </c>
      <c r="P18" s="63">
        <f t="shared" si="1"/>
        <v>20492334.449073855</v>
      </c>
      <c r="R18" s="199"/>
    </row>
    <row r="19" spans="2:18" x14ac:dyDescent="0.35">
      <c r="B19" s="66" t="s">
        <v>37</v>
      </c>
      <c r="D19" s="207">
        <f>'[64]Weather Adj'!D209</f>
        <v>6727599.9294236656</v>
      </c>
      <c r="E19" s="207">
        <f>'[64]Weather Adj'!E209</f>
        <v>9337614.0002066661</v>
      </c>
      <c r="F19" s="207">
        <f>'[64]Weather Adj'!F209</f>
        <v>3668529.3563617514</v>
      </c>
      <c r="G19" s="207">
        <f>'[64]Weather Adj'!G209</f>
        <v>5904423.4621941661</v>
      </c>
      <c r="H19" s="207">
        <f>'[64]Weather Adj'!H209</f>
        <v>6311018.0241726665</v>
      </c>
      <c r="I19" s="207">
        <f>'[64]Weather Adj'!I209</f>
        <v>5977309.8041272499</v>
      </c>
      <c r="J19" s="207">
        <f>'[64]Weather Adj'!J209</f>
        <v>5707683.2400000012</v>
      </c>
      <c r="K19" s="207">
        <f>'[64]Weather Adj'!K209</f>
        <v>6818455.1600000001</v>
      </c>
      <c r="L19" s="207">
        <f>'[64]Weather Adj'!L209</f>
        <v>5143107.4800000004</v>
      </c>
      <c r="M19" s="207">
        <f>'[64]Weather Adj'!M209</f>
        <v>6768900.4980270835</v>
      </c>
      <c r="N19" s="207">
        <f>'[64]Weather Adj'!N209</f>
        <v>6089051.3395335004</v>
      </c>
      <c r="O19" s="207">
        <f>'[64]Weather Adj'!O209</f>
        <v>6319844.8409243338</v>
      </c>
      <c r="P19" s="63">
        <f t="shared" si="1"/>
        <v>74773537.134971097</v>
      </c>
      <c r="R19" s="199"/>
    </row>
    <row r="20" spans="2:18" x14ac:dyDescent="0.35">
      <c r="B20" s="66" t="s">
        <v>39</v>
      </c>
      <c r="D20" s="207">
        <f>'[64]Weather Adj'!D210</f>
        <v>49343.94</v>
      </c>
      <c r="E20" s="207">
        <f>'[64]Weather Adj'!E210</f>
        <v>43260.89</v>
      </c>
      <c r="F20" s="207">
        <f>'[64]Weather Adj'!F210</f>
        <v>47997.709999999992</v>
      </c>
      <c r="G20" s="207">
        <f>'[64]Weather Adj'!G210</f>
        <v>20571.19000000001</v>
      </c>
      <c r="H20" s="207">
        <f>'[64]Weather Adj'!H210</f>
        <v>28894.409999999993</v>
      </c>
      <c r="I20" s="207">
        <f>'[64]Weather Adj'!I210</f>
        <v>16796.61</v>
      </c>
      <c r="J20" s="207">
        <f>'[64]Weather Adj'!J210</f>
        <v>16355.810000000003</v>
      </c>
      <c r="K20" s="207">
        <f>'[64]Weather Adj'!K210</f>
        <v>13575.84</v>
      </c>
      <c r="L20" s="207">
        <f>'[64]Weather Adj'!L210</f>
        <v>18921.03</v>
      </c>
      <c r="M20" s="207">
        <f>'[64]Weather Adj'!M210</f>
        <v>36888.018333333326</v>
      </c>
      <c r="N20" s="207">
        <f>'[64]Weather Adj'!N210</f>
        <v>30447.391666666674</v>
      </c>
      <c r="O20" s="207">
        <f>'[64]Weather Adj'!O210</f>
        <v>28235.309999999998</v>
      </c>
      <c r="P20" s="63">
        <f t="shared" si="1"/>
        <v>351288.14999999997</v>
      </c>
      <c r="R20" s="199"/>
    </row>
    <row r="21" spans="2:18" x14ac:dyDescent="0.35">
      <c r="B21" s="66" t="s">
        <v>41</v>
      </c>
      <c r="D21" s="207">
        <f>'[64]Weather Adj'!D211</f>
        <v>8621022.3882449996</v>
      </c>
      <c r="E21" s="207">
        <f>'[64]Weather Adj'!E211</f>
        <v>12102353.799991665</v>
      </c>
      <c r="F21" s="207">
        <f>'[64]Weather Adj'!F211</f>
        <v>6242340.596623336</v>
      </c>
      <c r="G21" s="207">
        <f>'[64]Weather Adj'!G211</f>
        <v>8248197.3247583322</v>
      </c>
      <c r="H21" s="207">
        <f>'[64]Weather Adj'!H211</f>
        <v>8365439.1357483314</v>
      </c>
      <c r="I21" s="207">
        <f>'[64]Weather Adj'!I211</f>
        <v>7676633.0565600023</v>
      </c>
      <c r="J21" s="207">
        <f>'[64]Weather Adj'!J211</f>
        <v>8618473.3499999996</v>
      </c>
      <c r="K21" s="207">
        <f>'[64]Weather Adj'!K211</f>
        <v>8692811.5599999987</v>
      </c>
      <c r="L21" s="207">
        <f>'[64]Weather Adj'!L211</f>
        <v>7685008.6000000006</v>
      </c>
      <c r="M21" s="207">
        <f>'[64]Weather Adj'!M211</f>
        <v>8876735.6437500007</v>
      </c>
      <c r="N21" s="207">
        <f>'[64]Weather Adj'!N211</f>
        <v>6268510.4313054159</v>
      </c>
      <c r="O21" s="207">
        <f>'[64]Weather Adj'!O211</f>
        <v>9043602.487719167</v>
      </c>
      <c r="P21" s="63">
        <f t="shared" si="1"/>
        <v>100441128.37470125</v>
      </c>
      <c r="R21" s="199"/>
    </row>
    <row r="22" spans="2:18" x14ac:dyDescent="0.35">
      <c r="B22" s="66" t="s">
        <v>13</v>
      </c>
      <c r="D22" s="207">
        <f>'[64]Weather Adj'!D212</f>
        <v>4378598.3768111104</v>
      </c>
      <c r="E22" s="207">
        <f>'[64]Weather Adj'!E212</f>
        <v>5175821.9395694453</v>
      </c>
      <c r="F22" s="207">
        <f>'[64]Weather Adj'!F212</f>
        <v>2544158.7452888917</v>
      </c>
      <c r="G22" s="207">
        <f>'[64]Weather Adj'!G212</f>
        <v>3274713.7933999989</v>
      </c>
      <c r="H22" s="207">
        <f>'[64]Weather Adj'!H212</f>
        <v>2655154.3553472222</v>
      </c>
      <c r="I22" s="207">
        <f>'[64]Weather Adj'!I212</f>
        <v>2242315.8119000001</v>
      </c>
      <c r="J22" s="207">
        <f>'[64]Weather Adj'!J212</f>
        <v>1817239.8699999994</v>
      </c>
      <c r="K22" s="207">
        <f>'[64]Weather Adj'!K212</f>
        <v>1242900.8900000001</v>
      </c>
      <c r="L22" s="207">
        <f>'[64]Weather Adj'!L212</f>
        <v>2771927.6328986101</v>
      </c>
      <c r="M22" s="207">
        <f>'[64]Weather Adj'!M212</f>
        <v>4000096.6804166678</v>
      </c>
      <c r="N22" s="207">
        <f>'[64]Weather Adj'!N212</f>
        <v>2445284.1466291645</v>
      </c>
      <c r="O22" s="207">
        <f>'[64]Weather Adj'!O212</f>
        <v>4508215.6121527795</v>
      </c>
      <c r="P22" s="63">
        <f t="shared" si="1"/>
        <v>37056427.854413897</v>
      </c>
      <c r="R22" s="199"/>
    </row>
    <row r="23" spans="2:18" x14ac:dyDescent="0.35">
      <c r="B23" s="66" t="s">
        <v>6</v>
      </c>
      <c r="D23" s="67">
        <f>SUM(D9:D22)</f>
        <v>162999664.1016432</v>
      </c>
      <c r="E23" s="67">
        <f t="shared" ref="E23:P23" si="2">SUM(E9:E22)</f>
        <v>149031653.63340661</v>
      </c>
      <c r="F23" s="67">
        <f t="shared" si="2"/>
        <v>128610388.32785492</v>
      </c>
      <c r="G23" s="67">
        <f t="shared" si="2"/>
        <v>100346104.00392829</v>
      </c>
      <c r="H23" s="67">
        <f t="shared" si="2"/>
        <v>69392506.661459476</v>
      </c>
      <c r="I23" s="67">
        <f t="shared" si="2"/>
        <v>56237150.024393305</v>
      </c>
      <c r="J23" s="67">
        <f t="shared" si="2"/>
        <v>41229172.612176143</v>
      </c>
      <c r="K23" s="67">
        <f t="shared" si="2"/>
        <v>47853248.187805653</v>
      </c>
      <c r="L23" s="67">
        <f t="shared" si="2"/>
        <v>50855778.12806657</v>
      </c>
      <c r="M23" s="67">
        <f t="shared" si="2"/>
        <v>91398162.254560858</v>
      </c>
      <c r="N23" s="67">
        <f t="shared" si="2"/>
        <v>124259454.86148752</v>
      </c>
      <c r="O23" s="67">
        <f t="shared" si="2"/>
        <v>169090986.30248162</v>
      </c>
      <c r="P23" s="67">
        <f t="shared" si="2"/>
        <v>1191304269.0992641</v>
      </c>
    </row>
    <row r="24" spans="2:18" x14ac:dyDescent="0.35">
      <c r="B24" s="66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</row>
    <row r="25" spans="2:18" x14ac:dyDescent="0.35">
      <c r="B25" s="66" t="s">
        <v>105</v>
      </c>
      <c r="D25" s="63">
        <f>SUM(D9:D13)</f>
        <v>134484059.19421098</v>
      </c>
      <c r="E25" s="63">
        <f t="shared" ref="E25:O25" si="3">SUM(E9:E13)</f>
        <v>116944837.61662115</v>
      </c>
      <c r="F25" s="63">
        <f t="shared" si="3"/>
        <v>108088901.16581254</v>
      </c>
      <c r="G25" s="63">
        <f t="shared" si="3"/>
        <v>79099914.534426168</v>
      </c>
      <c r="H25" s="63">
        <f t="shared" si="3"/>
        <v>46437188.447413273</v>
      </c>
      <c r="I25" s="63">
        <f t="shared" si="3"/>
        <v>35099709.718385957</v>
      </c>
      <c r="J25" s="63">
        <f t="shared" si="3"/>
        <v>21301644.891190585</v>
      </c>
      <c r="K25" s="63">
        <f t="shared" si="3"/>
        <v>26226986.699856415</v>
      </c>
      <c r="L25" s="63">
        <f t="shared" si="3"/>
        <v>31424874.007126406</v>
      </c>
      <c r="M25" s="63">
        <f t="shared" si="3"/>
        <v>65480745.15735399</v>
      </c>
      <c r="N25" s="63">
        <f t="shared" si="3"/>
        <v>102274969.28880617</v>
      </c>
      <c r="O25" s="63">
        <f t="shared" si="3"/>
        <v>142370685.99121928</v>
      </c>
      <c r="P25" s="63">
        <f t="shared" si="1"/>
        <v>909234516.71242297</v>
      </c>
    </row>
    <row r="26" spans="2:18" x14ac:dyDescent="0.35">
      <c r="B26" s="66" t="s">
        <v>106</v>
      </c>
      <c r="D26" s="63">
        <f>SUM(D14:D16)</f>
        <v>6695419.374537399</v>
      </c>
      <c r="E26" s="63">
        <f t="shared" ref="E26:O26" si="4">SUM(E14:E16)</f>
        <v>2498015.6289363774</v>
      </c>
      <c r="F26" s="63">
        <f t="shared" si="4"/>
        <v>7272781.6107894843</v>
      </c>
      <c r="G26" s="63">
        <f t="shared" si="4"/>
        <v>2098813.1528185494</v>
      </c>
      <c r="H26" s="63">
        <f t="shared" si="4"/>
        <v>3913587.0749674747</v>
      </c>
      <c r="I26" s="63">
        <f t="shared" si="4"/>
        <v>3752579.9347924814</v>
      </c>
      <c r="J26" s="63">
        <f t="shared" si="4"/>
        <v>2558880.4809855632</v>
      </c>
      <c r="K26" s="63">
        <f t="shared" si="4"/>
        <v>2972587.347949232</v>
      </c>
      <c r="L26" s="63">
        <f t="shared" si="4"/>
        <v>2366038.0380415535</v>
      </c>
      <c r="M26" s="63">
        <f t="shared" si="4"/>
        <v>4525129.0678772824</v>
      </c>
      <c r="N26" s="63">
        <f t="shared" si="4"/>
        <v>5013736.931537725</v>
      </c>
      <c r="O26" s="63">
        <f t="shared" si="4"/>
        <v>5251107.8168430096</v>
      </c>
      <c r="P26" s="63">
        <f t="shared" si="1"/>
        <v>48918676.460076138</v>
      </c>
    </row>
    <row r="27" spans="2:18" x14ac:dyDescent="0.35">
      <c r="B27" s="66" t="s">
        <v>107</v>
      </c>
      <c r="D27" s="67">
        <f>SUM(D25:D26)</f>
        <v>141179478.56874838</v>
      </c>
      <c r="E27" s="67">
        <f t="shared" ref="E27:P27" si="5">SUM(E25:E26)</f>
        <v>119442853.24555753</v>
      </c>
      <c r="F27" s="67">
        <f t="shared" si="5"/>
        <v>115361682.77660201</v>
      </c>
      <c r="G27" s="67">
        <f t="shared" si="5"/>
        <v>81198727.687244713</v>
      </c>
      <c r="H27" s="67">
        <f t="shared" si="5"/>
        <v>50350775.522380747</v>
      </c>
      <c r="I27" s="67">
        <f t="shared" si="5"/>
        <v>38852289.653178439</v>
      </c>
      <c r="J27" s="67">
        <f t="shared" si="5"/>
        <v>23860525.372176148</v>
      </c>
      <c r="K27" s="67">
        <f t="shared" si="5"/>
        <v>29199574.047805648</v>
      </c>
      <c r="L27" s="67">
        <f t="shared" si="5"/>
        <v>33790912.04516796</v>
      </c>
      <c r="M27" s="67">
        <f t="shared" si="5"/>
        <v>70005874.225231275</v>
      </c>
      <c r="N27" s="67">
        <f t="shared" si="5"/>
        <v>107288706.22034389</v>
      </c>
      <c r="O27" s="67">
        <f t="shared" si="5"/>
        <v>147621793.80806229</v>
      </c>
      <c r="P27" s="67">
        <f t="shared" si="5"/>
        <v>958153193.17249906</v>
      </c>
    </row>
    <row r="28" spans="2:18" x14ac:dyDescent="0.35">
      <c r="B28" s="66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</row>
    <row r="29" spans="2:18" x14ac:dyDescent="0.35">
      <c r="B29" s="66" t="s">
        <v>108</v>
      </c>
      <c r="D29" s="63">
        <f>SUM(D17:D22)</f>
        <v>21820185.532894835</v>
      </c>
      <c r="E29" s="63">
        <f t="shared" ref="E29:O29" si="6">SUM(E17:E22)</f>
        <v>29588800.387849085</v>
      </c>
      <c r="F29" s="63">
        <f t="shared" si="6"/>
        <v>13248705.551252902</v>
      </c>
      <c r="G29" s="63">
        <f t="shared" si="6"/>
        <v>19147376.316683561</v>
      </c>
      <c r="H29" s="63">
        <f t="shared" si="6"/>
        <v>19041731.13907874</v>
      </c>
      <c r="I29" s="63">
        <f t="shared" si="6"/>
        <v>17384860.371214878</v>
      </c>
      <c r="J29" s="63">
        <f t="shared" si="6"/>
        <v>17368647.240000002</v>
      </c>
      <c r="K29" s="63">
        <f t="shared" si="6"/>
        <v>18653674.140000001</v>
      </c>
      <c r="L29" s="63">
        <f t="shared" si="6"/>
        <v>17064866.082898609</v>
      </c>
      <c r="M29" s="63">
        <f t="shared" si="6"/>
        <v>21392288.029329583</v>
      </c>
      <c r="N29" s="63">
        <f t="shared" si="6"/>
        <v>16970748.641143635</v>
      </c>
      <c r="O29" s="63">
        <f t="shared" si="6"/>
        <v>21469192.494419344</v>
      </c>
      <c r="P29" s="63">
        <f>SUM(D29:O29)</f>
        <v>233151075.92676514</v>
      </c>
    </row>
    <row r="30" spans="2:18" x14ac:dyDescent="0.35">
      <c r="B30" s="66" t="s">
        <v>6</v>
      </c>
      <c r="D30" s="67">
        <f>D27+D29</f>
        <v>162999664.1016432</v>
      </c>
      <c r="E30" s="67">
        <f t="shared" ref="E30:P30" si="7">E27+E29</f>
        <v>149031653.63340661</v>
      </c>
      <c r="F30" s="67">
        <f t="shared" si="7"/>
        <v>128610388.32785492</v>
      </c>
      <c r="G30" s="67">
        <f t="shared" si="7"/>
        <v>100346104.00392827</v>
      </c>
      <c r="H30" s="67">
        <f t="shared" si="7"/>
        <v>69392506.661459491</v>
      </c>
      <c r="I30" s="67">
        <f t="shared" si="7"/>
        <v>56237150.02439332</v>
      </c>
      <c r="J30" s="67">
        <f t="shared" si="7"/>
        <v>41229172.61217615</v>
      </c>
      <c r="K30" s="67">
        <f t="shared" si="7"/>
        <v>47853248.187805653</v>
      </c>
      <c r="L30" s="67">
        <f t="shared" si="7"/>
        <v>50855778.12806657</v>
      </c>
      <c r="M30" s="67">
        <f t="shared" si="7"/>
        <v>91398162.254560858</v>
      </c>
      <c r="N30" s="67">
        <f t="shared" si="7"/>
        <v>124259454.86148752</v>
      </c>
      <c r="O30" s="67">
        <f t="shared" si="7"/>
        <v>169090986.30248162</v>
      </c>
      <c r="P30" s="67">
        <f t="shared" si="7"/>
        <v>1191304269.0992641</v>
      </c>
    </row>
    <row r="31" spans="2:18" x14ac:dyDescent="0.35">
      <c r="B31" s="68" t="s">
        <v>109</v>
      </c>
      <c r="D31" s="69">
        <f>D23-D30</f>
        <v>0</v>
      </c>
      <c r="E31" s="69">
        <f t="shared" ref="E31:P31" si="8">E23-E30</f>
        <v>0</v>
      </c>
      <c r="F31" s="69">
        <f t="shared" si="8"/>
        <v>0</v>
      </c>
      <c r="G31" s="69">
        <f t="shared" si="8"/>
        <v>0</v>
      </c>
      <c r="H31" s="69">
        <f t="shared" si="8"/>
        <v>0</v>
      </c>
      <c r="I31" s="69">
        <f t="shared" si="8"/>
        <v>0</v>
      </c>
      <c r="J31" s="69">
        <f t="shared" si="8"/>
        <v>0</v>
      </c>
      <c r="K31" s="69">
        <f>K23-K30</f>
        <v>0</v>
      </c>
      <c r="L31" s="69">
        <f t="shared" si="8"/>
        <v>0</v>
      </c>
      <c r="M31" s="69">
        <f t="shared" si="8"/>
        <v>0</v>
      </c>
      <c r="N31" s="69">
        <f t="shared" si="8"/>
        <v>0</v>
      </c>
      <c r="O31" s="69">
        <f t="shared" si="8"/>
        <v>0</v>
      </c>
      <c r="P31" s="69">
        <f t="shared" si="8"/>
        <v>0</v>
      </c>
    </row>
    <row r="32" spans="2:18" x14ac:dyDescent="0.35">
      <c r="C32" s="63"/>
    </row>
    <row r="33" spans="2:16" x14ac:dyDescent="0.35"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</row>
    <row r="34" spans="2:16" x14ac:dyDescent="0.35">
      <c r="B34" s="227" t="s">
        <v>254</v>
      </c>
      <c r="C34" s="63"/>
      <c r="D34" s="63">
        <f t="shared" ref="D34:P34" si="9">SUM(D9:D11)</f>
        <v>93422212.228518099</v>
      </c>
      <c r="E34" s="63">
        <f t="shared" si="9"/>
        <v>80766574.695281148</v>
      </c>
      <c r="F34" s="63">
        <f t="shared" si="9"/>
        <v>73589779.052105859</v>
      </c>
      <c r="G34" s="63">
        <f t="shared" si="9"/>
        <v>54226188.576538458</v>
      </c>
      <c r="H34" s="63">
        <f t="shared" si="9"/>
        <v>29283876.131864034</v>
      </c>
      <c r="I34" s="63">
        <f t="shared" si="9"/>
        <v>20073879.825583894</v>
      </c>
      <c r="J34" s="63">
        <f t="shared" si="9"/>
        <v>13034906.692011889</v>
      </c>
      <c r="K34" s="63">
        <f t="shared" si="9"/>
        <v>12667711.05795379</v>
      </c>
      <c r="L34" s="63">
        <f t="shared" si="9"/>
        <v>18784432.489420865</v>
      </c>
      <c r="M34" s="63">
        <f t="shared" si="9"/>
        <v>44227465.543073878</v>
      </c>
      <c r="N34" s="63">
        <f t="shared" si="9"/>
        <v>71485854.917921156</v>
      </c>
      <c r="O34" s="63">
        <f t="shared" si="9"/>
        <v>97694819.949045002</v>
      </c>
      <c r="P34" s="63">
        <f t="shared" si="9"/>
        <v>609257701.15931809</v>
      </c>
    </row>
    <row r="35" spans="2:16" x14ac:dyDescent="0.35">
      <c r="B35" s="66" t="s">
        <v>249</v>
      </c>
      <c r="C35" s="63"/>
      <c r="D35" s="63">
        <f t="shared" ref="D35:P35" si="10">SUM(D12,D17)</f>
        <v>32859303.334279951</v>
      </c>
      <c r="E35" s="63">
        <f t="shared" si="10"/>
        <v>29012487.268699374</v>
      </c>
      <c r="F35" s="63">
        <f t="shared" si="10"/>
        <v>27644922.613172699</v>
      </c>
      <c r="G35" s="63">
        <f t="shared" si="10"/>
        <v>19077454.094164256</v>
      </c>
      <c r="H35" s="63">
        <f t="shared" si="10"/>
        <v>13097973.87841084</v>
      </c>
      <c r="I35" s="63">
        <f t="shared" si="10"/>
        <v>10443270.200126803</v>
      </c>
      <c r="J35" s="63">
        <f t="shared" si="10"/>
        <v>7644316.7775622997</v>
      </c>
      <c r="K35" s="63">
        <f t="shared" si="10"/>
        <v>8243862.5569669092</v>
      </c>
      <c r="L35" s="63">
        <f t="shared" si="10"/>
        <v>9238913.9968257956</v>
      </c>
      <c r="M35" s="63">
        <f t="shared" si="10"/>
        <v>16425060.739004632</v>
      </c>
      <c r="N35" s="63">
        <f t="shared" si="10"/>
        <v>24554080.913186777</v>
      </c>
      <c r="O35" s="63">
        <f t="shared" si="10"/>
        <v>35934871.680844098</v>
      </c>
      <c r="P35" s="63">
        <f t="shared" si="10"/>
        <v>234176518.05324447</v>
      </c>
    </row>
    <row r="36" spans="2:16" x14ac:dyDescent="0.35">
      <c r="B36" s="66" t="s">
        <v>250</v>
      </c>
      <c r="D36" s="63">
        <f t="shared" ref="D36:P36" si="11">SUM(D13,D18)</f>
        <v>10246164.529827982</v>
      </c>
      <c r="E36" s="63">
        <f t="shared" si="11"/>
        <v>10095525.410721933</v>
      </c>
      <c r="F36" s="63">
        <f t="shared" si="11"/>
        <v>7599878.6435128953</v>
      </c>
      <c r="G36" s="63">
        <f t="shared" si="11"/>
        <v>7495742.4100545105</v>
      </c>
      <c r="H36" s="63">
        <f t="shared" si="11"/>
        <v>5736563.6509489175</v>
      </c>
      <c r="I36" s="63">
        <f t="shared" si="11"/>
        <v>6054364.7813028824</v>
      </c>
      <c r="J36" s="63">
        <f t="shared" si="11"/>
        <v>1831316.3916163971</v>
      </c>
      <c r="K36" s="63">
        <f t="shared" si="11"/>
        <v>7201343.7749357168</v>
      </c>
      <c r="L36" s="63">
        <f t="shared" si="11"/>
        <v>4847428.8608797453</v>
      </c>
      <c r="M36" s="63">
        <f t="shared" si="11"/>
        <v>6537886.0640779827</v>
      </c>
      <c r="N36" s="63">
        <f t="shared" si="11"/>
        <v>8372488.7897071214</v>
      </c>
      <c r="O36" s="63">
        <f t="shared" si="11"/>
        <v>10310288.604953265</v>
      </c>
      <c r="P36" s="63">
        <f t="shared" si="11"/>
        <v>86328991.912539333</v>
      </c>
    </row>
    <row r="37" spans="2:16" x14ac:dyDescent="0.35">
      <c r="B37" s="227" t="s">
        <v>253</v>
      </c>
      <c r="D37" s="63">
        <f t="shared" ref="D37:P37" si="12">SUM(D14,D19)</f>
        <v>9013669.0327542201</v>
      </c>
      <c r="E37" s="63">
        <f t="shared" si="12"/>
        <v>9703737.6217066664</v>
      </c>
      <c r="F37" s="63">
        <f t="shared" si="12"/>
        <v>5690982.4226318914</v>
      </c>
      <c r="G37" s="63">
        <f t="shared" si="12"/>
        <v>6909709.8554066652</v>
      </c>
      <c r="H37" s="63">
        <f t="shared" si="12"/>
        <v>7389625.2854948891</v>
      </c>
      <c r="I37" s="63">
        <f t="shared" si="12"/>
        <v>7483160.56612725</v>
      </c>
      <c r="J37" s="63">
        <f t="shared" si="12"/>
        <v>6655140.3277500011</v>
      </c>
      <c r="K37" s="63">
        <f t="shared" si="12"/>
        <v>7927062.3352499995</v>
      </c>
      <c r="L37" s="63">
        <f t="shared" si="12"/>
        <v>5891130.2745000003</v>
      </c>
      <c r="M37" s="63">
        <f t="shared" si="12"/>
        <v>8314975.4409270836</v>
      </c>
      <c r="N37" s="63">
        <f t="shared" si="12"/>
        <v>8056533.7839764999</v>
      </c>
      <c r="O37" s="63">
        <f t="shared" si="12"/>
        <v>7922244.2570950016</v>
      </c>
      <c r="P37" s="63">
        <f t="shared" si="12"/>
        <v>90957971.20362018</v>
      </c>
    </row>
    <row r="38" spans="2:16" x14ac:dyDescent="0.35">
      <c r="B38" s="66" t="s">
        <v>251</v>
      </c>
      <c r="D38" s="63">
        <f t="shared" ref="D38:P38" si="13">SUM(D15,D20)</f>
        <v>1376264.7221596199</v>
      </c>
      <c r="E38" s="63">
        <f t="shared" si="13"/>
        <v>1093061.9312697111</v>
      </c>
      <c r="F38" s="63">
        <f t="shared" si="13"/>
        <v>1135985.4020276775</v>
      </c>
      <c r="G38" s="63">
        <f t="shared" si="13"/>
        <v>985800.7803504956</v>
      </c>
      <c r="H38" s="63">
        <f t="shared" si="13"/>
        <v>703198.98821747454</v>
      </c>
      <c r="I38" s="63">
        <f t="shared" si="13"/>
        <v>479840.41454248142</v>
      </c>
      <c r="J38" s="63">
        <f t="shared" si="13"/>
        <v>245425.19598556269</v>
      </c>
      <c r="K38" s="63">
        <f t="shared" si="13"/>
        <v>224201.17194923261</v>
      </c>
      <c r="L38" s="63">
        <f t="shared" si="13"/>
        <v>332478.85154155362</v>
      </c>
      <c r="M38" s="63">
        <f t="shared" si="13"/>
        <v>736133.37122728175</v>
      </c>
      <c r="N38" s="63">
        <f t="shared" si="13"/>
        <v>962308.35897875391</v>
      </c>
      <c r="O38" s="63">
        <f t="shared" si="13"/>
        <v>1473789.2346765082</v>
      </c>
      <c r="P38" s="63">
        <f t="shared" si="13"/>
        <v>9748488.4229263533</v>
      </c>
    </row>
    <row r="39" spans="2:16" x14ac:dyDescent="0.35">
      <c r="B39" s="66" t="s">
        <v>252</v>
      </c>
      <c r="D39" s="63">
        <f t="shared" ref="D39:P39" si="14">SUM(D16,D21)</f>
        <v>11703451.877292223</v>
      </c>
      <c r="E39" s="63">
        <f t="shared" si="14"/>
        <v>13184444.766158331</v>
      </c>
      <c r="F39" s="63">
        <f t="shared" si="14"/>
        <v>10404681.449115004</v>
      </c>
      <c r="G39" s="63">
        <f t="shared" si="14"/>
        <v>8376494.4940138869</v>
      </c>
      <c r="H39" s="63">
        <f t="shared" si="14"/>
        <v>10526114.371176109</v>
      </c>
      <c r="I39" s="63">
        <f t="shared" si="14"/>
        <v>9460318.4248100016</v>
      </c>
      <c r="J39" s="63">
        <f t="shared" si="14"/>
        <v>10000827.357249999</v>
      </c>
      <c r="K39" s="63">
        <f t="shared" si="14"/>
        <v>10346166.400749998</v>
      </c>
      <c r="L39" s="63">
        <f t="shared" si="14"/>
        <v>8989466.0219999999</v>
      </c>
      <c r="M39" s="63">
        <f t="shared" si="14"/>
        <v>11156544.415833335</v>
      </c>
      <c r="N39" s="63">
        <f t="shared" si="14"/>
        <v>8382903.9510880541</v>
      </c>
      <c r="O39" s="63">
        <f t="shared" si="14"/>
        <v>11246756.963715002</v>
      </c>
      <c r="P39" s="63">
        <f t="shared" si="14"/>
        <v>123778170.49320194</v>
      </c>
    </row>
    <row r="40" spans="2:16" x14ac:dyDescent="0.35">
      <c r="B40" s="227" t="s">
        <v>13</v>
      </c>
      <c r="D40" s="63">
        <f t="shared" ref="D40:P40" si="15">D22</f>
        <v>4378598.3768111104</v>
      </c>
      <c r="E40" s="63">
        <f t="shared" si="15"/>
        <v>5175821.9395694453</v>
      </c>
      <c r="F40" s="63">
        <f t="shared" si="15"/>
        <v>2544158.7452888917</v>
      </c>
      <c r="G40" s="63">
        <f t="shared" si="15"/>
        <v>3274713.7933999989</v>
      </c>
      <c r="H40" s="63">
        <f t="shared" si="15"/>
        <v>2655154.3553472222</v>
      </c>
      <c r="I40" s="63">
        <f t="shared" si="15"/>
        <v>2242315.8119000001</v>
      </c>
      <c r="J40" s="63">
        <f t="shared" si="15"/>
        <v>1817239.8699999994</v>
      </c>
      <c r="K40" s="63">
        <f t="shared" si="15"/>
        <v>1242900.8900000001</v>
      </c>
      <c r="L40" s="63">
        <f t="shared" si="15"/>
        <v>2771927.6328986101</v>
      </c>
      <c r="M40" s="63">
        <f t="shared" si="15"/>
        <v>4000096.6804166678</v>
      </c>
      <c r="N40" s="63">
        <f t="shared" si="15"/>
        <v>2445284.1466291645</v>
      </c>
      <c r="O40" s="63">
        <f t="shared" si="15"/>
        <v>4508215.6121527795</v>
      </c>
      <c r="P40" s="63">
        <f t="shared" si="15"/>
        <v>37056427.854413897</v>
      </c>
    </row>
    <row r="41" spans="2:16" x14ac:dyDescent="0.35">
      <c r="B41" s="68" t="s">
        <v>109</v>
      </c>
      <c r="D41" s="69">
        <f>SUM(D34:D40)-D23</f>
        <v>0</v>
      </c>
      <c r="E41" s="69">
        <f t="shared" ref="E41:P41" si="16">SUM(E34:E40)-E23</f>
        <v>0</v>
      </c>
      <c r="F41" s="69">
        <f t="shared" si="16"/>
        <v>0</v>
      </c>
      <c r="G41" s="69">
        <f t="shared" si="16"/>
        <v>0</v>
      </c>
      <c r="H41" s="69">
        <f t="shared" si="16"/>
        <v>0</v>
      </c>
      <c r="I41" s="69">
        <f t="shared" si="16"/>
        <v>0</v>
      </c>
      <c r="J41" s="69">
        <f t="shared" si="16"/>
        <v>0</v>
      </c>
      <c r="K41" s="69">
        <f t="shared" si="16"/>
        <v>0</v>
      </c>
      <c r="L41" s="69">
        <f t="shared" si="16"/>
        <v>0</v>
      </c>
      <c r="M41" s="69">
        <f t="shared" si="16"/>
        <v>0</v>
      </c>
      <c r="N41" s="69">
        <f t="shared" si="16"/>
        <v>0</v>
      </c>
      <c r="O41" s="69">
        <f t="shared" si="16"/>
        <v>0</v>
      </c>
      <c r="P41" s="69">
        <f t="shared" si="16"/>
        <v>0</v>
      </c>
    </row>
  </sheetData>
  <mergeCells count="3">
    <mergeCell ref="B1:P1"/>
    <mergeCell ref="B2:P2"/>
    <mergeCell ref="B3:P3"/>
  </mergeCells>
  <printOptions horizontalCentered="1"/>
  <pageMargins left="0.5" right="0.5" top="0.75" bottom="0.75" header="0.3" footer="0.3"/>
  <pageSetup scale="65" orientation="landscape" blackAndWhite="1" r:id="rId1"/>
  <headerFooter>
    <oddFooter>&amp;L&amp;F 
&amp;A&amp;C&amp;P&amp;R&amp;D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1"/>
  <sheetViews>
    <sheetView zoomScale="90" zoomScaleNormal="90" workbookViewId="0">
      <selection activeCell="M36" sqref="M36"/>
    </sheetView>
  </sheetViews>
  <sheetFormatPr defaultRowHeight="14.5" x14ac:dyDescent="0.35"/>
  <cols>
    <col min="1" max="1" width="12.1796875" customWidth="1"/>
    <col min="2" max="2" width="42.26953125" customWidth="1"/>
    <col min="3" max="14" width="12.54296875" customWidth="1"/>
    <col min="15" max="15" width="12.7265625" customWidth="1"/>
    <col min="17" max="17" width="11.54296875" bestFit="1" customWidth="1"/>
  </cols>
  <sheetData>
    <row r="1" spans="1:17" x14ac:dyDescent="0.35">
      <c r="A1" s="215" t="s">
        <v>0</v>
      </c>
    </row>
    <row r="2" spans="1:17" x14ac:dyDescent="0.35">
      <c r="A2" s="215" t="s">
        <v>332</v>
      </c>
    </row>
    <row r="3" spans="1:17" x14ac:dyDescent="0.35">
      <c r="C3" s="216">
        <v>43101</v>
      </c>
      <c r="D3" s="216">
        <f>EDATE(C3,1)</f>
        <v>43132</v>
      </c>
      <c r="E3" s="216">
        <f t="shared" ref="E3:N3" si="0">EDATE(D3,1)</f>
        <v>43160</v>
      </c>
      <c r="F3" s="216">
        <f t="shared" si="0"/>
        <v>43191</v>
      </c>
      <c r="G3" s="216">
        <f t="shared" si="0"/>
        <v>43221</v>
      </c>
      <c r="H3" s="216">
        <f t="shared" si="0"/>
        <v>43252</v>
      </c>
      <c r="I3" s="216">
        <f t="shared" si="0"/>
        <v>43282</v>
      </c>
      <c r="J3" s="216">
        <f t="shared" si="0"/>
        <v>43313</v>
      </c>
      <c r="K3" s="216">
        <f t="shared" si="0"/>
        <v>43344</v>
      </c>
      <c r="L3" s="216">
        <f t="shared" si="0"/>
        <v>43374</v>
      </c>
      <c r="M3" s="216">
        <f t="shared" si="0"/>
        <v>43405</v>
      </c>
      <c r="N3" s="216">
        <f t="shared" si="0"/>
        <v>43435</v>
      </c>
      <c r="O3" s="218" t="s">
        <v>205</v>
      </c>
    </row>
    <row r="4" spans="1:17" x14ac:dyDescent="0.35">
      <c r="A4" s="147" t="s">
        <v>120</v>
      </c>
      <c r="B4" s="148"/>
    </row>
    <row r="5" spans="1:17" x14ac:dyDescent="0.35">
      <c r="A5" s="149" t="s">
        <v>122</v>
      </c>
      <c r="B5" s="149" t="s">
        <v>121</v>
      </c>
      <c r="C5" s="312">
        <v>1053</v>
      </c>
      <c r="D5" s="312">
        <v>1045</v>
      </c>
      <c r="E5" s="312">
        <v>1042</v>
      </c>
      <c r="F5" s="312">
        <v>1041</v>
      </c>
      <c r="G5" s="312">
        <v>1041</v>
      </c>
      <c r="H5" s="312">
        <v>1025</v>
      </c>
      <c r="I5" s="312">
        <v>1011</v>
      </c>
      <c r="J5" s="312">
        <v>1016</v>
      </c>
      <c r="K5" s="312">
        <v>1005</v>
      </c>
      <c r="L5" s="312">
        <v>998</v>
      </c>
      <c r="M5" s="312">
        <v>998</v>
      </c>
      <c r="N5" s="312">
        <v>988</v>
      </c>
      <c r="O5" s="151">
        <f>SUM(C5:N5)</f>
        <v>12263</v>
      </c>
      <c r="Q5" s="243"/>
    </row>
    <row r="6" spans="1:17" x14ac:dyDescent="0.35">
      <c r="A6" s="149" t="s">
        <v>124</v>
      </c>
      <c r="B6" s="149" t="s">
        <v>123</v>
      </c>
      <c r="C6" s="312">
        <v>16290</v>
      </c>
      <c r="D6" s="312">
        <v>16247</v>
      </c>
      <c r="E6" s="312">
        <v>16204</v>
      </c>
      <c r="F6" s="312">
        <v>16110</v>
      </c>
      <c r="G6" s="312">
        <v>16050</v>
      </c>
      <c r="H6" s="312">
        <v>15978</v>
      </c>
      <c r="I6" s="312">
        <v>15871</v>
      </c>
      <c r="J6" s="312">
        <v>15825</v>
      </c>
      <c r="K6" s="312">
        <v>15684</v>
      </c>
      <c r="L6" s="312">
        <v>15612</v>
      </c>
      <c r="M6" s="312">
        <v>15511</v>
      </c>
      <c r="N6" s="312">
        <v>15410</v>
      </c>
      <c r="O6" s="151">
        <f t="shared" ref="O6:O27" si="1">SUM(C6:N6)</f>
        <v>190792</v>
      </c>
      <c r="Q6" s="243"/>
    </row>
    <row r="7" spans="1:17" x14ac:dyDescent="0.35">
      <c r="A7" s="149" t="s">
        <v>126</v>
      </c>
      <c r="B7" s="149" t="s">
        <v>125</v>
      </c>
      <c r="C7" s="312">
        <v>3075</v>
      </c>
      <c r="D7" s="312">
        <v>3065</v>
      </c>
      <c r="E7" s="312">
        <v>3053</v>
      </c>
      <c r="F7" s="312">
        <v>3031</v>
      </c>
      <c r="G7" s="312">
        <v>3031</v>
      </c>
      <c r="H7" s="312">
        <v>3021</v>
      </c>
      <c r="I7" s="312">
        <v>2999</v>
      </c>
      <c r="J7" s="312">
        <v>2985</v>
      </c>
      <c r="K7" s="312">
        <v>2951</v>
      </c>
      <c r="L7" s="312">
        <v>2949</v>
      </c>
      <c r="M7" s="312">
        <v>2931</v>
      </c>
      <c r="N7" s="312">
        <v>2920</v>
      </c>
      <c r="O7" s="151">
        <f t="shared" si="1"/>
        <v>36011</v>
      </c>
      <c r="Q7" s="243"/>
    </row>
    <row r="8" spans="1:17" x14ac:dyDescent="0.35">
      <c r="A8" s="149" t="s">
        <v>128</v>
      </c>
      <c r="B8" s="149" t="s">
        <v>127</v>
      </c>
      <c r="C8" s="312">
        <v>680</v>
      </c>
      <c r="D8" s="312">
        <v>678</v>
      </c>
      <c r="E8" s="312">
        <v>678</v>
      </c>
      <c r="F8" s="312">
        <v>673</v>
      </c>
      <c r="G8" s="312">
        <v>681</v>
      </c>
      <c r="H8" s="312">
        <v>674</v>
      </c>
      <c r="I8" s="312">
        <v>661</v>
      </c>
      <c r="J8" s="312">
        <v>657</v>
      </c>
      <c r="K8" s="312">
        <v>647</v>
      </c>
      <c r="L8" s="312">
        <v>645</v>
      </c>
      <c r="M8" s="312">
        <v>644</v>
      </c>
      <c r="N8" s="312">
        <v>641</v>
      </c>
      <c r="O8" s="151">
        <f t="shared" si="1"/>
        <v>7959</v>
      </c>
      <c r="Q8" s="243"/>
    </row>
    <row r="9" spans="1:17" x14ac:dyDescent="0.35">
      <c r="A9" s="149" t="s">
        <v>130</v>
      </c>
      <c r="B9" s="149" t="s">
        <v>129</v>
      </c>
      <c r="C9" s="312">
        <v>3447</v>
      </c>
      <c r="D9" s="312">
        <v>3432</v>
      </c>
      <c r="E9" s="312">
        <v>3406</v>
      </c>
      <c r="F9" s="312">
        <v>3396</v>
      </c>
      <c r="G9" s="312">
        <v>3398</v>
      </c>
      <c r="H9" s="312">
        <v>3392</v>
      </c>
      <c r="I9" s="312">
        <v>3378</v>
      </c>
      <c r="J9" s="312">
        <v>3341</v>
      </c>
      <c r="K9" s="312">
        <v>3313</v>
      </c>
      <c r="L9" s="312">
        <v>3305</v>
      </c>
      <c r="M9" s="312">
        <v>3293</v>
      </c>
      <c r="N9" s="312">
        <v>3276</v>
      </c>
      <c r="O9" s="151">
        <f t="shared" si="1"/>
        <v>40377</v>
      </c>
      <c r="Q9" s="243"/>
    </row>
    <row r="10" spans="1:17" x14ac:dyDescent="0.35">
      <c r="A10" s="149" t="s">
        <v>132</v>
      </c>
      <c r="B10" s="149" t="s">
        <v>131</v>
      </c>
      <c r="C10" s="312">
        <v>199</v>
      </c>
      <c r="D10" s="312">
        <v>195</v>
      </c>
      <c r="E10" s="312">
        <v>196</v>
      </c>
      <c r="F10" s="312">
        <v>196</v>
      </c>
      <c r="G10" s="312">
        <v>196</v>
      </c>
      <c r="H10" s="312">
        <v>197</v>
      </c>
      <c r="I10" s="312">
        <v>196</v>
      </c>
      <c r="J10" s="312">
        <v>196</v>
      </c>
      <c r="K10" s="312">
        <v>194</v>
      </c>
      <c r="L10" s="312">
        <v>192</v>
      </c>
      <c r="M10" s="312">
        <v>194</v>
      </c>
      <c r="N10" s="312">
        <v>194</v>
      </c>
      <c r="O10" s="151">
        <f t="shared" si="1"/>
        <v>2345</v>
      </c>
      <c r="Q10" s="243"/>
    </row>
    <row r="11" spans="1:17" x14ac:dyDescent="0.35">
      <c r="A11" s="1"/>
      <c r="B11" s="150" t="s">
        <v>133</v>
      </c>
      <c r="C11" s="291">
        <f>SUM(C5:C10)</f>
        <v>24744</v>
      </c>
      <c r="D11" s="291">
        <f t="shared" ref="D11:O11" si="2">SUM(D5:D10)</f>
        <v>24662</v>
      </c>
      <c r="E11" s="291">
        <f t="shared" si="2"/>
        <v>24579</v>
      </c>
      <c r="F11" s="291">
        <f t="shared" si="2"/>
        <v>24447</v>
      </c>
      <c r="G11" s="291">
        <f t="shared" si="2"/>
        <v>24397</v>
      </c>
      <c r="H11" s="291">
        <f t="shared" si="2"/>
        <v>24287</v>
      </c>
      <c r="I11" s="291">
        <f t="shared" si="2"/>
        <v>24116</v>
      </c>
      <c r="J11" s="291">
        <f t="shared" si="2"/>
        <v>24020</v>
      </c>
      <c r="K11" s="291">
        <f t="shared" si="2"/>
        <v>23794</v>
      </c>
      <c r="L11" s="291">
        <f t="shared" si="2"/>
        <v>23701</v>
      </c>
      <c r="M11" s="291">
        <f t="shared" si="2"/>
        <v>23571</v>
      </c>
      <c r="N11" s="291">
        <f t="shared" si="2"/>
        <v>23429</v>
      </c>
      <c r="O11" s="291">
        <f t="shared" si="2"/>
        <v>289747</v>
      </c>
      <c r="Q11" s="243"/>
    </row>
    <row r="12" spans="1:17" x14ac:dyDescent="0.35">
      <c r="A12" s="1"/>
      <c r="B12" s="149"/>
      <c r="C12" s="32"/>
      <c r="O12" s="151"/>
      <c r="Q12" s="243"/>
    </row>
    <row r="13" spans="1:17" x14ac:dyDescent="0.35">
      <c r="A13" s="147" t="s">
        <v>134</v>
      </c>
      <c r="B13" s="149"/>
      <c r="O13" s="151"/>
      <c r="Q13" s="243"/>
    </row>
    <row r="14" spans="1:17" x14ac:dyDescent="0.35">
      <c r="A14" s="149" t="s">
        <v>136</v>
      </c>
      <c r="B14" s="149" t="s">
        <v>135</v>
      </c>
      <c r="C14" s="312">
        <v>119</v>
      </c>
      <c r="D14" s="312">
        <v>116</v>
      </c>
      <c r="E14" s="312">
        <v>116</v>
      </c>
      <c r="F14" s="312">
        <v>116</v>
      </c>
      <c r="G14" s="312">
        <v>116</v>
      </c>
      <c r="H14" s="312">
        <v>118</v>
      </c>
      <c r="I14" s="312">
        <v>120</v>
      </c>
      <c r="J14" s="312">
        <v>115</v>
      </c>
      <c r="K14" s="312">
        <v>112</v>
      </c>
      <c r="L14" s="312">
        <v>112</v>
      </c>
      <c r="M14" s="312">
        <v>111</v>
      </c>
      <c r="N14" s="312">
        <v>113</v>
      </c>
      <c r="O14" s="151">
        <f t="shared" si="1"/>
        <v>1384</v>
      </c>
      <c r="Q14" s="243"/>
    </row>
    <row r="15" spans="1:17" x14ac:dyDescent="0.35">
      <c r="A15" s="149" t="s">
        <v>138</v>
      </c>
      <c r="B15" s="149" t="s">
        <v>137</v>
      </c>
      <c r="C15" s="312">
        <v>87</v>
      </c>
      <c r="D15" s="312">
        <v>89</v>
      </c>
      <c r="E15" s="312">
        <v>88</v>
      </c>
      <c r="F15" s="312">
        <v>88</v>
      </c>
      <c r="G15" s="312">
        <v>87</v>
      </c>
      <c r="H15" s="312">
        <v>87</v>
      </c>
      <c r="I15" s="312">
        <v>87</v>
      </c>
      <c r="J15" s="312">
        <v>86</v>
      </c>
      <c r="K15" s="312">
        <v>84</v>
      </c>
      <c r="L15" s="312">
        <v>85</v>
      </c>
      <c r="M15" s="312">
        <v>83</v>
      </c>
      <c r="N15" s="312">
        <v>85</v>
      </c>
      <c r="O15" s="151">
        <f t="shared" si="1"/>
        <v>1036</v>
      </c>
      <c r="Q15" s="243"/>
    </row>
    <row r="16" spans="1:17" x14ac:dyDescent="0.35">
      <c r="A16" s="149" t="s">
        <v>140</v>
      </c>
      <c r="B16" s="149" t="s">
        <v>139</v>
      </c>
      <c r="C16" s="312">
        <v>233</v>
      </c>
      <c r="D16" s="312">
        <v>235</v>
      </c>
      <c r="E16" s="312">
        <v>231</v>
      </c>
      <c r="F16" s="312">
        <v>228</v>
      </c>
      <c r="G16" s="312">
        <v>231</v>
      </c>
      <c r="H16" s="312">
        <v>222</v>
      </c>
      <c r="I16" s="312">
        <v>228</v>
      </c>
      <c r="J16" s="312">
        <v>228</v>
      </c>
      <c r="K16" s="312">
        <v>228</v>
      </c>
      <c r="L16" s="312">
        <v>216</v>
      </c>
      <c r="M16" s="312">
        <v>218</v>
      </c>
      <c r="N16" s="312">
        <v>213</v>
      </c>
      <c r="O16" s="151">
        <f t="shared" si="1"/>
        <v>2711</v>
      </c>
      <c r="Q16" s="243"/>
    </row>
    <row r="17" spans="1:17" x14ac:dyDescent="0.35">
      <c r="A17" s="149" t="s">
        <v>142</v>
      </c>
      <c r="B17" s="149" t="s">
        <v>141</v>
      </c>
      <c r="C17" s="312">
        <v>13</v>
      </c>
      <c r="D17" s="312">
        <v>13</v>
      </c>
      <c r="E17" s="312">
        <v>13</v>
      </c>
      <c r="F17" s="312">
        <v>13</v>
      </c>
      <c r="G17" s="312">
        <v>13</v>
      </c>
      <c r="H17" s="312">
        <v>13</v>
      </c>
      <c r="I17" s="312">
        <v>13</v>
      </c>
      <c r="J17" s="312">
        <v>13</v>
      </c>
      <c r="K17" s="312">
        <v>13</v>
      </c>
      <c r="L17" s="312">
        <v>13</v>
      </c>
      <c r="M17" s="312">
        <v>14</v>
      </c>
      <c r="N17" s="312">
        <v>13</v>
      </c>
      <c r="O17" s="151">
        <f t="shared" si="1"/>
        <v>157</v>
      </c>
      <c r="Q17" s="243"/>
    </row>
    <row r="18" spans="1:17" x14ac:dyDescent="0.35">
      <c r="A18" s="149" t="s">
        <v>144</v>
      </c>
      <c r="B18" s="149" t="s">
        <v>143</v>
      </c>
      <c r="C18" s="312">
        <v>568</v>
      </c>
      <c r="D18" s="312">
        <v>557</v>
      </c>
      <c r="E18" s="312">
        <v>556</v>
      </c>
      <c r="F18" s="312">
        <v>560</v>
      </c>
      <c r="G18" s="312">
        <v>560</v>
      </c>
      <c r="H18" s="312">
        <v>552</v>
      </c>
      <c r="I18" s="312">
        <v>561</v>
      </c>
      <c r="J18" s="312">
        <v>550</v>
      </c>
      <c r="K18" s="312">
        <v>550</v>
      </c>
      <c r="L18" s="312">
        <v>544</v>
      </c>
      <c r="M18" s="312">
        <v>542</v>
      </c>
      <c r="N18" s="312">
        <v>538</v>
      </c>
      <c r="O18" s="151">
        <f t="shared" si="1"/>
        <v>6638</v>
      </c>
      <c r="Q18" s="243"/>
    </row>
    <row r="19" spans="1:17" x14ac:dyDescent="0.35">
      <c r="A19" s="149" t="s">
        <v>146</v>
      </c>
      <c r="B19" s="149" t="s">
        <v>145</v>
      </c>
      <c r="C19" s="312">
        <v>384</v>
      </c>
      <c r="D19" s="312">
        <v>378</v>
      </c>
      <c r="E19" s="312">
        <v>381</v>
      </c>
      <c r="F19" s="312">
        <v>385</v>
      </c>
      <c r="G19" s="312">
        <v>383</v>
      </c>
      <c r="H19" s="312">
        <v>378</v>
      </c>
      <c r="I19" s="312">
        <v>389</v>
      </c>
      <c r="J19" s="312">
        <v>372</v>
      </c>
      <c r="K19" s="312">
        <v>369</v>
      </c>
      <c r="L19" s="312">
        <v>370</v>
      </c>
      <c r="M19" s="312">
        <v>368</v>
      </c>
      <c r="N19" s="312">
        <v>369</v>
      </c>
      <c r="O19" s="151">
        <f t="shared" si="1"/>
        <v>4526</v>
      </c>
      <c r="Q19" s="243"/>
    </row>
    <row r="20" spans="1:17" x14ac:dyDescent="0.35">
      <c r="A20" s="149" t="s">
        <v>148</v>
      </c>
      <c r="B20" s="149" t="s">
        <v>147</v>
      </c>
      <c r="C20" s="312">
        <v>1107</v>
      </c>
      <c r="D20" s="312">
        <v>1103</v>
      </c>
      <c r="E20" s="312">
        <v>1102</v>
      </c>
      <c r="F20" s="312">
        <v>1096</v>
      </c>
      <c r="G20" s="312">
        <v>1089</v>
      </c>
      <c r="H20" s="312">
        <v>1091</v>
      </c>
      <c r="I20" s="312">
        <v>1135</v>
      </c>
      <c r="J20" s="312">
        <v>1084</v>
      </c>
      <c r="K20" s="312">
        <v>1093</v>
      </c>
      <c r="L20" s="312">
        <v>1105</v>
      </c>
      <c r="M20" s="312">
        <v>1081</v>
      </c>
      <c r="N20" s="312">
        <v>1073</v>
      </c>
      <c r="O20" s="151">
        <f t="shared" si="1"/>
        <v>13159</v>
      </c>
      <c r="Q20" s="243"/>
    </row>
    <row r="21" spans="1:17" x14ac:dyDescent="0.35">
      <c r="A21" s="1"/>
      <c r="B21" s="150" t="s">
        <v>133</v>
      </c>
      <c r="C21" s="291">
        <f>SUM(C14:C20)</f>
        <v>2511</v>
      </c>
      <c r="D21" s="291">
        <f t="shared" ref="D21:O21" si="3">SUM(D14:D20)</f>
        <v>2491</v>
      </c>
      <c r="E21" s="291">
        <f t="shared" si="3"/>
        <v>2487</v>
      </c>
      <c r="F21" s="291">
        <f t="shared" si="3"/>
        <v>2486</v>
      </c>
      <c r="G21" s="291">
        <f t="shared" si="3"/>
        <v>2479</v>
      </c>
      <c r="H21" s="291">
        <f t="shared" si="3"/>
        <v>2461</v>
      </c>
      <c r="I21" s="291">
        <f t="shared" si="3"/>
        <v>2533</v>
      </c>
      <c r="J21" s="291">
        <f t="shared" si="3"/>
        <v>2448</v>
      </c>
      <c r="K21" s="291">
        <f t="shared" si="3"/>
        <v>2449</v>
      </c>
      <c r="L21" s="291">
        <f t="shared" si="3"/>
        <v>2445</v>
      </c>
      <c r="M21" s="291">
        <f t="shared" si="3"/>
        <v>2417</v>
      </c>
      <c r="N21" s="291">
        <f t="shared" si="3"/>
        <v>2404</v>
      </c>
      <c r="O21" s="291">
        <f t="shared" si="3"/>
        <v>29611</v>
      </c>
      <c r="Q21" s="243"/>
    </row>
    <row r="22" spans="1:17" x14ac:dyDescent="0.35">
      <c r="A22" s="150"/>
      <c r="B22" s="148"/>
      <c r="O22" s="151"/>
      <c r="Q22" s="243"/>
    </row>
    <row r="23" spans="1:17" x14ac:dyDescent="0.35">
      <c r="A23" s="147" t="s">
        <v>150</v>
      </c>
      <c r="B23" s="148"/>
      <c r="O23" s="151"/>
      <c r="Q23" s="243"/>
    </row>
    <row r="24" spans="1:17" x14ac:dyDescent="0.35">
      <c r="A24" s="149" t="s">
        <v>152</v>
      </c>
      <c r="B24" s="149" t="s">
        <v>151</v>
      </c>
      <c r="C24" s="312">
        <v>990</v>
      </c>
      <c r="D24" s="312">
        <v>984</v>
      </c>
      <c r="E24" s="312">
        <v>982</v>
      </c>
      <c r="F24" s="312">
        <v>981</v>
      </c>
      <c r="G24" s="312">
        <v>982</v>
      </c>
      <c r="H24" s="312">
        <v>968</v>
      </c>
      <c r="I24" s="312">
        <v>954</v>
      </c>
      <c r="J24" s="312">
        <v>954</v>
      </c>
      <c r="K24" s="312">
        <v>938</v>
      </c>
      <c r="L24" s="312">
        <v>932</v>
      </c>
      <c r="M24" s="312">
        <v>918</v>
      </c>
      <c r="N24" s="312">
        <v>918</v>
      </c>
      <c r="O24" s="151">
        <f t="shared" si="1"/>
        <v>11501</v>
      </c>
      <c r="Q24" s="243"/>
    </row>
    <row r="25" spans="1:17" x14ac:dyDescent="0.35">
      <c r="A25" s="149" t="s">
        <v>154</v>
      </c>
      <c r="B25" s="149" t="s">
        <v>153</v>
      </c>
      <c r="C25" s="312">
        <v>70</v>
      </c>
      <c r="D25" s="312">
        <v>71</v>
      </c>
      <c r="E25" s="312">
        <v>72</v>
      </c>
      <c r="F25" s="312">
        <v>72</v>
      </c>
      <c r="G25" s="312">
        <v>72</v>
      </c>
      <c r="H25" s="312">
        <v>70</v>
      </c>
      <c r="I25" s="312">
        <v>71</v>
      </c>
      <c r="J25" s="312">
        <v>70</v>
      </c>
      <c r="K25" s="312">
        <v>70</v>
      </c>
      <c r="L25" s="312">
        <v>70</v>
      </c>
      <c r="M25" s="312">
        <v>69</v>
      </c>
      <c r="N25" s="312">
        <v>67</v>
      </c>
      <c r="O25" s="151">
        <f t="shared" si="1"/>
        <v>844</v>
      </c>
      <c r="Q25" s="243"/>
    </row>
    <row r="26" spans="1:17" x14ac:dyDescent="0.35">
      <c r="A26" s="149" t="s">
        <v>156</v>
      </c>
      <c r="B26" s="149" t="s">
        <v>155</v>
      </c>
      <c r="C26" s="312">
        <v>45</v>
      </c>
      <c r="D26" s="312">
        <v>44</v>
      </c>
      <c r="E26" s="312">
        <v>44</v>
      </c>
      <c r="F26" s="312">
        <v>46</v>
      </c>
      <c r="G26" s="312">
        <v>46</v>
      </c>
      <c r="H26" s="312">
        <v>44</v>
      </c>
      <c r="I26" s="312">
        <v>51</v>
      </c>
      <c r="J26" s="312">
        <v>45</v>
      </c>
      <c r="K26" s="312">
        <v>44</v>
      </c>
      <c r="L26" s="312">
        <v>45</v>
      </c>
      <c r="M26" s="312">
        <v>44</v>
      </c>
      <c r="N26" s="312">
        <v>43</v>
      </c>
      <c r="O26" s="151">
        <f t="shared" si="1"/>
        <v>541</v>
      </c>
      <c r="Q26" s="243"/>
    </row>
    <row r="27" spans="1:17" x14ac:dyDescent="0.35">
      <c r="A27" s="149" t="s">
        <v>158</v>
      </c>
      <c r="B27" s="149" t="s">
        <v>157</v>
      </c>
      <c r="C27" s="312">
        <v>1650</v>
      </c>
      <c r="D27" s="312">
        <v>1645</v>
      </c>
      <c r="E27" s="312">
        <v>1631</v>
      </c>
      <c r="F27" s="312">
        <v>1621</v>
      </c>
      <c r="G27" s="312">
        <v>1625</v>
      </c>
      <c r="H27" s="312">
        <v>1605</v>
      </c>
      <c r="I27" s="312">
        <v>1589</v>
      </c>
      <c r="J27" s="312">
        <v>1587</v>
      </c>
      <c r="K27" s="312">
        <v>1576</v>
      </c>
      <c r="L27" s="312">
        <v>1570</v>
      </c>
      <c r="M27" s="312">
        <v>1557</v>
      </c>
      <c r="N27" s="312">
        <v>1549</v>
      </c>
      <c r="O27" s="151">
        <f t="shared" si="1"/>
        <v>19205</v>
      </c>
      <c r="Q27" s="243"/>
    </row>
    <row r="28" spans="1:17" x14ac:dyDescent="0.35">
      <c r="A28" s="169"/>
      <c r="B28" s="169" t="s">
        <v>6</v>
      </c>
      <c r="C28" s="291">
        <f>SUM(C24:C27)</f>
        <v>2755</v>
      </c>
      <c r="D28" s="291">
        <f t="shared" ref="D28:O28" si="4">SUM(D24:D27)</f>
        <v>2744</v>
      </c>
      <c r="E28" s="291">
        <f t="shared" si="4"/>
        <v>2729</v>
      </c>
      <c r="F28" s="291">
        <f t="shared" si="4"/>
        <v>2720</v>
      </c>
      <c r="G28" s="291">
        <f t="shared" si="4"/>
        <v>2725</v>
      </c>
      <c r="H28" s="291">
        <f t="shared" si="4"/>
        <v>2687</v>
      </c>
      <c r="I28" s="291">
        <f t="shared" si="4"/>
        <v>2665</v>
      </c>
      <c r="J28" s="291">
        <f t="shared" si="4"/>
        <v>2656</v>
      </c>
      <c r="K28" s="291">
        <f t="shared" si="4"/>
        <v>2628</v>
      </c>
      <c r="L28" s="291">
        <f t="shared" si="4"/>
        <v>2617</v>
      </c>
      <c r="M28" s="291">
        <f t="shared" si="4"/>
        <v>2588</v>
      </c>
      <c r="N28" s="291">
        <f t="shared" si="4"/>
        <v>2577</v>
      </c>
      <c r="O28" s="291">
        <f t="shared" si="4"/>
        <v>32091</v>
      </c>
      <c r="Q28" s="243"/>
    </row>
    <row r="29" spans="1:17" x14ac:dyDescent="0.35">
      <c r="Q29" s="243"/>
    </row>
    <row r="30" spans="1:17" ht="15" thickBot="1" x14ac:dyDescent="0.4">
      <c r="A30" s="169" t="s">
        <v>6</v>
      </c>
      <c r="C30" s="313">
        <f>SUM(C11,C21,C28)</f>
        <v>30010</v>
      </c>
      <c r="D30" s="313">
        <f t="shared" ref="D30:N30" si="5">SUM(D11,D21,D28)</f>
        <v>29897</v>
      </c>
      <c r="E30" s="313">
        <f t="shared" si="5"/>
        <v>29795</v>
      </c>
      <c r="F30" s="313">
        <f t="shared" si="5"/>
        <v>29653</v>
      </c>
      <c r="G30" s="313">
        <f t="shared" si="5"/>
        <v>29601</v>
      </c>
      <c r="H30" s="313">
        <f t="shared" si="5"/>
        <v>29435</v>
      </c>
      <c r="I30" s="313">
        <f t="shared" si="5"/>
        <v>29314</v>
      </c>
      <c r="J30" s="313">
        <f t="shared" si="5"/>
        <v>29124</v>
      </c>
      <c r="K30" s="313">
        <f t="shared" si="5"/>
        <v>28871</v>
      </c>
      <c r="L30" s="313">
        <f t="shared" si="5"/>
        <v>28763</v>
      </c>
      <c r="M30" s="313">
        <f t="shared" si="5"/>
        <v>28576</v>
      </c>
      <c r="N30" s="313">
        <f t="shared" si="5"/>
        <v>28410</v>
      </c>
      <c r="O30" s="313">
        <f>SUM(C30:N30)</f>
        <v>351449</v>
      </c>
      <c r="Q30" s="243"/>
    </row>
    <row r="31" spans="1:17" ht="15" thickTop="1" x14ac:dyDescent="0.35"/>
  </sheetData>
  <pageMargins left="0.7" right="0.7" top="0.75" bottom="0.75" header="0.3" footer="0.3"/>
  <pageSetup scale="56" orientation="landscape" r:id="rId1"/>
  <headerFooter>
    <oddFooter>&amp;L&amp;F
&amp;A&amp;C&amp;P&amp;R&amp;D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3"/>
  <sheetViews>
    <sheetView zoomScale="90" zoomScaleNormal="90" workbookViewId="0">
      <selection activeCell="K40" sqref="K40"/>
    </sheetView>
  </sheetViews>
  <sheetFormatPr defaultRowHeight="14.5" x14ac:dyDescent="0.35"/>
  <cols>
    <col min="1" max="1" width="42.1796875" bestFit="1" customWidth="1"/>
    <col min="2" max="13" width="12.81640625" customWidth="1"/>
    <col min="14" max="14" width="13.453125" customWidth="1"/>
  </cols>
  <sheetData>
    <row r="1" spans="1:14" x14ac:dyDescent="0.35">
      <c r="A1" s="214" t="s">
        <v>0</v>
      </c>
    </row>
    <row r="2" spans="1:14" x14ac:dyDescent="0.35">
      <c r="A2" s="214" t="s">
        <v>331</v>
      </c>
    </row>
    <row r="3" spans="1:14" x14ac:dyDescent="0.35">
      <c r="B3" s="216">
        <v>43101</v>
      </c>
      <c r="C3" s="216">
        <f>EDATE(B3,1)</f>
        <v>43132</v>
      </c>
      <c r="D3" s="216">
        <f t="shared" ref="D3:M3" si="0">EDATE(C3,1)</f>
        <v>43160</v>
      </c>
      <c r="E3" s="216">
        <f t="shared" si="0"/>
        <v>43191</v>
      </c>
      <c r="F3" s="216">
        <f t="shared" si="0"/>
        <v>43221</v>
      </c>
      <c r="G3" s="216">
        <f t="shared" si="0"/>
        <v>43252</v>
      </c>
      <c r="H3" s="216">
        <f t="shared" si="0"/>
        <v>43282</v>
      </c>
      <c r="I3" s="216">
        <f t="shared" si="0"/>
        <v>43313</v>
      </c>
      <c r="J3" s="216">
        <f t="shared" si="0"/>
        <v>43344</v>
      </c>
      <c r="K3" s="216">
        <f t="shared" si="0"/>
        <v>43374</v>
      </c>
      <c r="L3" s="216">
        <f t="shared" si="0"/>
        <v>43405</v>
      </c>
      <c r="M3" s="216">
        <f t="shared" si="0"/>
        <v>43435</v>
      </c>
      <c r="N3" s="217" t="s">
        <v>190</v>
      </c>
    </row>
    <row r="4" spans="1:14" x14ac:dyDescent="0.35">
      <c r="A4" s="8" t="s">
        <v>191</v>
      </c>
      <c r="B4" s="320">
        <v>0</v>
      </c>
      <c r="C4" s="320">
        <v>0</v>
      </c>
      <c r="D4" s="320">
        <v>0</v>
      </c>
      <c r="E4" s="320">
        <v>0</v>
      </c>
      <c r="F4" s="320">
        <v>0</v>
      </c>
      <c r="G4" s="320">
        <v>0</v>
      </c>
      <c r="H4" s="320">
        <v>0</v>
      </c>
      <c r="I4" s="320">
        <v>0</v>
      </c>
      <c r="J4" s="320">
        <v>0</v>
      </c>
      <c r="K4" s="320">
        <v>0</v>
      </c>
      <c r="L4" s="320">
        <v>0</v>
      </c>
      <c r="M4" s="320">
        <v>0</v>
      </c>
      <c r="N4" s="153">
        <f>SUM(B4:M4)</f>
        <v>0</v>
      </c>
    </row>
    <row r="5" spans="1:14" x14ac:dyDescent="0.35">
      <c r="A5" s="8" t="s">
        <v>192</v>
      </c>
      <c r="B5" s="320">
        <v>0</v>
      </c>
      <c r="C5" s="320">
        <v>0</v>
      </c>
      <c r="D5" s="320">
        <v>0</v>
      </c>
      <c r="E5" s="320">
        <v>0</v>
      </c>
      <c r="F5" s="320">
        <v>0</v>
      </c>
      <c r="G5" s="320">
        <v>0</v>
      </c>
      <c r="H5" s="320">
        <v>0</v>
      </c>
      <c r="I5" s="320">
        <v>0</v>
      </c>
      <c r="J5" s="320">
        <v>0</v>
      </c>
      <c r="K5" s="320">
        <v>0</v>
      </c>
      <c r="L5" s="320">
        <v>0</v>
      </c>
      <c r="M5" s="320">
        <v>0</v>
      </c>
      <c r="N5" s="153">
        <f t="shared" ref="N5:N16" si="1">SUM(B5:M5)</f>
        <v>0</v>
      </c>
    </row>
    <row r="6" spans="1:14" x14ac:dyDescent="0.35">
      <c r="A6" s="8" t="s">
        <v>193</v>
      </c>
      <c r="B6" s="320">
        <v>0</v>
      </c>
      <c r="C6" s="320">
        <v>0</v>
      </c>
      <c r="D6" s="320">
        <v>0</v>
      </c>
      <c r="E6" s="320">
        <v>0</v>
      </c>
      <c r="F6" s="320">
        <v>0</v>
      </c>
      <c r="G6" s="320">
        <v>0</v>
      </c>
      <c r="H6" s="320">
        <v>0</v>
      </c>
      <c r="I6" s="320">
        <v>0</v>
      </c>
      <c r="J6" s="320">
        <v>0</v>
      </c>
      <c r="K6" s="320">
        <v>0</v>
      </c>
      <c r="L6" s="320">
        <v>0</v>
      </c>
      <c r="M6" s="320">
        <v>0</v>
      </c>
      <c r="N6" s="153">
        <f t="shared" si="1"/>
        <v>0</v>
      </c>
    </row>
    <row r="7" spans="1:14" x14ac:dyDescent="0.35">
      <c r="A7" s="146" t="s">
        <v>194</v>
      </c>
      <c r="B7" s="320">
        <v>0</v>
      </c>
      <c r="C7" s="320">
        <v>0</v>
      </c>
      <c r="D7" s="320">
        <v>0</v>
      </c>
      <c r="E7" s="320">
        <v>0</v>
      </c>
      <c r="F7" s="320">
        <v>0</v>
      </c>
      <c r="G7" s="320">
        <v>0</v>
      </c>
      <c r="H7" s="320">
        <v>0</v>
      </c>
      <c r="I7" s="320">
        <v>0</v>
      </c>
      <c r="J7" s="320">
        <v>0</v>
      </c>
      <c r="K7" s="320">
        <v>0</v>
      </c>
      <c r="L7" s="320">
        <v>0</v>
      </c>
      <c r="M7" s="320">
        <v>0</v>
      </c>
      <c r="N7" s="153">
        <f t="shared" si="1"/>
        <v>0</v>
      </c>
    </row>
    <row r="8" spans="1:14" x14ac:dyDescent="0.35">
      <c r="A8" s="8" t="s">
        <v>197</v>
      </c>
      <c r="B8" s="320">
        <v>0</v>
      </c>
      <c r="C8" s="320">
        <v>0</v>
      </c>
      <c r="D8" s="320">
        <v>0</v>
      </c>
      <c r="E8" s="320">
        <v>0</v>
      </c>
      <c r="F8" s="320">
        <v>0</v>
      </c>
      <c r="G8" s="320">
        <v>0</v>
      </c>
      <c r="H8" s="320">
        <v>0</v>
      </c>
      <c r="I8" s="320">
        <v>0</v>
      </c>
      <c r="J8" s="320">
        <v>0</v>
      </c>
      <c r="K8" s="320">
        <v>0</v>
      </c>
      <c r="L8" s="320">
        <v>0</v>
      </c>
      <c r="M8" s="320">
        <v>0</v>
      </c>
      <c r="N8" s="153">
        <f>SUM(B8:M8)</f>
        <v>0</v>
      </c>
    </row>
    <row r="9" spans="1:14" x14ac:dyDescent="0.35">
      <c r="A9" s="8" t="s">
        <v>195</v>
      </c>
      <c r="B9" s="320">
        <v>325777.26</v>
      </c>
      <c r="C9" s="320">
        <v>301358.96499999997</v>
      </c>
      <c r="D9" s="320">
        <v>328288.72499999998</v>
      </c>
      <c r="E9" s="320">
        <v>327028.22499999998</v>
      </c>
      <c r="F9" s="320">
        <v>330735.717</v>
      </c>
      <c r="G9" s="320">
        <v>610711.52099999995</v>
      </c>
      <c r="H9" s="320">
        <v>661015.71299999999</v>
      </c>
      <c r="I9" s="320">
        <v>322704.61199999996</v>
      </c>
      <c r="J9" s="320">
        <v>313240.50399999996</v>
      </c>
      <c r="K9" s="320">
        <v>326914.23100000003</v>
      </c>
      <c r="L9" s="320">
        <v>305412.55799999996</v>
      </c>
      <c r="M9" s="320">
        <v>313229.64299999998</v>
      </c>
      <c r="N9" s="153">
        <f>SUM(B9:M9)</f>
        <v>4466417.6739999996</v>
      </c>
    </row>
    <row r="10" spans="1:14" x14ac:dyDescent="0.35">
      <c r="A10" s="8" t="s">
        <v>196</v>
      </c>
      <c r="B10" s="320">
        <v>98954.567999999999</v>
      </c>
      <c r="C10" s="320">
        <v>98154</v>
      </c>
      <c r="D10" s="320">
        <v>98204</v>
      </c>
      <c r="E10" s="320">
        <v>98660</v>
      </c>
      <c r="F10" s="320">
        <v>92767</v>
      </c>
      <c r="G10" s="320">
        <v>95760</v>
      </c>
      <c r="H10" s="320">
        <v>96155</v>
      </c>
      <c r="I10" s="320">
        <v>98060</v>
      </c>
      <c r="J10" s="320">
        <v>95610</v>
      </c>
      <c r="K10" s="320">
        <v>97809.133000000002</v>
      </c>
      <c r="L10" s="320">
        <v>94805</v>
      </c>
      <c r="M10" s="320">
        <v>96042</v>
      </c>
      <c r="N10" s="153">
        <f>SUM(B10:M10)</f>
        <v>1160980.7009999999</v>
      </c>
    </row>
    <row r="11" spans="1:14" x14ac:dyDescent="0.35">
      <c r="A11" s="8" t="s">
        <v>198</v>
      </c>
      <c r="B11" s="320">
        <v>7162.3630000000003</v>
      </c>
      <c r="C11" s="320">
        <v>6781.24</v>
      </c>
      <c r="D11" s="320">
        <v>7298.4849999999997</v>
      </c>
      <c r="E11" s="320">
        <v>7115.8980000000001</v>
      </c>
      <c r="F11" s="320">
        <v>7300.415</v>
      </c>
      <c r="G11" s="320">
        <v>6979.973</v>
      </c>
      <c r="H11" s="320">
        <v>7265.1509999999998</v>
      </c>
      <c r="I11" s="320">
        <v>7263.1949999999997</v>
      </c>
      <c r="J11" s="320">
        <v>7109.0689999999995</v>
      </c>
      <c r="K11" s="320">
        <v>7343.6709999999994</v>
      </c>
      <c r="L11" s="320">
        <v>7274.6939999999995</v>
      </c>
      <c r="M11" s="320">
        <v>7518.7530000000006</v>
      </c>
      <c r="N11" s="153">
        <f t="shared" si="1"/>
        <v>86412.906999999992</v>
      </c>
    </row>
    <row r="12" spans="1:14" x14ac:dyDescent="0.35">
      <c r="A12" s="8" t="s">
        <v>199</v>
      </c>
      <c r="B12" s="320">
        <v>56638</v>
      </c>
      <c r="C12" s="320">
        <v>56751</v>
      </c>
      <c r="D12" s="320">
        <v>58048</v>
      </c>
      <c r="E12" s="320">
        <v>57547</v>
      </c>
      <c r="F12" s="320">
        <v>58863</v>
      </c>
      <c r="G12" s="320">
        <v>57149</v>
      </c>
      <c r="H12" s="320">
        <v>57178</v>
      </c>
      <c r="I12" s="320">
        <v>57778</v>
      </c>
      <c r="J12" s="320">
        <v>57149</v>
      </c>
      <c r="K12" s="320">
        <v>56717</v>
      </c>
      <c r="L12" s="320">
        <v>64769</v>
      </c>
      <c r="M12" s="320">
        <v>58469</v>
      </c>
      <c r="N12" s="153">
        <f t="shared" si="1"/>
        <v>697056</v>
      </c>
    </row>
    <row r="13" spans="1:14" x14ac:dyDescent="0.35">
      <c r="A13" s="8" t="s">
        <v>200</v>
      </c>
      <c r="B13" s="320">
        <v>6827.67</v>
      </c>
      <c r="C13" s="320">
        <v>6292.4889999999996</v>
      </c>
      <c r="D13" s="320">
        <v>7422.6110000000008</v>
      </c>
      <c r="E13" s="320">
        <v>7006.5810000000001</v>
      </c>
      <c r="F13" s="320">
        <v>6811.799</v>
      </c>
      <c r="G13" s="320">
        <v>6791.0789999999997</v>
      </c>
      <c r="H13" s="320">
        <v>7258.098</v>
      </c>
      <c r="I13" s="320">
        <v>6832.4090000000006</v>
      </c>
      <c r="J13" s="320">
        <v>6825.5780000000004</v>
      </c>
      <c r="K13" s="320">
        <v>7098.491</v>
      </c>
      <c r="L13" s="320">
        <v>6602.3029999999999</v>
      </c>
      <c r="M13" s="320">
        <v>6632.201</v>
      </c>
      <c r="N13" s="153">
        <f t="shared" si="1"/>
        <v>82401.308999999994</v>
      </c>
    </row>
    <row r="14" spans="1:14" x14ac:dyDescent="0.35">
      <c r="A14" s="8" t="s">
        <v>201</v>
      </c>
      <c r="B14" s="320">
        <v>750</v>
      </c>
      <c r="C14" s="320">
        <v>750</v>
      </c>
      <c r="D14" s="320">
        <v>750</v>
      </c>
      <c r="E14" s="320">
        <v>750</v>
      </c>
      <c r="F14" s="320">
        <v>1500</v>
      </c>
      <c r="G14" s="320">
        <v>750</v>
      </c>
      <c r="H14" s="320">
        <v>750</v>
      </c>
      <c r="I14" s="320">
        <v>750</v>
      </c>
      <c r="J14" s="320">
        <v>750</v>
      </c>
      <c r="K14" s="320">
        <v>750</v>
      </c>
      <c r="L14" s="320">
        <v>750</v>
      </c>
      <c r="M14" s="320">
        <v>750</v>
      </c>
      <c r="N14" s="153">
        <f t="shared" si="1"/>
        <v>9750</v>
      </c>
    </row>
    <row r="15" spans="1:14" x14ac:dyDescent="0.35">
      <c r="A15" s="8" t="s">
        <v>202</v>
      </c>
      <c r="B15" s="320">
        <v>0</v>
      </c>
      <c r="C15" s="320">
        <v>0</v>
      </c>
      <c r="D15" s="320">
        <v>0</v>
      </c>
      <c r="E15" s="320">
        <v>0</v>
      </c>
      <c r="F15" s="320">
        <v>0</v>
      </c>
      <c r="G15" s="320">
        <v>0</v>
      </c>
      <c r="H15" s="320">
        <v>0</v>
      </c>
      <c r="I15" s="320">
        <v>0</v>
      </c>
      <c r="J15" s="320">
        <v>0</v>
      </c>
      <c r="K15" s="320">
        <v>0</v>
      </c>
      <c r="L15" s="320">
        <v>0</v>
      </c>
      <c r="M15" s="320">
        <v>0</v>
      </c>
      <c r="N15" s="153">
        <f t="shared" si="1"/>
        <v>0</v>
      </c>
    </row>
    <row r="16" spans="1:14" x14ac:dyDescent="0.35">
      <c r="A16" s="8" t="s">
        <v>203</v>
      </c>
      <c r="B16" s="321">
        <v>23934</v>
      </c>
      <c r="C16" s="321">
        <v>23934</v>
      </c>
      <c r="D16" s="321">
        <v>23934</v>
      </c>
      <c r="E16" s="321">
        <v>23934</v>
      </c>
      <c r="F16" s="321">
        <v>23934</v>
      </c>
      <c r="G16" s="321">
        <v>23934</v>
      </c>
      <c r="H16" s="321">
        <v>23934</v>
      </c>
      <c r="I16" s="321">
        <v>23934</v>
      </c>
      <c r="J16" s="321">
        <v>23934</v>
      </c>
      <c r="K16" s="321">
        <v>45284</v>
      </c>
      <c r="L16" s="321">
        <v>23934</v>
      </c>
      <c r="M16" s="321">
        <v>23934</v>
      </c>
      <c r="N16" s="233">
        <f t="shared" si="1"/>
        <v>308558</v>
      </c>
    </row>
    <row r="17" spans="1:14" x14ac:dyDescent="0.35">
      <c r="A17" s="8" t="s">
        <v>6</v>
      </c>
      <c r="B17" s="151">
        <f t="shared" ref="B17:N17" si="2">SUM(B4:B16)</f>
        <v>520043.86099999998</v>
      </c>
      <c r="C17" s="151">
        <f t="shared" si="2"/>
        <v>494021.69399999996</v>
      </c>
      <c r="D17" s="151">
        <f t="shared" si="2"/>
        <v>523945.82099999994</v>
      </c>
      <c r="E17" s="151">
        <f t="shared" si="2"/>
        <v>522041.70399999997</v>
      </c>
      <c r="F17" s="151">
        <f t="shared" si="2"/>
        <v>521911.93099999998</v>
      </c>
      <c r="G17" s="151">
        <f t="shared" si="2"/>
        <v>802075.57299999997</v>
      </c>
      <c r="H17" s="151">
        <f t="shared" si="2"/>
        <v>853555.96199999994</v>
      </c>
      <c r="I17" s="151">
        <f t="shared" si="2"/>
        <v>517322.21599999996</v>
      </c>
      <c r="J17" s="151">
        <f t="shared" si="2"/>
        <v>504618.15099999995</v>
      </c>
      <c r="K17" s="151">
        <f t="shared" si="2"/>
        <v>541916.52600000007</v>
      </c>
      <c r="L17" s="151">
        <f t="shared" si="2"/>
        <v>503547.55499999999</v>
      </c>
      <c r="M17" s="151">
        <f t="shared" si="2"/>
        <v>506575.59700000001</v>
      </c>
      <c r="N17" s="151">
        <f t="shared" si="2"/>
        <v>6811576.591</v>
      </c>
    </row>
    <row r="20" spans="1:14" x14ac:dyDescent="0.35">
      <c r="A20" s="152" t="s">
        <v>206</v>
      </c>
    </row>
    <row r="21" spans="1:14" x14ac:dyDescent="0.35">
      <c r="B21" s="216">
        <f t="shared" ref="B21:M21" si="3">+B3</f>
        <v>43101</v>
      </c>
      <c r="C21" s="216">
        <f t="shared" si="3"/>
        <v>43132</v>
      </c>
      <c r="D21" s="216">
        <f t="shared" si="3"/>
        <v>43160</v>
      </c>
      <c r="E21" s="216">
        <f t="shared" si="3"/>
        <v>43191</v>
      </c>
      <c r="F21" s="216">
        <f t="shared" si="3"/>
        <v>43221</v>
      </c>
      <c r="G21" s="216">
        <f t="shared" si="3"/>
        <v>43252</v>
      </c>
      <c r="H21" s="216">
        <f t="shared" si="3"/>
        <v>43282</v>
      </c>
      <c r="I21" s="216">
        <f t="shared" si="3"/>
        <v>43313</v>
      </c>
      <c r="J21" s="216">
        <f t="shared" si="3"/>
        <v>43344</v>
      </c>
      <c r="K21" s="216">
        <f t="shared" si="3"/>
        <v>43374</v>
      </c>
      <c r="L21" s="216">
        <f t="shared" si="3"/>
        <v>43405</v>
      </c>
      <c r="M21" s="216">
        <f t="shared" si="3"/>
        <v>43435</v>
      </c>
      <c r="N21" s="217" t="s">
        <v>190</v>
      </c>
    </row>
    <row r="22" spans="1:14" x14ac:dyDescent="0.35">
      <c r="A22" s="8" t="s">
        <v>191</v>
      </c>
      <c r="B22" s="320">
        <v>0</v>
      </c>
      <c r="C22" s="320">
        <v>0</v>
      </c>
      <c r="D22" s="320">
        <v>0</v>
      </c>
      <c r="E22" s="320">
        <v>0</v>
      </c>
      <c r="F22" s="320">
        <v>0</v>
      </c>
      <c r="G22" s="320">
        <v>0</v>
      </c>
      <c r="H22" s="320">
        <v>0</v>
      </c>
      <c r="I22" s="320">
        <v>0</v>
      </c>
      <c r="J22" s="320">
        <v>0</v>
      </c>
      <c r="K22" s="320">
        <v>0</v>
      </c>
      <c r="L22" s="320">
        <v>0</v>
      </c>
      <c r="M22" s="320">
        <v>0</v>
      </c>
      <c r="N22" s="151">
        <f>SUM(B22:M22)</f>
        <v>0</v>
      </c>
    </row>
    <row r="23" spans="1:14" x14ac:dyDescent="0.35">
      <c r="A23" s="8" t="s">
        <v>192</v>
      </c>
      <c r="B23" s="320">
        <v>781884.72248961916</v>
      </c>
      <c r="C23" s="320">
        <v>710159.90727272735</v>
      </c>
      <c r="D23" s="320">
        <v>810603.57272727275</v>
      </c>
      <c r="E23" s="320">
        <v>796468.33909090911</v>
      </c>
      <c r="F23" s="320">
        <v>800443.79090909089</v>
      </c>
      <c r="G23" s="320">
        <v>766661.65</v>
      </c>
      <c r="H23" s="320">
        <v>796514.14181818184</v>
      </c>
      <c r="I23" s="320">
        <v>782751.73181818193</v>
      </c>
      <c r="J23" s="320">
        <v>770256.72363636375</v>
      </c>
      <c r="K23" s="320">
        <v>825386.17272727273</v>
      </c>
      <c r="L23" s="320">
        <v>758490.81909090909</v>
      </c>
      <c r="M23" s="320">
        <v>801719.94545454544</v>
      </c>
      <c r="N23" s="151">
        <f>SUM(B23:M23)</f>
        <v>9401341.5170350727</v>
      </c>
    </row>
    <row r="24" spans="1:14" x14ac:dyDescent="0.35">
      <c r="A24" s="8" t="s">
        <v>193</v>
      </c>
      <c r="B24" s="320">
        <v>1.2354545454545454</v>
      </c>
      <c r="C24" s="320">
        <v>0.25</v>
      </c>
      <c r="D24" s="320">
        <v>0</v>
      </c>
      <c r="E24" s="320">
        <v>0</v>
      </c>
      <c r="F24" s="320">
        <v>0</v>
      </c>
      <c r="G24" s="320">
        <v>0</v>
      </c>
      <c r="H24" s="320">
        <v>0</v>
      </c>
      <c r="I24" s="320">
        <v>0</v>
      </c>
      <c r="J24" s="320">
        <v>0</v>
      </c>
      <c r="K24" s="320">
        <v>0</v>
      </c>
      <c r="L24" s="320">
        <v>0</v>
      </c>
      <c r="M24" s="320">
        <v>0</v>
      </c>
      <c r="N24" s="151">
        <f t="shared" ref="N24:N34" si="4">SUM(B24:M24)</f>
        <v>1.4854545454545454</v>
      </c>
    </row>
    <row r="25" spans="1:14" x14ac:dyDescent="0.35">
      <c r="A25" s="146" t="s">
        <v>194</v>
      </c>
      <c r="B25" s="320">
        <v>57890.212772218962</v>
      </c>
      <c r="C25" s="320">
        <v>52634.584755738673</v>
      </c>
      <c r="D25" s="320">
        <v>60083.500882872286</v>
      </c>
      <c r="E25" s="320">
        <v>58756.45968216598</v>
      </c>
      <c r="F25" s="320">
        <v>59044.053482587071</v>
      </c>
      <c r="G25" s="320">
        <v>56395.08706467662</v>
      </c>
      <c r="H25" s="320">
        <v>58260.688432835821</v>
      </c>
      <c r="I25" s="320">
        <v>57413.094216417921</v>
      </c>
      <c r="J25" s="320">
        <v>56580.140547263691</v>
      </c>
      <c r="K25" s="320">
        <v>60619.162002487574</v>
      </c>
      <c r="L25" s="320">
        <v>55818.708955223883</v>
      </c>
      <c r="M25" s="320">
        <v>59101.428171641805</v>
      </c>
      <c r="N25" s="151">
        <f t="shared" si="4"/>
        <v>692597.12096613029</v>
      </c>
    </row>
    <row r="26" spans="1:14" x14ac:dyDescent="0.35">
      <c r="A26" s="8" t="s">
        <v>197</v>
      </c>
      <c r="B26" s="320">
        <v>3</v>
      </c>
      <c r="C26" s="320">
        <v>3</v>
      </c>
      <c r="D26" s="320">
        <v>3</v>
      </c>
      <c r="E26" s="320">
        <v>3</v>
      </c>
      <c r="F26" s="320">
        <v>3</v>
      </c>
      <c r="G26" s="320">
        <v>3</v>
      </c>
      <c r="H26" s="320">
        <v>3</v>
      </c>
      <c r="I26" s="320">
        <v>2</v>
      </c>
      <c r="J26" s="320">
        <v>2</v>
      </c>
      <c r="K26" s="320">
        <v>2</v>
      </c>
      <c r="L26" s="320">
        <v>2</v>
      </c>
      <c r="M26" s="320">
        <v>2</v>
      </c>
      <c r="N26" s="151">
        <f>SUM(B26:M26)</f>
        <v>31</v>
      </c>
    </row>
    <row r="27" spans="1:14" x14ac:dyDescent="0.35">
      <c r="A27" s="8" t="s">
        <v>195</v>
      </c>
      <c r="B27" s="320">
        <v>1362.9927077003213</v>
      </c>
      <c r="C27" s="320">
        <v>1254.0930636339961</v>
      </c>
      <c r="D27" s="320">
        <v>1406.3156524003821</v>
      </c>
      <c r="E27" s="320">
        <v>1378.3344040281274</v>
      </c>
      <c r="F27" s="320">
        <v>1377.29813022644</v>
      </c>
      <c r="G27" s="320">
        <v>1321.1240251808699</v>
      </c>
      <c r="H27" s="320">
        <v>1344.0995020201071</v>
      </c>
      <c r="I27" s="320">
        <v>1295.1611387766604</v>
      </c>
      <c r="J27" s="320">
        <v>1280.4060885088788</v>
      </c>
      <c r="K27" s="320">
        <v>1362.430423752701</v>
      </c>
      <c r="L27" s="320">
        <v>1266.5360330733815</v>
      </c>
      <c r="M27" s="320">
        <v>1329.3257540167242</v>
      </c>
      <c r="N27" s="151">
        <f>SUM(B27:M27)</f>
        <v>15978.11692331859</v>
      </c>
    </row>
    <row r="28" spans="1:14" x14ac:dyDescent="0.35">
      <c r="A28" s="8" t="s">
        <v>196</v>
      </c>
      <c r="B28" s="320">
        <v>102</v>
      </c>
      <c r="C28" s="320">
        <v>104.03571910871031</v>
      </c>
      <c r="D28" s="320">
        <v>103.99999999999999</v>
      </c>
      <c r="E28" s="320">
        <v>105</v>
      </c>
      <c r="F28" s="320">
        <v>104</v>
      </c>
      <c r="G28" s="320">
        <v>108</v>
      </c>
      <c r="H28" s="320">
        <v>108</v>
      </c>
      <c r="I28" s="320">
        <v>103.13329760541765</v>
      </c>
      <c r="J28" s="320">
        <v>103</v>
      </c>
      <c r="K28" s="320">
        <v>101.06664880270884</v>
      </c>
      <c r="L28" s="320">
        <v>96.066648802708826</v>
      </c>
      <c r="M28" s="320">
        <v>95.033324401354406</v>
      </c>
      <c r="N28" s="151">
        <f>SUM(B28:M28)</f>
        <v>1233.3356387208999</v>
      </c>
    </row>
    <row r="29" spans="1:14" x14ac:dyDescent="0.35">
      <c r="A29" s="8" t="s">
        <v>198</v>
      </c>
      <c r="B29" s="320">
        <v>28.145775356322275</v>
      </c>
      <c r="C29" s="320">
        <v>27.242423718305442</v>
      </c>
      <c r="D29" s="320">
        <v>28.571401926149829</v>
      </c>
      <c r="E29" s="320">
        <v>28.006437162116296</v>
      </c>
      <c r="F29" s="320">
        <v>28.105437774577538</v>
      </c>
      <c r="G29" s="320">
        <v>26.453998578121293</v>
      </c>
      <c r="H29" s="320">
        <v>27.808064604334906</v>
      </c>
      <c r="I29" s="320">
        <v>27.007802103651311</v>
      </c>
      <c r="J29" s="320">
        <v>27.003992197896345</v>
      </c>
      <c r="K29" s="320">
        <v>27.418706819549008</v>
      </c>
      <c r="L29" s="320">
        <v>26.741746723298757</v>
      </c>
      <c r="M29" s="320">
        <v>27.01203128133146</v>
      </c>
      <c r="N29" s="151">
        <f t="shared" si="4"/>
        <v>329.5178182456545</v>
      </c>
    </row>
    <row r="30" spans="1:14" x14ac:dyDescent="0.35">
      <c r="A30" s="8" t="s">
        <v>199</v>
      </c>
      <c r="B30" s="320">
        <v>102</v>
      </c>
      <c r="C30" s="320">
        <v>102</v>
      </c>
      <c r="D30" s="320">
        <v>102</v>
      </c>
      <c r="E30" s="320">
        <v>102.00005354637653</v>
      </c>
      <c r="F30" s="320">
        <v>103</v>
      </c>
      <c r="G30" s="320">
        <v>104</v>
      </c>
      <c r="H30" s="320">
        <v>103.03333751096628</v>
      </c>
      <c r="I30" s="320">
        <v>101.06667502193258</v>
      </c>
      <c r="J30" s="320">
        <v>98.100012532898859</v>
      </c>
      <c r="K30" s="320">
        <v>95.100012532898859</v>
      </c>
      <c r="L30" s="320">
        <v>94.066675021932582</v>
      </c>
      <c r="M30" s="320">
        <v>93.033337510966277</v>
      </c>
      <c r="N30" s="151">
        <f t="shared" si="4"/>
        <v>1199.4001036779719</v>
      </c>
    </row>
    <row r="31" spans="1:14" x14ac:dyDescent="0.35">
      <c r="A31" s="8" t="s">
        <v>200</v>
      </c>
      <c r="B31" s="320">
        <v>225.05811596161644</v>
      </c>
      <c r="C31" s="320">
        <v>205.88822813893771</v>
      </c>
      <c r="D31" s="320">
        <v>233.15914312744965</v>
      </c>
      <c r="E31" s="320">
        <v>227.35558859305314</v>
      </c>
      <c r="F31" s="320">
        <v>225.30826636050514</v>
      </c>
      <c r="G31" s="320">
        <v>218.78752870264063</v>
      </c>
      <c r="H31" s="320">
        <v>226.15607060849595</v>
      </c>
      <c r="I31" s="320">
        <v>219.84163318025256</v>
      </c>
      <c r="J31" s="320">
        <v>219.01040470723305</v>
      </c>
      <c r="K31" s="320">
        <v>229.91238518943743</v>
      </c>
      <c r="L31" s="320">
        <v>209.87220149253727</v>
      </c>
      <c r="M31" s="320">
        <v>221.20694603903556</v>
      </c>
      <c r="N31" s="151">
        <f t="shared" si="4"/>
        <v>2661.5565121011946</v>
      </c>
    </row>
    <row r="32" spans="1:14" x14ac:dyDescent="0.35">
      <c r="A32" s="8" t="s">
        <v>201</v>
      </c>
      <c r="B32" s="320">
        <v>2</v>
      </c>
      <c r="C32" s="320">
        <v>2</v>
      </c>
      <c r="D32" s="320">
        <v>2</v>
      </c>
      <c r="E32" s="320">
        <v>2</v>
      </c>
      <c r="F32" s="320">
        <v>2</v>
      </c>
      <c r="G32" s="320">
        <v>2</v>
      </c>
      <c r="H32" s="320">
        <v>2</v>
      </c>
      <c r="I32" s="320">
        <v>2</v>
      </c>
      <c r="J32" s="320">
        <v>2</v>
      </c>
      <c r="K32" s="320">
        <v>2</v>
      </c>
      <c r="L32" s="320">
        <v>1.0333303265379759</v>
      </c>
      <c r="M32" s="320">
        <v>1</v>
      </c>
      <c r="N32" s="151">
        <f t="shared" si="4"/>
        <v>22.033330326537975</v>
      </c>
    </row>
    <row r="33" spans="1:14" x14ac:dyDescent="0.35">
      <c r="A33" s="8" t="s">
        <v>202</v>
      </c>
      <c r="B33" s="320">
        <v>5.0417959266253032</v>
      </c>
      <c r="C33" s="320">
        <v>4.8582074453736173</v>
      </c>
      <c r="D33" s="320">
        <v>5</v>
      </c>
      <c r="E33" s="320">
        <v>4.9655044510385755</v>
      </c>
      <c r="F33" s="320">
        <v>5.101185884210337</v>
      </c>
      <c r="G33" s="320">
        <v>4.8688171657187969</v>
      </c>
      <c r="H33" s="320">
        <v>5.0989971115377024</v>
      </c>
      <c r="I33" s="320">
        <v>5.0988535854608088</v>
      </c>
      <c r="J33" s="320">
        <v>4.9291698810527631</v>
      </c>
      <c r="K33" s="320">
        <v>5.0409049319148176</v>
      </c>
      <c r="L33" s="320">
        <v>5.0298893055131959</v>
      </c>
      <c r="M33" s="320">
        <v>4.9916754875401423</v>
      </c>
      <c r="N33" s="151">
        <f t="shared" si="4"/>
        <v>60.025001175986063</v>
      </c>
    </row>
    <row r="34" spans="1:14" x14ac:dyDescent="0.35">
      <c r="A34" s="8" t="s">
        <v>203</v>
      </c>
      <c r="B34" s="321">
        <v>9</v>
      </c>
      <c r="C34" s="321">
        <v>9.7666701791359323</v>
      </c>
      <c r="D34" s="321">
        <v>10</v>
      </c>
      <c r="E34" s="321">
        <v>10</v>
      </c>
      <c r="F34" s="321">
        <v>10</v>
      </c>
      <c r="G34" s="321">
        <v>10</v>
      </c>
      <c r="H34" s="321">
        <v>10</v>
      </c>
      <c r="I34" s="321">
        <v>10</v>
      </c>
      <c r="J34" s="321">
        <v>10</v>
      </c>
      <c r="K34" s="321">
        <v>10</v>
      </c>
      <c r="L34" s="321">
        <v>10</v>
      </c>
      <c r="M34" s="321">
        <v>10</v>
      </c>
      <c r="N34" s="242">
        <f t="shared" si="4"/>
        <v>118.76667017913593</v>
      </c>
    </row>
    <row r="35" spans="1:14" x14ac:dyDescent="0.35">
      <c r="A35" s="8" t="s">
        <v>6</v>
      </c>
      <c r="B35" s="151">
        <f t="shared" ref="B35:N35" si="5">SUM(B22:B34)</f>
        <v>841615.40911132854</v>
      </c>
      <c r="C35" s="151">
        <f t="shared" si="5"/>
        <v>764507.62634069042</v>
      </c>
      <c r="D35" s="151">
        <f t="shared" si="5"/>
        <v>872581.119807599</v>
      </c>
      <c r="E35" s="151">
        <f t="shared" si="5"/>
        <v>857085.46076085593</v>
      </c>
      <c r="F35" s="151">
        <f t="shared" si="5"/>
        <v>861345.65741192375</v>
      </c>
      <c r="G35" s="151">
        <f t="shared" si="5"/>
        <v>824854.97143430391</v>
      </c>
      <c r="H35" s="151">
        <f t="shared" si="5"/>
        <v>856604.02622287313</v>
      </c>
      <c r="I35" s="151">
        <f t="shared" si="5"/>
        <v>841930.13543487317</v>
      </c>
      <c r="J35" s="151">
        <f t="shared" si="5"/>
        <v>828583.31385145546</v>
      </c>
      <c r="K35" s="151">
        <f t="shared" si="5"/>
        <v>887840.30381178961</v>
      </c>
      <c r="L35" s="151">
        <f t="shared" si="5"/>
        <v>816020.8745708788</v>
      </c>
      <c r="M35" s="151">
        <f t="shared" si="5"/>
        <v>862604.97669492417</v>
      </c>
      <c r="N35" s="151">
        <f t="shared" si="5"/>
        <v>10115573.875453494</v>
      </c>
    </row>
    <row r="43" spans="1:14" x14ac:dyDescent="0.35">
      <c r="C43" s="32"/>
      <c r="D43" s="151"/>
    </row>
  </sheetData>
  <pageMargins left="0.7" right="0.7" top="0.75" bottom="0.75" header="0.3" footer="0.3"/>
  <pageSetup scale="58" orientation="landscape" r:id="rId1"/>
  <headerFooter>
    <oddFooter>&amp;L&amp;F
&amp;A&amp;C&amp;P&amp;R&amp;D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6"/>
  <sheetViews>
    <sheetView zoomScaleNormal="100" workbookViewId="0">
      <selection activeCell="H60" sqref="H60"/>
    </sheetView>
  </sheetViews>
  <sheetFormatPr defaultColWidth="9.1796875" defaultRowHeight="12.5" x14ac:dyDescent="0.25"/>
  <cols>
    <col min="1" max="1" width="25.7265625" style="128" customWidth="1"/>
    <col min="2" max="13" width="10.7265625" style="128" customWidth="1"/>
    <col min="14" max="14" width="11.7265625" style="128" customWidth="1"/>
    <col min="15" max="16384" width="9.1796875" style="128"/>
  </cols>
  <sheetData>
    <row r="1" spans="1:42" s="235" customFormat="1" x14ac:dyDescent="0.25">
      <c r="A1" s="235" t="s">
        <v>0</v>
      </c>
    </row>
    <row r="2" spans="1:42" x14ac:dyDescent="0.25">
      <c r="A2" s="128" t="s">
        <v>161</v>
      </c>
    </row>
    <row r="3" spans="1:42" x14ac:dyDescent="0.25">
      <c r="N3" s="311"/>
    </row>
    <row r="4" spans="1:42" x14ac:dyDescent="0.25">
      <c r="A4" s="202" t="s">
        <v>162</v>
      </c>
      <c r="B4" s="322">
        <v>43101</v>
      </c>
      <c r="C4" s="322">
        <f>EDATE(B4,1)</f>
        <v>43132</v>
      </c>
      <c r="D4" s="322">
        <f t="shared" ref="D4:M4" si="0">EDATE(C4,1)</f>
        <v>43160</v>
      </c>
      <c r="E4" s="322">
        <f t="shared" si="0"/>
        <v>43191</v>
      </c>
      <c r="F4" s="322">
        <f t="shared" si="0"/>
        <v>43221</v>
      </c>
      <c r="G4" s="322">
        <f t="shared" si="0"/>
        <v>43252</v>
      </c>
      <c r="H4" s="322">
        <f t="shared" si="0"/>
        <v>43282</v>
      </c>
      <c r="I4" s="322">
        <f t="shared" si="0"/>
        <v>43313</v>
      </c>
      <c r="J4" s="322">
        <f t="shared" si="0"/>
        <v>43344</v>
      </c>
      <c r="K4" s="322">
        <f t="shared" si="0"/>
        <v>43374</v>
      </c>
      <c r="L4" s="322">
        <f t="shared" si="0"/>
        <v>43405</v>
      </c>
      <c r="M4" s="322">
        <f t="shared" si="0"/>
        <v>43435</v>
      </c>
      <c r="N4" s="323" t="s">
        <v>190</v>
      </c>
    </row>
    <row r="5" spans="1:42" s="235" customFormat="1" x14ac:dyDescent="0.25">
      <c r="A5" s="133" t="s">
        <v>186</v>
      </c>
      <c r="B5" s="318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</row>
    <row r="6" spans="1:42" x14ac:dyDescent="0.25">
      <c r="A6" s="130" t="s">
        <v>177</v>
      </c>
      <c r="B6" s="315">
        <f>'12ME Dec18 Norm Therms'!B127/'12ME Dec18 Norm Therms'!B$130</f>
        <v>0.14904361263404969</v>
      </c>
      <c r="C6" s="315">
        <f>'12ME Dec18 Norm Therms'!C127/'12ME Dec18 Norm Therms'!C$130</f>
        <v>0.15686602583652506</v>
      </c>
      <c r="D6" s="315">
        <f>'12ME Dec18 Norm Therms'!D127/'12ME Dec18 Norm Therms'!D$130</f>
        <v>0.18341350191473049</v>
      </c>
      <c r="E6" s="315">
        <f>'12ME Dec18 Norm Therms'!E127/'12ME Dec18 Norm Therms'!E$130</f>
        <v>0.20984627750943369</v>
      </c>
      <c r="F6" s="315">
        <f>'12ME Dec18 Norm Therms'!F127/'12ME Dec18 Norm Therms'!F$130</f>
        <v>0.28140061521072135</v>
      </c>
      <c r="G6" s="315">
        <f>'12ME Dec18 Norm Therms'!G127/'12ME Dec18 Norm Therms'!G$130</f>
        <v>0.22409146841243904</v>
      </c>
      <c r="H6" s="315">
        <f>'12ME Dec18 Norm Therms'!H127/'12ME Dec18 Norm Therms'!H$130</f>
        <v>1.4865437123641687</v>
      </c>
      <c r="I6" s="315">
        <f>'12ME Dec18 Norm Therms'!I127/'12ME Dec18 Norm Therms'!I$130</f>
        <v>0.17112106922734494</v>
      </c>
      <c r="J6" s="315">
        <f>'12ME Dec18 Norm Therms'!J127/'12ME Dec18 Norm Therms'!J$130</f>
        <v>0.30211606234843397</v>
      </c>
      <c r="K6" s="315">
        <f>'12ME Dec18 Norm Therms'!K127/'12ME Dec18 Norm Therms'!K$130</f>
        <v>0.24823874183123329</v>
      </c>
      <c r="L6" s="315">
        <f>'12ME Dec18 Norm Therms'!L127/'12ME Dec18 Norm Therms'!L$130</f>
        <v>0.17971750839452377</v>
      </c>
      <c r="M6" s="315">
        <f>'12ME Dec18 Norm Therms'!M127/'12ME Dec18 Norm Therms'!M$130</f>
        <v>0.13811432332294146</v>
      </c>
      <c r="N6" s="315">
        <f>'12ME Dec18 Norm Therms'!N127/'12ME Dec18 Norm Therms'!N$130</f>
        <v>0.20334953739760067</v>
      </c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</row>
    <row r="7" spans="1:42" x14ac:dyDescent="0.25">
      <c r="A7" s="130" t="s">
        <v>165</v>
      </c>
      <c r="B7" s="315">
        <f>'12ME Dec18 Norm Therms'!B128/'12ME Dec18 Norm Therms'!B$130</f>
        <v>0.43295730924587877</v>
      </c>
      <c r="C7" s="315">
        <f>'12ME Dec18 Norm Therms'!C128/'12ME Dec18 Norm Therms'!C$130</f>
        <v>0.47087470582715046</v>
      </c>
      <c r="D7" s="315">
        <f>'12ME Dec18 Norm Therms'!D128/'12ME Dec18 Norm Therms'!D$130</f>
        <v>0.49760769709324021</v>
      </c>
      <c r="E7" s="315">
        <f>'12ME Dec18 Norm Therms'!E128/'12ME Dec18 Norm Therms'!E$130</f>
        <v>0.46312881927844246</v>
      </c>
      <c r="F7" s="315">
        <f>'12ME Dec18 Norm Therms'!F128/'12ME Dec18 Norm Therms'!F$130</f>
        <v>0.45709485123422305</v>
      </c>
      <c r="G7" s="315">
        <f>'12ME Dec18 Norm Therms'!G128/'12ME Dec18 Norm Therms'!G$130</f>
        <v>0.33951712584793348</v>
      </c>
      <c r="H7" s="315">
        <f>'12ME Dec18 Norm Therms'!H128/'12ME Dec18 Norm Therms'!H$130</f>
        <v>1.9766210603316117</v>
      </c>
      <c r="I7" s="315">
        <f>'12ME Dec18 Norm Therms'!I128/'12ME Dec18 Norm Therms'!I$130</f>
        <v>0.24087756144423889</v>
      </c>
      <c r="J7" s="315">
        <f>'12ME Dec18 Norm Therms'!J128/'12ME Dec18 Norm Therms'!J$130</f>
        <v>0.47321713440886631</v>
      </c>
      <c r="K7" s="315">
        <f>'12ME Dec18 Norm Therms'!K128/'12ME Dec18 Norm Therms'!K$130</f>
        <v>0.5002549878493846</v>
      </c>
      <c r="L7" s="315">
        <f>'12ME Dec18 Norm Therms'!L128/'12ME Dec18 Norm Therms'!L$130</f>
        <v>0.48405762187057516</v>
      </c>
      <c r="M7" s="315">
        <f>'12ME Dec18 Norm Therms'!M128/'12ME Dec18 Norm Therms'!M$130</f>
        <v>0.40783169733107727</v>
      </c>
      <c r="N7" s="315">
        <f>'12ME Dec18 Norm Therms'!N128/'12ME Dec18 Norm Therms'!N$130</f>
        <v>0.44917321863447157</v>
      </c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</row>
    <row r="8" spans="1:42" x14ac:dyDescent="0.25">
      <c r="A8" s="130" t="s">
        <v>166</v>
      </c>
      <c r="B8" s="315">
        <f>'12ME Dec18 Norm Therms'!B129/'12ME Dec18 Norm Therms'!B$130</f>
        <v>0.41799907812007148</v>
      </c>
      <c r="C8" s="315">
        <f>'12ME Dec18 Norm Therms'!C129/'12ME Dec18 Norm Therms'!C$130</f>
        <v>0.3722592683363245</v>
      </c>
      <c r="D8" s="315">
        <f>'12ME Dec18 Norm Therms'!D129/'12ME Dec18 Norm Therms'!D$130</f>
        <v>0.31897880099202935</v>
      </c>
      <c r="E8" s="315">
        <f>'12ME Dec18 Norm Therms'!E129/'12ME Dec18 Norm Therms'!E$130</f>
        <v>0.3270249032121238</v>
      </c>
      <c r="F8" s="315">
        <f>'12ME Dec18 Norm Therms'!F129/'12ME Dec18 Norm Therms'!F$130</f>
        <v>0.26150453355505571</v>
      </c>
      <c r="G8" s="315">
        <f>'12ME Dec18 Norm Therms'!G129/'12ME Dec18 Norm Therms'!G$130</f>
        <v>0.43639140573962754</v>
      </c>
      <c r="H8" s="315">
        <f>'12ME Dec18 Norm Therms'!H129/'12ME Dec18 Norm Therms'!H$130</f>
        <v>-2.4631647726957797</v>
      </c>
      <c r="I8" s="315">
        <f>'12ME Dec18 Norm Therms'!I129/'12ME Dec18 Norm Therms'!I$130</f>
        <v>0.58800136932841629</v>
      </c>
      <c r="J8" s="315">
        <f>'12ME Dec18 Norm Therms'!J129/'12ME Dec18 Norm Therms'!J$130</f>
        <v>0.22466680324269964</v>
      </c>
      <c r="K8" s="315">
        <f>'12ME Dec18 Norm Therms'!K129/'12ME Dec18 Norm Therms'!K$130</f>
        <v>0.25150627031938227</v>
      </c>
      <c r="L8" s="315">
        <f>'12ME Dec18 Norm Therms'!L129/'12ME Dec18 Norm Therms'!L$130</f>
        <v>0.33622486973490101</v>
      </c>
      <c r="M8" s="315">
        <f>'12ME Dec18 Norm Therms'!M129/'12ME Dec18 Norm Therms'!M$130</f>
        <v>0.4540539793459813</v>
      </c>
      <c r="N8" s="315">
        <f>'12ME Dec18 Norm Therms'!N129/'12ME Dec18 Norm Therms'!N$130</f>
        <v>0.34747724396792784</v>
      </c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</row>
    <row r="9" spans="1:42" ht="14.5" x14ac:dyDescent="0.35">
      <c r="A9" s="130" t="s">
        <v>6</v>
      </c>
      <c r="B9" s="317">
        <f>SUM(B6:B8)</f>
        <v>1</v>
      </c>
      <c r="C9" s="317">
        <f t="shared" ref="C9:N9" si="1">SUM(C6:C8)</f>
        <v>1</v>
      </c>
      <c r="D9" s="317">
        <f t="shared" si="1"/>
        <v>1</v>
      </c>
      <c r="E9" s="317">
        <f t="shared" si="1"/>
        <v>1</v>
      </c>
      <c r="F9" s="317">
        <f t="shared" si="1"/>
        <v>1</v>
      </c>
      <c r="G9" s="317">
        <f t="shared" si="1"/>
        <v>1</v>
      </c>
      <c r="H9" s="317">
        <f t="shared" si="1"/>
        <v>1.0000000000000004</v>
      </c>
      <c r="I9" s="317">
        <f t="shared" si="1"/>
        <v>1</v>
      </c>
      <c r="J9" s="317">
        <f t="shared" si="1"/>
        <v>0.99999999999999989</v>
      </c>
      <c r="K9" s="317">
        <f t="shared" si="1"/>
        <v>1.0000000000000002</v>
      </c>
      <c r="L9" s="317">
        <f t="shared" si="1"/>
        <v>1</v>
      </c>
      <c r="M9" s="317">
        <f t="shared" si="1"/>
        <v>1</v>
      </c>
      <c r="N9" s="317">
        <f t="shared" si="1"/>
        <v>1</v>
      </c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</row>
    <row r="10" spans="1:42" s="131" customFormat="1" ht="14.5" x14ac:dyDescent="0.35">
      <c r="A10" s="130"/>
      <c r="B10" s="317"/>
      <c r="C10" s="317"/>
      <c r="D10" s="317"/>
      <c r="E10" s="317"/>
      <c r="F10" s="317"/>
      <c r="G10" s="317"/>
      <c r="H10" s="317"/>
      <c r="I10" s="317"/>
      <c r="J10" s="317"/>
      <c r="K10" s="317"/>
      <c r="L10" s="317"/>
      <c r="M10" s="317"/>
      <c r="N10" s="317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</row>
    <row r="11" spans="1:42" ht="14.5" x14ac:dyDescent="0.35">
      <c r="A11" s="130"/>
      <c r="B11" s="317"/>
      <c r="C11" s="317"/>
      <c r="D11" s="317"/>
      <c r="E11" s="317"/>
      <c r="F11" s="317"/>
      <c r="G11" s="317"/>
      <c r="H11" s="317"/>
      <c r="I11" s="317"/>
      <c r="J11" s="317"/>
      <c r="K11" s="317"/>
      <c r="L11" s="317"/>
      <c r="M11" s="317"/>
      <c r="N11" s="317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</row>
    <row r="12" spans="1:42" ht="14.5" x14ac:dyDescent="0.35">
      <c r="A12" s="128" t="s">
        <v>187</v>
      </c>
      <c r="B12" s="317"/>
      <c r="C12" s="317"/>
      <c r="D12" s="317"/>
      <c r="E12" s="317"/>
      <c r="F12" s="317"/>
      <c r="G12" s="317"/>
      <c r="H12" s="317"/>
      <c r="I12" s="317"/>
      <c r="J12" s="317"/>
      <c r="K12" s="317"/>
      <c r="L12" s="317"/>
      <c r="M12" s="317"/>
      <c r="N12" s="317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</row>
    <row r="13" spans="1:42" x14ac:dyDescent="0.25">
      <c r="A13" s="130" t="s">
        <v>88</v>
      </c>
      <c r="B13" s="315">
        <f>'12ME Dec18 Norm Therms'!B134/'12ME Dec18 Norm Therms'!B$137</f>
        <v>0.31490325946455305</v>
      </c>
      <c r="C13" s="315">
        <f>'12ME Dec18 Norm Therms'!C134/'12ME Dec18 Norm Therms'!C$137</f>
        <v>1.8923721369340814</v>
      </c>
      <c r="D13" s="315">
        <f>'12ME Dec18 Norm Therms'!D134/'12ME Dec18 Norm Therms'!D$137</f>
        <v>0.35994728438497375</v>
      </c>
      <c r="E13" s="315">
        <f>'12ME Dec18 Norm Therms'!E134/'12ME Dec18 Norm Therms'!E$137</f>
        <v>0.68691928157236093</v>
      </c>
      <c r="F13" s="315">
        <f>'12ME Dec18 Norm Therms'!F134/'12ME Dec18 Norm Therms'!F$137</f>
        <v>0.58102714535015543</v>
      </c>
      <c r="G13" s="315">
        <f>'12ME Dec18 Norm Therms'!G134/'12ME Dec18 Norm Therms'!G$137</f>
        <v>0.36936626194037148</v>
      </c>
      <c r="H13" s="315">
        <f>'12ME Dec18 Norm Therms'!H134/'12ME Dec18 Norm Therms'!H$137</f>
        <v>0.56071331342467967</v>
      </c>
      <c r="I13" s="315">
        <f>'12ME Dec18 Norm Therms'!I134/'12ME Dec18 Norm Therms'!I$137</f>
        <v>0.46289999149994232</v>
      </c>
      <c r="J13" s="315">
        <f>'12ME Dec18 Norm Therms'!J134/'12ME Dec18 Norm Therms'!J$137</f>
        <v>0.7404132254688931</v>
      </c>
      <c r="K13" s="315">
        <f>'12ME Dec18 Norm Therms'!K134/'12ME Dec18 Norm Therms'!K$137</f>
        <v>0.4141931611664566</v>
      </c>
      <c r="L13" s="315">
        <f>'12ME Dec18 Norm Therms'!L134/'12ME Dec18 Norm Therms'!L$137</f>
        <v>0.34048767595974755</v>
      </c>
      <c r="M13" s="315">
        <f>'12ME Dec18 Norm Therms'!M134/'12ME Dec18 Norm Therms'!M$137</f>
        <v>0.43366343933189994</v>
      </c>
      <c r="N13" s="315">
        <f>'12ME Dec18 Norm Therms'!N134/'12ME Dec18 Norm Therms'!N$137</f>
        <v>0.47067581360513056</v>
      </c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</row>
    <row r="14" spans="1:42" x14ac:dyDescent="0.25">
      <c r="A14" s="130" t="s">
        <v>89</v>
      </c>
      <c r="B14" s="315">
        <f>'12ME Dec18 Norm Therms'!B135/'12ME Dec18 Norm Therms'!B$137</f>
        <v>0.21911126582754553</v>
      </c>
      <c r="C14" s="315">
        <f>'12ME Dec18 Norm Therms'!C135/'12ME Dec18 Norm Therms'!C$137</f>
        <v>1.1927562805449849</v>
      </c>
      <c r="D14" s="315">
        <f>'12ME Dec18 Norm Therms'!D135/'12ME Dec18 Norm Therms'!D$137</f>
        <v>0.22309510392353063</v>
      </c>
      <c r="E14" s="315">
        <f>'12ME Dec18 Norm Therms'!E135/'12ME Dec18 Norm Therms'!E$137</f>
        <v>0.3411497870811287</v>
      </c>
      <c r="F14" s="315">
        <f>'12ME Dec18 Norm Therms'!F135/'12ME Dec18 Norm Therms'!F$137</f>
        <v>0.26594481539866677</v>
      </c>
      <c r="G14" s="315">
        <f>'12ME Dec18 Norm Therms'!G135/'12ME Dec18 Norm Therms'!G$137</f>
        <v>0.16129453670256866</v>
      </c>
      <c r="H14" s="315">
        <f>'12ME Dec18 Norm Therms'!H135/'12ME Dec18 Norm Therms'!H$137</f>
        <v>0.20318554422044327</v>
      </c>
      <c r="I14" s="315">
        <f>'12ME Dec18 Norm Therms'!I135/'12ME Dec18 Norm Therms'!I$137</f>
        <v>0.19612330305454609</v>
      </c>
      <c r="J14" s="315">
        <f>'12ME Dec18 Norm Therms'!J135/'12ME Dec18 Norm Therms'!J$137</f>
        <v>0.33266386509829821</v>
      </c>
      <c r="K14" s="315">
        <f>'12ME Dec18 Norm Therms'!K135/'12ME Dec18 Norm Therms'!K$137</f>
        <v>0.20320385272573449</v>
      </c>
      <c r="L14" s="315">
        <f>'12ME Dec18 Norm Therms'!L135/'12ME Dec18 Norm Therms'!L$137</f>
        <v>0.18211175759763198</v>
      </c>
      <c r="M14" s="315">
        <f>'12ME Dec18 Norm Therms'!M135/'12ME Dec18 Norm Therms'!M$137</f>
        <v>0.2674429600231184</v>
      </c>
      <c r="N14" s="315">
        <f>'12ME Dec18 Norm Therms'!N135/'12ME Dec18 Norm Therms'!N$137</f>
        <v>0.24846601406901442</v>
      </c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</row>
    <row r="15" spans="1:42" x14ac:dyDescent="0.25">
      <c r="A15" s="130" t="s">
        <v>169</v>
      </c>
      <c r="B15" s="315">
        <f>'12ME Dec18 Norm Therms'!B136/'12ME Dec18 Norm Therms'!B$137</f>
        <v>0.46598547470790147</v>
      </c>
      <c r="C15" s="315">
        <f>'12ME Dec18 Norm Therms'!C136/'12ME Dec18 Norm Therms'!C$137</f>
        <v>-2.0851284174790661</v>
      </c>
      <c r="D15" s="315">
        <f>'12ME Dec18 Norm Therms'!D136/'12ME Dec18 Norm Therms'!D$137</f>
        <v>0.41695761169149564</v>
      </c>
      <c r="E15" s="315">
        <f>'12ME Dec18 Norm Therms'!E136/'12ME Dec18 Norm Therms'!E$137</f>
        <v>-2.8069068653489744E-2</v>
      </c>
      <c r="F15" s="315">
        <f>'12ME Dec18 Norm Therms'!F136/'12ME Dec18 Norm Therms'!F$137</f>
        <v>0.15302803925117789</v>
      </c>
      <c r="G15" s="315">
        <f>'12ME Dec18 Norm Therms'!G136/'12ME Dec18 Norm Therms'!G$137</f>
        <v>0.46933920135705981</v>
      </c>
      <c r="H15" s="315">
        <f>'12ME Dec18 Norm Therms'!H136/'12ME Dec18 Norm Therms'!H$137</f>
        <v>0.23610114235487703</v>
      </c>
      <c r="I15" s="315">
        <f>'12ME Dec18 Norm Therms'!I136/'12ME Dec18 Norm Therms'!I$137</f>
        <v>0.34097670544551173</v>
      </c>
      <c r="J15" s="315">
        <f>'12ME Dec18 Norm Therms'!J136/'12ME Dec18 Norm Therms'!J$137</f>
        <v>-7.3077090567191277E-2</v>
      </c>
      <c r="K15" s="315">
        <f>'12ME Dec18 Norm Therms'!K136/'12ME Dec18 Norm Therms'!K$137</f>
        <v>0.38260298610780891</v>
      </c>
      <c r="L15" s="315">
        <f>'12ME Dec18 Norm Therms'!L136/'12ME Dec18 Norm Therms'!L$137</f>
        <v>0.47740056644262041</v>
      </c>
      <c r="M15" s="315">
        <f>'12ME Dec18 Norm Therms'!M136/'12ME Dec18 Norm Therms'!M$137</f>
        <v>0.29889360064498172</v>
      </c>
      <c r="N15" s="315">
        <f>'12ME Dec18 Norm Therms'!N136/'12ME Dec18 Norm Therms'!N$137</f>
        <v>0.28085817232585503</v>
      </c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</row>
    <row r="16" spans="1:42" x14ac:dyDescent="0.25">
      <c r="A16" s="130" t="s">
        <v>6</v>
      </c>
      <c r="B16" s="316">
        <f>SUM(B13:B15)</f>
        <v>1</v>
      </c>
      <c r="C16" s="316">
        <f t="shared" ref="C16:N16" si="2">SUM(C13:C15)</f>
        <v>1.0000000000000004</v>
      </c>
      <c r="D16" s="316">
        <f t="shared" si="2"/>
        <v>1</v>
      </c>
      <c r="E16" s="316">
        <f t="shared" si="2"/>
        <v>0.99999999999999989</v>
      </c>
      <c r="F16" s="316">
        <f t="shared" si="2"/>
        <v>1</v>
      </c>
      <c r="G16" s="316">
        <f t="shared" si="2"/>
        <v>1</v>
      </c>
      <c r="H16" s="316">
        <f t="shared" si="2"/>
        <v>0.99999999999999989</v>
      </c>
      <c r="I16" s="316">
        <f t="shared" si="2"/>
        <v>1</v>
      </c>
      <c r="J16" s="316">
        <f t="shared" si="2"/>
        <v>1</v>
      </c>
      <c r="K16" s="316">
        <f t="shared" si="2"/>
        <v>1</v>
      </c>
      <c r="L16" s="316">
        <f t="shared" si="2"/>
        <v>1</v>
      </c>
      <c r="M16" s="316">
        <f t="shared" si="2"/>
        <v>1</v>
      </c>
      <c r="N16" s="316">
        <f t="shared" si="2"/>
        <v>1</v>
      </c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</row>
    <row r="17" spans="1:42" s="131" customFormat="1" x14ac:dyDescent="0.25">
      <c r="A17" s="130"/>
      <c r="B17" s="318"/>
      <c r="C17" s="318"/>
      <c r="D17" s="318"/>
      <c r="E17" s="318"/>
      <c r="F17" s="318"/>
      <c r="G17" s="318"/>
      <c r="H17" s="318"/>
      <c r="I17" s="318"/>
      <c r="J17" s="318"/>
      <c r="K17" s="318"/>
      <c r="L17" s="318"/>
      <c r="M17" s="318"/>
      <c r="N17" s="318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</row>
    <row r="18" spans="1:42" x14ac:dyDescent="0.25">
      <c r="A18" s="130"/>
      <c r="B18" s="318"/>
      <c r="C18" s="318"/>
      <c r="D18" s="318"/>
      <c r="E18" s="318"/>
      <c r="F18" s="318"/>
      <c r="G18" s="318"/>
      <c r="H18" s="318"/>
      <c r="I18" s="318"/>
      <c r="J18" s="318"/>
      <c r="K18" s="318"/>
      <c r="L18" s="318"/>
      <c r="M18" s="318"/>
      <c r="N18" s="318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</row>
    <row r="19" spans="1:42" x14ac:dyDescent="0.25">
      <c r="A19" s="130" t="s">
        <v>188</v>
      </c>
      <c r="B19" s="316"/>
      <c r="C19" s="316"/>
      <c r="D19" s="316"/>
      <c r="E19" s="316"/>
      <c r="F19" s="316"/>
      <c r="G19" s="316"/>
      <c r="H19" s="316"/>
      <c r="I19" s="316"/>
      <c r="J19" s="316"/>
      <c r="K19" s="316"/>
      <c r="L19" s="316"/>
      <c r="M19" s="316"/>
      <c r="N19" s="316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</row>
    <row r="20" spans="1:42" ht="14.5" x14ac:dyDescent="0.35">
      <c r="A20" s="130" t="s">
        <v>94</v>
      </c>
      <c r="B20" s="319">
        <f>'12ME Dec18 Norm Therms'!B141/'12ME Dec18 Norm Therms'!B$143</f>
        <v>0.16133284886199639</v>
      </c>
      <c r="C20" s="319">
        <f>'12ME Dec18 Norm Therms'!C141/'12ME Dec18 Norm Therms'!C$143</f>
        <v>0.18784213507875239</v>
      </c>
      <c r="D20" s="319">
        <f>'12ME Dec18 Norm Therms'!D141/'12ME Dec18 Norm Therms'!D$143</f>
        <v>0.20360112400459468</v>
      </c>
      <c r="E20" s="319">
        <f>'12ME Dec18 Norm Therms'!E141/'12ME Dec18 Norm Therms'!E$143</f>
        <v>0.21585285001917995</v>
      </c>
      <c r="F20" s="319">
        <f>'12ME Dec18 Norm Therms'!F141/'12ME Dec18 Norm Therms'!F$143</f>
        <v>0.2467013637068155</v>
      </c>
      <c r="G20" s="319">
        <f>'12ME Dec18 Norm Therms'!G141/'12ME Dec18 Norm Therms'!G$143</f>
        <v>0.27287158528088679</v>
      </c>
      <c r="H20" s="319">
        <f>'12ME Dec18 Norm Therms'!H141/'12ME Dec18 Norm Therms'!H$143</f>
        <v>0.38753128279478999</v>
      </c>
      <c r="I20" s="319">
        <f>'12ME Dec18 Norm Therms'!I141/'12ME Dec18 Norm Therms'!I$143</f>
        <v>0.42923931401466642</v>
      </c>
      <c r="J20" s="319">
        <f>'12ME Dec18 Norm Therms'!J141/'12ME Dec18 Norm Therms'!J$143</f>
        <v>0.44461657921527747</v>
      </c>
      <c r="K20" s="319">
        <f>'12ME Dec18 Norm Therms'!K141/'12ME Dec18 Norm Therms'!K$143</f>
        <v>0.28324059241912203</v>
      </c>
      <c r="L20" s="319">
        <f>'12ME Dec18 Norm Therms'!L141/'12ME Dec18 Norm Therms'!L$143</f>
        <v>0.21079397022776455</v>
      </c>
      <c r="M20" s="319">
        <f>'12ME Dec18 Norm Therms'!M141/'12ME Dec18 Norm Therms'!M$143</f>
        <v>0.14342839824975601</v>
      </c>
      <c r="N20" s="319">
        <f>'12ME Dec18 Norm Therms'!N141/'12ME Dec18 Norm Therms'!N$143</f>
        <v>0.21860247811450462</v>
      </c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</row>
    <row r="21" spans="1:42" ht="14.5" x14ac:dyDescent="0.35">
      <c r="A21" s="130" t="s">
        <v>172</v>
      </c>
      <c r="B21" s="319">
        <f>'12ME Dec18 Norm Therms'!B142/'12ME Dec18 Norm Therms'!B$143</f>
        <v>0.83866715113800372</v>
      </c>
      <c r="C21" s="319">
        <f>'12ME Dec18 Norm Therms'!C142/'12ME Dec18 Norm Therms'!C$143</f>
        <v>0.81215786492124764</v>
      </c>
      <c r="D21" s="319">
        <f>'12ME Dec18 Norm Therms'!D142/'12ME Dec18 Norm Therms'!D$143</f>
        <v>0.79639887599540526</v>
      </c>
      <c r="E21" s="319">
        <f>'12ME Dec18 Norm Therms'!E142/'12ME Dec18 Norm Therms'!E$143</f>
        <v>0.78414714998082014</v>
      </c>
      <c r="F21" s="319">
        <f>'12ME Dec18 Norm Therms'!F142/'12ME Dec18 Norm Therms'!F$143</f>
        <v>0.7532986362931845</v>
      </c>
      <c r="G21" s="319">
        <f>'12ME Dec18 Norm Therms'!G142/'12ME Dec18 Norm Therms'!G$143</f>
        <v>0.72712841471911316</v>
      </c>
      <c r="H21" s="319">
        <f>'12ME Dec18 Norm Therms'!H142/'12ME Dec18 Norm Therms'!H$143</f>
        <v>0.61246871720521012</v>
      </c>
      <c r="I21" s="319">
        <f>'12ME Dec18 Norm Therms'!I142/'12ME Dec18 Norm Therms'!I$143</f>
        <v>0.57076068598533347</v>
      </c>
      <c r="J21" s="319">
        <f>'12ME Dec18 Norm Therms'!J142/'12ME Dec18 Norm Therms'!J$143</f>
        <v>0.55538342078472258</v>
      </c>
      <c r="K21" s="319">
        <f>'12ME Dec18 Norm Therms'!K142/'12ME Dec18 Norm Therms'!K$143</f>
        <v>0.71675940758087797</v>
      </c>
      <c r="L21" s="319">
        <f>'12ME Dec18 Norm Therms'!L142/'12ME Dec18 Norm Therms'!L$143</f>
        <v>0.78920602977223553</v>
      </c>
      <c r="M21" s="319">
        <f>'12ME Dec18 Norm Therms'!M142/'12ME Dec18 Norm Therms'!M$143</f>
        <v>0.85657160175024405</v>
      </c>
      <c r="N21" s="319">
        <f>'12ME Dec18 Norm Therms'!N142/'12ME Dec18 Norm Therms'!N$143</f>
        <v>0.78139752188549527</v>
      </c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</row>
    <row r="22" spans="1:42" ht="14.5" x14ac:dyDescent="0.35">
      <c r="A22" s="130" t="s">
        <v>6</v>
      </c>
      <c r="B22" s="317">
        <f>SUM(B20:B21)</f>
        <v>1</v>
      </c>
      <c r="C22" s="317">
        <f t="shared" ref="C22:N22" si="3">SUM(C20:C21)</f>
        <v>1</v>
      </c>
      <c r="D22" s="317">
        <f t="shared" si="3"/>
        <v>1</v>
      </c>
      <c r="E22" s="317">
        <f t="shared" si="3"/>
        <v>1</v>
      </c>
      <c r="F22" s="317">
        <f t="shared" si="3"/>
        <v>1</v>
      </c>
      <c r="G22" s="317">
        <f t="shared" si="3"/>
        <v>1</v>
      </c>
      <c r="H22" s="317">
        <f t="shared" si="3"/>
        <v>1</v>
      </c>
      <c r="I22" s="317">
        <f t="shared" si="3"/>
        <v>0.99999999999999989</v>
      </c>
      <c r="J22" s="317">
        <f t="shared" si="3"/>
        <v>1</v>
      </c>
      <c r="K22" s="317">
        <f t="shared" si="3"/>
        <v>1</v>
      </c>
      <c r="L22" s="317">
        <f t="shared" si="3"/>
        <v>1</v>
      </c>
      <c r="M22" s="317">
        <f t="shared" si="3"/>
        <v>1</v>
      </c>
      <c r="N22" s="317">
        <f t="shared" si="3"/>
        <v>0.99999999999999989</v>
      </c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</row>
    <row r="23" spans="1:42" x14ac:dyDescent="0.25">
      <c r="A23" s="130"/>
      <c r="B23" s="318"/>
      <c r="C23" s="318"/>
      <c r="D23" s="318"/>
      <c r="E23" s="318"/>
      <c r="F23" s="318"/>
      <c r="G23" s="318"/>
      <c r="H23" s="318"/>
      <c r="I23" s="318"/>
      <c r="J23" s="318"/>
      <c r="K23" s="318"/>
      <c r="L23" s="318"/>
      <c r="M23" s="318"/>
      <c r="N23" s="318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</row>
    <row r="24" spans="1:42" s="131" customFormat="1" x14ac:dyDescent="0.25">
      <c r="A24" s="130"/>
      <c r="B24" s="318"/>
      <c r="C24" s="318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</row>
    <row r="25" spans="1:42" x14ac:dyDescent="0.25">
      <c r="A25" s="128" t="s">
        <v>189</v>
      </c>
      <c r="B25" s="318"/>
      <c r="C25" s="318"/>
      <c r="D25" s="318"/>
      <c r="E25" s="318"/>
      <c r="F25" s="318"/>
      <c r="G25" s="318"/>
      <c r="H25" s="318"/>
      <c r="I25" s="318"/>
      <c r="J25" s="318"/>
      <c r="K25" s="318"/>
      <c r="L25" s="318"/>
      <c r="M25" s="318"/>
      <c r="N25" s="318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</row>
    <row r="26" spans="1:42" x14ac:dyDescent="0.25">
      <c r="A26" s="130" t="s">
        <v>88</v>
      </c>
      <c r="B26" s="315">
        <f>'12ME Dec18 Norm Therms'!B147/'12ME Dec18 Norm Therms'!B$153</f>
        <v>4.0891302282135986E-2</v>
      </c>
      <c r="C26" s="315">
        <f>'12ME Dec18 Norm Therms'!C147/'12ME Dec18 Norm Therms'!C$153</f>
        <v>0.11224160611030655</v>
      </c>
      <c r="D26" s="315">
        <f>'12ME Dec18 Norm Therms'!D147/'12ME Dec18 Norm Therms'!D$153</f>
        <v>3.0031178231156221E-2</v>
      </c>
      <c r="E26" s="315">
        <f>'12ME Dec18 Norm Therms'!E147/'12ME Dec18 Norm Therms'!E$153</f>
        <v>0.96758175352045517</v>
      </c>
      <c r="F26" s="315">
        <f>'12ME Dec18 Norm Therms'!F147/'12ME Dec18 Norm Therms'!F$153</f>
        <v>5.9022598079045155E-2</v>
      </c>
      <c r="G26" s="315">
        <f>'12ME Dec18 Norm Therms'!G147/'12ME Dec18 Norm Therms'!G$153</f>
        <v>6.8240975772213525E-2</v>
      </c>
      <c r="H26" s="315">
        <f>'12ME Dec18 Norm Therms'!H147/'12ME Dec18 Norm Therms'!H$153</f>
        <v>9.2215866074417216E-2</v>
      </c>
      <c r="I26" s="315">
        <f>'12ME Dec18 Norm Therms'!I147/'12ME Dec18 Norm Therms'!I$153</f>
        <v>7.7098553110460002E-2</v>
      </c>
      <c r="J26" s="315">
        <f>'12ME Dec18 Norm Therms'!J147/'12ME Dec18 Norm Therms'!J$153</f>
        <v>9.4467756418652973E-2</v>
      </c>
      <c r="K26" s="315">
        <f>'12ME Dec18 Norm Therms'!K147/'12ME Dec18 Norm Therms'!K$153</f>
        <v>5.5278101191284242E-2</v>
      </c>
      <c r="L26" s="315">
        <f>'12ME Dec18 Norm Therms'!L147/'12ME Dec18 Norm Therms'!L$153</f>
        <v>5.9472057979503723E-2</v>
      </c>
      <c r="M26" s="315">
        <f>'12ME Dec18 Norm Therms'!M147/'12ME Dec18 Norm Therms'!M$153</f>
        <v>5.6642267875289906E-2</v>
      </c>
      <c r="N26" s="315">
        <f>'12ME Dec18 Norm Therms'!N147/'12ME Dec18 Norm Therms'!N$153</f>
        <v>6.4302287169905006E-2</v>
      </c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</row>
    <row r="27" spans="1:42" x14ac:dyDescent="0.25">
      <c r="A27" s="130" t="s">
        <v>89</v>
      </c>
      <c r="B27" s="315">
        <f>'12ME Dec18 Norm Therms'!B148/'12ME Dec18 Norm Therms'!B$153</f>
        <v>4.0891123527033252E-2</v>
      </c>
      <c r="C27" s="315">
        <f>'12ME Dec18 Norm Therms'!C148/'12ME Dec18 Norm Therms'!C$153</f>
        <v>0.11224160611030655</v>
      </c>
      <c r="D27" s="315">
        <f>'12ME Dec18 Norm Therms'!D148/'12ME Dec18 Norm Therms'!D$153</f>
        <v>3.0031178231156221E-2</v>
      </c>
      <c r="E27" s="315">
        <f>'12ME Dec18 Norm Therms'!E148/'12ME Dec18 Norm Therms'!E$153</f>
        <v>0.96758175352045517</v>
      </c>
      <c r="F27" s="315">
        <f>'12ME Dec18 Norm Therms'!F148/'12ME Dec18 Norm Therms'!F$153</f>
        <v>5.9022598079045155E-2</v>
      </c>
      <c r="G27" s="315">
        <f>'12ME Dec18 Norm Therms'!G148/'12ME Dec18 Norm Therms'!G$153</f>
        <v>6.3275727888451844E-2</v>
      </c>
      <c r="H27" s="315">
        <f>'12ME Dec18 Norm Therms'!H148/'12ME Dec18 Norm Therms'!H$153</f>
        <v>8.4260952251816873E-2</v>
      </c>
      <c r="I27" s="315">
        <f>'12ME Dec18 Norm Therms'!I148/'12ME Dec18 Norm Therms'!I$153</f>
        <v>7.1091202023324654E-2</v>
      </c>
      <c r="J27" s="315">
        <f>'12ME Dec18 Norm Therms'!J148/'12ME Dec18 Norm Therms'!J$153</f>
        <v>9.4467756418652973E-2</v>
      </c>
      <c r="K27" s="315">
        <f>'12ME Dec18 Norm Therms'!K148/'12ME Dec18 Norm Therms'!K$153</f>
        <v>5.5278101191284242E-2</v>
      </c>
      <c r="L27" s="315">
        <f>'12ME Dec18 Norm Therms'!L148/'12ME Dec18 Norm Therms'!L$153</f>
        <v>5.9472057979503723E-2</v>
      </c>
      <c r="M27" s="315">
        <f>'12ME Dec18 Norm Therms'!M148/'12ME Dec18 Norm Therms'!M$153</f>
        <v>5.6642267875289906E-2</v>
      </c>
      <c r="N27" s="315">
        <f>'12ME Dec18 Norm Therms'!N148/'12ME Dec18 Norm Therms'!N$153</f>
        <v>6.3025956568590835E-2</v>
      </c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</row>
    <row r="28" spans="1:42" x14ac:dyDescent="0.25">
      <c r="A28" s="130" t="s">
        <v>99</v>
      </c>
      <c r="B28" s="315">
        <f>'12ME Dec18 Norm Therms'!B149/'12ME Dec18 Norm Therms'!B$153</f>
        <v>8.1782604239852549E-2</v>
      </c>
      <c r="C28" s="315">
        <f>'12ME Dec18 Norm Therms'!C149/'12ME Dec18 Norm Therms'!C$153</f>
        <v>0.2244832122206131</v>
      </c>
      <c r="D28" s="315">
        <f>'12ME Dec18 Norm Therms'!D149/'12ME Dec18 Norm Therms'!D$153</f>
        <v>6.0062356462312443E-2</v>
      </c>
      <c r="E28" s="315">
        <f>'12ME Dec18 Norm Therms'!E149/'12ME Dec18 Norm Therms'!E$153</f>
        <v>1.9351635070409103</v>
      </c>
      <c r="F28" s="315">
        <f>'12ME Dec18 Norm Therms'!F149/'12ME Dec18 Norm Therms'!F$153</f>
        <v>9.1389087893584242E-2</v>
      </c>
      <c r="G28" s="315">
        <f>'12ME Dec18 Norm Therms'!G149/'12ME Dec18 Norm Therms'!G$153</f>
        <v>9.8230034914679243E-2</v>
      </c>
      <c r="H28" s="315">
        <f>'12ME Dec18 Norm Therms'!H149/'12ME Dec18 Norm Therms'!H$153</f>
        <v>0.11731474003726114</v>
      </c>
      <c r="I28" s="315">
        <f>'12ME Dec18 Norm Therms'!I149/'12ME Dec18 Norm Therms'!I$153</f>
        <v>8.6557266760160248E-2</v>
      </c>
      <c r="J28" s="315">
        <f>'12ME Dec18 Norm Therms'!J149/'12ME Dec18 Norm Therms'!J$153</f>
        <v>0.13730221391618563</v>
      </c>
      <c r="K28" s="315">
        <f>'12ME Dec18 Norm Therms'!K149/'12ME Dec18 Norm Therms'!K$153</f>
        <v>0.11055620238256848</v>
      </c>
      <c r="L28" s="315">
        <f>'12ME Dec18 Norm Therms'!L149/'12ME Dec18 Norm Therms'!L$153</f>
        <v>0.11894411501310972</v>
      </c>
      <c r="M28" s="315">
        <f>'12ME Dec18 Norm Therms'!M149/'12ME Dec18 Norm Therms'!M$153</f>
        <v>0.11328453665836909</v>
      </c>
      <c r="N28" s="315">
        <f>'12ME Dec18 Norm Therms'!N149/'12ME Dec18 Norm Therms'!N$153</f>
        <v>0.11155913580565031</v>
      </c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</row>
    <row r="29" spans="1:42" x14ac:dyDescent="0.25">
      <c r="A29" s="130" t="s">
        <v>100</v>
      </c>
      <c r="B29" s="315">
        <f>'12ME Dec18 Norm Therms'!B150/'12ME Dec18 Norm Therms'!B$153</f>
        <v>0.12797821958351904</v>
      </c>
      <c r="C29" s="315">
        <f>'12ME Dec18 Norm Therms'!C150/'12ME Dec18 Norm Therms'!C$153</f>
        <v>0.40632750456977651</v>
      </c>
      <c r="D29" s="315">
        <f>'12ME Dec18 Norm Therms'!D150/'12ME Dec18 Norm Therms'!D$153</f>
        <v>0.10654631725667589</v>
      </c>
      <c r="E29" s="315">
        <f>'12ME Dec18 Norm Therms'!E150/'12ME Dec18 Norm Therms'!E$153</f>
        <v>2.4815206745975535</v>
      </c>
      <c r="F29" s="315">
        <f>'12ME Dec18 Norm Therms'!F150/'12ME Dec18 Norm Therms'!F$153</f>
        <v>7.7608378274766895E-2</v>
      </c>
      <c r="G29" s="315">
        <f>'12ME Dec18 Norm Therms'!G150/'12ME Dec18 Norm Therms'!G$153</f>
        <v>6.4764908125774776E-2</v>
      </c>
      <c r="H29" s="315">
        <f>'12ME Dec18 Norm Therms'!H150/'12ME Dec18 Norm Therms'!H$153</f>
        <v>7.312823015654478E-2</v>
      </c>
      <c r="I29" s="315">
        <f>'12ME Dec18 Norm Therms'!I150/'12ME Dec18 Norm Therms'!I$153</f>
        <v>6.4059355795611006E-2</v>
      </c>
      <c r="J29" s="315">
        <f>'12ME Dec18 Norm Therms'!J150/'12ME Dec18 Norm Therms'!J$153</f>
        <v>0.10522540458970996</v>
      </c>
      <c r="K29" s="315">
        <f>'12ME Dec18 Norm Therms'!K150/'12ME Dec18 Norm Therms'!K$153</f>
        <v>0.10575571291432288</v>
      </c>
      <c r="L29" s="315">
        <f>'12ME Dec18 Norm Therms'!L150/'12ME Dec18 Norm Therms'!L$153</f>
        <v>0.15908481928878546</v>
      </c>
      <c r="M29" s="315">
        <f>'12ME Dec18 Norm Therms'!M150/'12ME Dec18 Norm Therms'!M$153</f>
        <v>0.17981206734082367</v>
      </c>
      <c r="N29" s="315">
        <f>'12ME Dec18 Norm Therms'!N150/'12ME Dec18 Norm Therms'!N$153</f>
        <v>0.13699750434376817</v>
      </c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</row>
    <row r="30" spans="1:42" x14ac:dyDescent="0.25">
      <c r="A30" s="130" t="s">
        <v>101</v>
      </c>
      <c r="B30" s="315">
        <f>'12ME Dec18 Norm Therms'!B151/'12ME Dec18 Norm Therms'!B$153</f>
        <v>0.10918321998795411</v>
      </c>
      <c r="C30" s="315">
        <f>'12ME Dec18 Norm Therms'!C151/'12ME Dec18 Norm Therms'!C$153</f>
        <v>0.28744784655386557</v>
      </c>
      <c r="D30" s="315">
        <f>'12ME Dec18 Norm Therms'!D151/'12ME Dec18 Norm Therms'!D$153</f>
        <v>7.4605285584458669E-2</v>
      </c>
      <c r="E30" s="315">
        <f>'12ME Dec18 Norm Therms'!E151/'12ME Dec18 Norm Therms'!E$153</f>
        <v>2.419625544361419</v>
      </c>
      <c r="F30" s="315">
        <f>'12ME Dec18 Norm Therms'!F151/'12ME Dec18 Norm Therms'!F$153</f>
        <v>0.13884548454159748</v>
      </c>
      <c r="G30" s="315">
        <f>'12ME Dec18 Norm Therms'!G151/'12ME Dec18 Norm Therms'!G$153</f>
        <v>0.16819109767903431</v>
      </c>
      <c r="H30" s="315">
        <f>'12ME Dec18 Norm Therms'!H151/'12ME Dec18 Norm Therms'!H$153</f>
        <v>0.21702110922860346</v>
      </c>
      <c r="I30" s="315">
        <f>'12ME Dec18 Norm Therms'!I151/'12ME Dec18 Norm Therms'!I$153</f>
        <v>0.18144925251733204</v>
      </c>
      <c r="J30" s="315">
        <f>'12ME Dec18 Norm Therms'!J151/'12ME Dec18 Norm Therms'!J$153</f>
        <v>0.22998067621098639</v>
      </c>
      <c r="K30" s="315">
        <f>'12ME Dec18 Norm Therms'!K151/'12ME Dec18 Norm Therms'!K$153</f>
        <v>0.13158998406952094</v>
      </c>
      <c r="L30" s="315">
        <f>'12ME Dec18 Norm Therms'!L151/'12ME Dec18 Norm Therms'!L$153</f>
        <v>0.15294886877691777</v>
      </c>
      <c r="M30" s="315">
        <f>'12ME Dec18 Norm Therms'!M151/'12ME Dec18 Norm Therms'!M$153</f>
        <v>0.15758523416433215</v>
      </c>
      <c r="N30" s="315">
        <f>'12ME Dec18 Norm Therms'!N151/'12ME Dec18 Norm Therms'!N$153</f>
        <v>0.1602232503593829</v>
      </c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</row>
    <row r="31" spans="1:42" s="131" customFormat="1" x14ac:dyDescent="0.25">
      <c r="A31" s="130" t="s">
        <v>174</v>
      </c>
      <c r="B31" s="315">
        <f>'12ME Dec18 Norm Therms'!B152/'12ME Dec18 Norm Therms'!B$153</f>
        <v>0.59927353037950504</v>
      </c>
      <c r="C31" s="315">
        <f>'12ME Dec18 Norm Therms'!C152/'12ME Dec18 Norm Therms'!C$153</f>
        <v>-0.14274177556486842</v>
      </c>
      <c r="D31" s="315">
        <f>'12ME Dec18 Norm Therms'!D152/'12ME Dec18 Norm Therms'!D$153</f>
        <v>0.69872368423424047</v>
      </c>
      <c r="E31" s="315">
        <f>'12ME Dec18 Norm Therms'!E152/'12ME Dec18 Norm Therms'!E$153</f>
        <v>-7.7714732330407932</v>
      </c>
      <c r="F31" s="315">
        <f>'12ME Dec18 Norm Therms'!F152/'12ME Dec18 Norm Therms'!F$153</f>
        <v>0.574111853131961</v>
      </c>
      <c r="G31" s="315">
        <f>'12ME Dec18 Norm Therms'!G152/'12ME Dec18 Norm Therms'!G$153</f>
        <v>0.53729725561984631</v>
      </c>
      <c r="H31" s="315">
        <f>'12ME Dec18 Norm Therms'!H152/'12ME Dec18 Norm Therms'!H$153</f>
        <v>0.41605910225135645</v>
      </c>
      <c r="I31" s="315">
        <f>'12ME Dec18 Norm Therms'!I152/'12ME Dec18 Norm Therms'!I$153</f>
        <v>0.519744369793112</v>
      </c>
      <c r="J31" s="315">
        <f>'12ME Dec18 Norm Therms'!J152/'12ME Dec18 Norm Therms'!J$153</f>
        <v>0.33855619244581209</v>
      </c>
      <c r="K31" s="315">
        <f>'12ME Dec18 Norm Therms'!K152/'12ME Dec18 Norm Therms'!K$153</f>
        <v>0.54154189825101917</v>
      </c>
      <c r="L31" s="315">
        <f>'12ME Dec18 Norm Therms'!L152/'12ME Dec18 Norm Therms'!L$153</f>
        <v>0.45007808096217955</v>
      </c>
      <c r="M31" s="315">
        <f>'12ME Dec18 Norm Therms'!M152/'12ME Dec18 Norm Therms'!M$153</f>
        <v>0.4360336260858953</v>
      </c>
      <c r="N31" s="315">
        <f>'12ME Dec18 Norm Therms'!N152/'12ME Dec18 Norm Therms'!N$153</f>
        <v>0.46389186575270275</v>
      </c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</row>
    <row r="32" spans="1:42" ht="14.5" x14ac:dyDescent="0.35">
      <c r="A32" s="130" t="s">
        <v>6</v>
      </c>
      <c r="B32" s="317">
        <f>SUM(B26:B31)</f>
        <v>1</v>
      </c>
      <c r="C32" s="317">
        <f t="shared" ref="C32:N32" si="4">SUM(C26:C31)</f>
        <v>0.99999999999999989</v>
      </c>
      <c r="D32" s="317">
        <f t="shared" si="4"/>
        <v>0.99999999999999989</v>
      </c>
      <c r="E32" s="317">
        <f t="shared" si="4"/>
        <v>1.0000000000000009</v>
      </c>
      <c r="F32" s="317">
        <f t="shared" si="4"/>
        <v>0.99999999999999989</v>
      </c>
      <c r="G32" s="317">
        <f t="shared" si="4"/>
        <v>1</v>
      </c>
      <c r="H32" s="317">
        <f t="shared" si="4"/>
        <v>1</v>
      </c>
      <c r="I32" s="317">
        <f t="shared" si="4"/>
        <v>1</v>
      </c>
      <c r="J32" s="317">
        <f t="shared" si="4"/>
        <v>1</v>
      </c>
      <c r="K32" s="317">
        <f t="shared" si="4"/>
        <v>1</v>
      </c>
      <c r="L32" s="317">
        <f t="shared" si="4"/>
        <v>1</v>
      </c>
      <c r="M32" s="317">
        <f t="shared" si="4"/>
        <v>1</v>
      </c>
      <c r="N32" s="317">
        <f t="shared" si="4"/>
        <v>1</v>
      </c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</row>
    <row r="33" spans="1:42" x14ac:dyDescent="0.25">
      <c r="A33" s="130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</row>
    <row r="34" spans="1:42" x14ac:dyDescent="0.25"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</row>
    <row r="35" spans="1:42" x14ac:dyDescent="0.25">
      <c r="A35" s="130" t="s">
        <v>35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</row>
    <row r="36" spans="1:42" x14ac:dyDescent="0.25">
      <c r="A36" s="130" t="s">
        <v>164</v>
      </c>
      <c r="B36" s="315">
        <f>'12ME Dec18 Norm Therms'!B157/'12ME Dec18 Norm Therms'!B$160</f>
        <v>4.5553261462839272E-2</v>
      </c>
      <c r="C36" s="315">
        <f>'12ME Dec18 Norm Therms'!C157/'12ME Dec18 Norm Therms'!C$160</f>
        <v>3.2279337619321363E-2</v>
      </c>
      <c r="D36" s="315">
        <f>'12ME Dec18 Norm Therms'!D157/'12ME Dec18 Norm Therms'!D$160</f>
        <v>0.1275176939738431</v>
      </c>
      <c r="E36" s="315">
        <f>'12ME Dec18 Norm Therms'!E157/'12ME Dec18 Norm Therms'!E$160</f>
        <v>5.5759991030724564E-2</v>
      </c>
      <c r="F36" s="315">
        <f>'12ME Dec18 Norm Therms'!F157/'12ME Dec18 Norm Therms'!F$160</f>
        <v>5.4735728729699715E-2</v>
      </c>
      <c r="G36" s="315">
        <f>'12ME Dec18 Norm Therms'!G157/'12ME Dec18 Norm Therms'!G$160</f>
        <v>6.4185842112792074E-2</v>
      </c>
      <c r="H36" s="315">
        <f>'12ME Dec18 Norm Therms'!H157/'12ME Dec18 Norm Therms'!H$160</f>
        <v>7.7488722767475288E-2</v>
      </c>
      <c r="I36" s="315">
        <f>'12ME Dec18 Norm Therms'!I157/'12ME Dec18 Norm Therms'!I$160</f>
        <v>4.9871824533001541E-2</v>
      </c>
      <c r="J36" s="315">
        <f>'12ME Dec18 Norm Therms'!J157/'12ME Dec18 Norm Therms'!J$160</f>
        <v>6.5513230378239626E-2</v>
      </c>
      <c r="K36" s="315">
        <f>'12ME Dec18 Norm Therms'!K157/'12ME Dec18 Norm Therms'!K$160</f>
        <v>5.6294978046436385E-2</v>
      </c>
      <c r="L36" s="315">
        <f>'12ME Dec18 Norm Therms'!L157/'12ME Dec18 Norm Therms'!L$160</f>
        <v>4.6140990518755427E-2</v>
      </c>
      <c r="M36" s="315">
        <f>'12ME Dec18 Norm Therms'!M157/'12ME Dec18 Norm Therms'!M$160</f>
        <v>5.7114586549332352E-2</v>
      </c>
      <c r="N36" s="315">
        <f>'12ME Dec18 Norm Therms'!N157/'12ME Dec18 Norm Therms'!N$160</f>
        <v>5.5131686573222989E-2</v>
      </c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</row>
    <row r="37" spans="1:42" x14ac:dyDescent="0.25">
      <c r="A37" s="130" t="s">
        <v>165</v>
      </c>
      <c r="B37" s="315">
        <f>'12ME Dec18 Norm Therms'!B158/'12ME Dec18 Norm Therms'!B$160</f>
        <v>0.18866645892359216</v>
      </c>
      <c r="C37" s="315">
        <f>'12ME Dec18 Norm Therms'!C158/'12ME Dec18 Norm Therms'!C$160</f>
        <v>0.13312847714436685</v>
      </c>
      <c r="D37" s="315">
        <f>'12ME Dec18 Norm Therms'!D158/'12ME Dec18 Norm Therms'!D$160</f>
        <v>0.51947231137669925</v>
      </c>
      <c r="E37" s="315">
        <f>'12ME Dec18 Norm Therms'!E158/'12ME Dec18 Norm Therms'!E$160</f>
        <v>0.21494061595693612</v>
      </c>
      <c r="F37" s="315">
        <f>'12ME Dec18 Norm Therms'!F158/'12ME Dec18 Norm Therms'!F$160</f>
        <v>0.19589842683503084</v>
      </c>
      <c r="G37" s="315">
        <f>'12ME Dec18 Norm Therms'!G158/'12ME Dec18 Norm Therms'!G$160</f>
        <v>0.22220741449903436</v>
      </c>
      <c r="H37" s="315">
        <f>'12ME Dec18 Norm Therms'!H158/'12ME Dec18 Norm Therms'!H$160</f>
        <v>0.26002591103541378</v>
      </c>
      <c r="I37" s="315">
        <f>'12ME Dec18 Norm Therms'!I158/'12ME Dec18 Norm Therms'!I$160</f>
        <v>0.16755034136272062</v>
      </c>
      <c r="J37" s="315">
        <f>'12ME Dec18 Norm Therms'!J158/'12ME Dec18 Norm Therms'!J$160</f>
        <v>0.22490249575660601</v>
      </c>
      <c r="K37" s="315">
        <f>'12ME Dec18 Norm Therms'!K158/'12ME Dec18 Norm Therms'!K$160</f>
        <v>0.21432283021085202</v>
      </c>
      <c r="L37" s="315">
        <f>'12ME Dec18 Norm Therms'!L158/'12ME Dec18 Norm Therms'!L$160</f>
        <v>0.18374157337935346</v>
      </c>
      <c r="M37" s="315">
        <f>'12ME Dec18 Norm Therms'!M158/'12ME Dec18 Norm Therms'!M$160</f>
        <v>0.24098851891456069</v>
      </c>
      <c r="N37" s="315">
        <f>'12ME Dec18 Norm Therms'!N158/'12ME Dec18 Norm Therms'!N$160</f>
        <v>0.20856966543375763</v>
      </c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</row>
    <row r="38" spans="1:42" x14ac:dyDescent="0.25">
      <c r="A38" s="130" t="s">
        <v>166</v>
      </c>
      <c r="B38" s="315">
        <f>'12ME Dec18 Norm Therms'!B159/'12ME Dec18 Norm Therms'!B$160</f>
        <v>0.76578027961356854</v>
      </c>
      <c r="C38" s="315">
        <f>'12ME Dec18 Norm Therms'!C159/'12ME Dec18 Norm Therms'!C$160</f>
        <v>0.83459218523631185</v>
      </c>
      <c r="D38" s="315">
        <f>'12ME Dec18 Norm Therms'!D159/'12ME Dec18 Norm Therms'!D$160</f>
        <v>0.35300999464945776</v>
      </c>
      <c r="E38" s="315">
        <f>'12ME Dec18 Norm Therms'!E159/'12ME Dec18 Norm Therms'!E$160</f>
        <v>0.72929939301233926</v>
      </c>
      <c r="F38" s="315">
        <f>'12ME Dec18 Norm Therms'!F159/'12ME Dec18 Norm Therms'!F$160</f>
        <v>0.74936584443526943</v>
      </c>
      <c r="G38" s="315">
        <f>'12ME Dec18 Norm Therms'!G159/'12ME Dec18 Norm Therms'!G$160</f>
        <v>0.71360674338817354</v>
      </c>
      <c r="H38" s="315">
        <f>'12ME Dec18 Norm Therms'!H159/'12ME Dec18 Norm Therms'!H$160</f>
        <v>0.66248536619711096</v>
      </c>
      <c r="I38" s="315">
        <f>'12ME Dec18 Norm Therms'!I159/'12ME Dec18 Norm Therms'!I$160</f>
        <v>0.78257783410427784</v>
      </c>
      <c r="J38" s="315">
        <f>'12ME Dec18 Norm Therms'!J159/'12ME Dec18 Norm Therms'!J$160</f>
        <v>0.70958427386515444</v>
      </c>
      <c r="K38" s="315">
        <f>'12ME Dec18 Norm Therms'!K159/'12ME Dec18 Norm Therms'!K$160</f>
        <v>0.72938219174271157</v>
      </c>
      <c r="L38" s="315">
        <f>'12ME Dec18 Norm Therms'!L159/'12ME Dec18 Norm Therms'!L$160</f>
        <v>0.7701174361018911</v>
      </c>
      <c r="M38" s="315">
        <f>'12ME Dec18 Norm Therms'!M159/'12ME Dec18 Norm Therms'!M$160</f>
        <v>0.70189689453610693</v>
      </c>
      <c r="N38" s="315">
        <f>'12ME Dec18 Norm Therms'!N159/'12ME Dec18 Norm Therms'!N$160</f>
        <v>0.73629864799301947</v>
      </c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</row>
    <row r="39" spans="1:42" x14ac:dyDescent="0.25">
      <c r="A39" s="130" t="s">
        <v>6</v>
      </c>
      <c r="B39" s="316">
        <f>SUM(B36:B38)</f>
        <v>1</v>
      </c>
      <c r="C39" s="316">
        <f t="shared" ref="C39:N39" si="5">SUM(C36:C38)</f>
        <v>1</v>
      </c>
      <c r="D39" s="316">
        <f t="shared" si="5"/>
        <v>1.0000000000000002</v>
      </c>
      <c r="E39" s="316">
        <f t="shared" si="5"/>
        <v>1</v>
      </c>
      <c r="F39" s="316">
        <f t="shared" si="5"/>
        <v>1</v>
      </c>
      <c r="G39" s="316">
        <f t="shared" si="5"/>
        <v>1</v>
      </c>
      <c r="H39" s="316">
        <f t="shared" si="5"/>
        <v>1</v>
      </c>
      <c r="I39" s="316">
        <f t="shared" si="5"/>
        <v>1</v>
      </c>
      <c r="J39" s="316">
        <f t="shared" si="5"/>
        <v>1</v>
      </c>
      <c r="K39" s="316">
        <f t="shared" si="5"/>
        <v>1</v>
      </c>
      <c r="L39" s="316">
        <f t="shared" si="5"/>
        <v>1</v>
      </c>
      <c r="M39" s="316">
        <f t="shared" si="5"/>
        <v>1</v>
      </c>
      <c r="N39" s="316">
        <f t="shared" si="5"/>
        <v>1</v>
      </c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</row>
    <row r="40" spans="1:42" ht="14.5" x14ac:dyDescent="0.35">
      <c r="A40" s="129"/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</row>
    <row r="41" spans="1:42" ht="14.5" x14ac:dyDescent="0.35">
      <c r="A41" s="130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</row>
    <row r="42" spans="1:42" ht="14.5" x14ac:dyDescent="0.35">
      <c r="A42" s="130" t="s">
        <v>37</v>
      </c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</row>
    <row r="43" spans="1:42" x14ac:dyDescent="0.25">
      <c r="A43" s="130" t="s">
        <v>88</v>
      </c>
      <c r="B43" s="315">
        <f>'12ME Dec18 Norm Therms'!B164/'12ME Dec18 Norm Therms'!B$167</f>
        <v>0.33559717636084468</v>
      </c>
      <c r="C43" s="315">
        <f>'12ME Dec18 Norm Therms'!C164/'12ME Dec18 Norm Therms'!C$167</f>
        <v>0.2434979214122234</v>
      </c>
      <c r="D43" s="315">
        <f>'12ME Dec18 Norm Therms'!D164/'12ME Dec18 Norm Therms'!D$167</f>
        <v>0.6516815889326778</v>
      </c>
      <c r="E43" s="315">
        <f>'12ME Dec18 Norm Therms'!E164/'12ME Dec18 Norm Therms'!E$167</f>
        <v>0.40199160768153364</v>
      </c>
      <c r="F43" s="315">
        <f>'12ME Dec18 Norm Therms'!F164/'12ME Dec18 Norm Therms'!F$167</f>
        <v>0.37705235049014907</v>
      </c>
      <c r="G43" s="315">
        <f>'12ME Dec18 Norm Therms'!G164/'12ME Dec18 Norm Therms'!G$167</f>
        <v>0.3998726581562872</v>
      </c>
      <c r="H43" s="315">
        <f>'12ME Dec18 Norm Therms'!H164/'12ME Dec18 Norm Therms'!H$167</f>
        <v>0.41530616544866278</v>
      </c>
      <c r="I43" s="315">
        <f>'12ME Dec18 Norm Therms'!I164/'12ME Dec18 Norm Therms'!I$167</f>
        <v>0.34516492002566757</v>
      </c>
      <c r="J43" s="315">
        <f>'12ME Dec18 Norm Therms'!J164/'12ME Dec18 Norm Therms'!J$167</f>
        <v>0.46190042483809801</v>
      </c>
      <c r="K43" s="315">
        <f>'12ME Dec18 Norm Therms'!K164/'12ME Dec18 Norm Therms'!K$167</f>
        <v>0.35908655337871315</v>
      </c>
      <c r="L43" s="315">
        <f>'12ME Dec18 Norm Therms'!L164/'12ME Dec18 Norm Therms'!L$167</f>
        <v>0.381473702630656</v>
      </c>
      <c r="M43" s="315">
        <f>'12ME Dec18 Norm Therms'!M164/'12ME Dec18 Norm Therms'!M$167</f>
        <v>0.34884664505110685</v>
      </c>
      <c r="N43" s="315">
        <f>'12ME Dec18 Norm Therms'!N164/'12ME Dec18 Norm Therms'!N$167</f>
        <v>0.37610984791632956</v>
      </c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</row>
    <row r="44" spans="1:42" x14ac:dyDescent="0.25">
      <c r="A44" s="130" t="s">
        <v>89</v>
      </c>
      <c r="B44" s="315">
        <f>'12ME Dec18 Norm Therms'!B165/'12ME Dec18 Norm Therms'!B$167</f>
        <v>0.23513975066818801</v>
      </c>
      <c r="C44" s="315">
        <f>'12ME Dec18 Norm Therms'!C165/'12ME Dec18 Norm Therms'!C$167</f>
        <v>0.15734929822195273</v>
      </c>
      <c r="D44" s="315">
        <f>'12ME Dec18 Norm Therms'!D165/'12ME Dec18 Norm Therms'!D$167</f>
        <v>0.45008551918404788</v>
      </c>
      <c r="E44" s="315">
        <f>'12ME Dec18 Norm Therms'!E165/'12ME Dec18 Norm Therms'!E$167</f>
        <v>0.26491077071540897</v>
      </c>
      <c r="F44" s="315">
        <f>'12ME Dec18 Norm Therms'!F165/'12ME Dec18 Norm Therms'!F$167</f>
        <v>0.26128359064798717</v>
      </c>
      <c r="G44" s="315">
        <f>'12ME Dec18 Norm Therms'!G165/'12ME Dec18 Norm Therms'!G$167</f>
        <v>0.26210072446274157</v>
      </c>
      <c r="H44" s="315">
        <f>'12ME Dec18 Norm Therms'!H165/'12ME Dec18 Norm Therms'!H$167</f>
        <v>0.27323664513660006</v>
      </c>
      <c r="I44" s="315">
        <f>'12ME Dec18 Norm Therms'!I165/'12ME Dec18 Norm Therms'!I$167</f>
        <v>0.22377222907483343</v>
      </c>
      <c r="J44" s="315">
        <f>'12ME Dec18 Norm Therms'!J165/'12ME Dec18 Norm Therms'!J$167</f>
        <v>0.3018162824783121</v>
      </c>
      <c r="K44" s="315">
        <f>'12ME Dec18 Norm Therms'!K165/'12ME Dec18 Norm Therms'!K$167</f>
        <v>0.25543935540254448</v>
      </c>
      <c r="L44" s="315">
        <f>'12ME Dec18 Norm Therms'!L165/'12ME Dec18 Norm Therms'!L$167</f>
        <v>0.23806406271999947</v>
      </c>
      <c r="M44" s="315">
        <f>'12ME Dec18 Norm Therms'!M165/'12ME Dec18 Norm Therms'!M$167</f>
        <v>0.2268930640060263</v>
      </c>
      <c r="N44" s="315">
        <f>'12ME Dec18 Norm Therms'!N165/'12ME Dec18 Norm Therms'!N$167</f>
        <v>0.2505200828762057</v>
      </c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</row>
    <row r="45" spans="1:42" x14ac:dyDescent="0.25">
      <c r="A45" s="130" t="s">
        <v>169</v>
      </c>
      <c r="B45" s="315">
        <f>'12ME Dec18 Norm Therms'!B166/'12ME Dec18 Norm Therms'!B$167</f>
        <v>0.42926307297096733</v>
      </c>
      <c r="C45" s="315">
        <f>'12ME Dec18 Norm Therms'!C166/'12ME Dec18 Norm Therms'!C$167</f>
        <v>0.59915278036582376</v>
      </c>
      <c r="D45" s="315">
        <f>'12ME Dec18 Norm Therms'!D166/'12ME Dec18 Norm Therms'!D$167</f>
        <v>-0.10176710811672571</v>
      </c>
      <c r="E45" s="315">
        <f>'12ME Dec18 Norm Therms'!E166/'12ME Dec18 Norm Therms'!E$167</f>
        <v>0.33309762160305745</v>
      </c>
      <c r="F45" s="315">
        <f>'12ME Dec18 Norm Therms'!F166/'12ME Dec18 Norm Therms'!F$167</f>
        <v>0.36166405886186381</v>
      </c>
      <c r="G45" s="315">
        <f>'12ME Dec18 Norm Therms'!G166/'12ME Dec18 Norm Therms'!G$167</f>
        <v>0.33802661738097128</v>
      </c>
      <c r="H45" s="315">
        <f>'12ME Dec18 Norm Therms'!H166/'12ME Dec18 Norm Therms'!H$167</f>
        <v>0.31145718941473716</v>
      </c>
      <c r="I45" s="315">
        <f>'12ME Dec18 Norm Therms'!I166/'12ME Dec18 Norm Therms'!I$167</f>
        <v>0.43106285089949903</v>
      </c>
      <c r="J45" s="315">
        <f>'12ME Dec18 Norm Therms'!J166/'12ME Dec18 Norm Therms'!J$167</f>
        <v>0.2362832926835898</v>
      </c>
      <c r="K45" s="315">
        <f>'12ME Dec18 Norm Therms'!K166/'12ME Dec18 Norm Therms'!K$167</f>
        <v>0.38547409121874249</v>
      </c>
      <c r="L45" s="315">
        <f>'12ME Dec18 Norm Therms'!L166/'12ME Dec18 Norm Therms'!L$167</f>
        <v>0.38046223464934464</v>
      </c>
      <c r="M45" s="315">
        <f>'12ME Dec18 Norm Therms'!M166/'12ME Dec18 Norm Therms'!M$167</f>
        <v>0.42426029094286694</v>
      </c>
      <c r="N45" s="315">
        <f>'12ME Dec18 Norm Therms'!N166/'12ME Dec18 Norm Therms'!N$167</f>
        <v>0.37337006920746468</v>
      </c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</row>
    <row r="46" spans="1:42" x14ac:dyDescent="0.25">
      <c r="A46" s="130" t="s">
        <v>6</v>
      </c>
      <c r="B46" s="316">
        <f>SUM(B43:B45)</f>
        <v>1</v>
      </c>
      <c r="C46" s="316">
        <f t="shared" ref="C46:N46" si="6">SUM(C43:C45)</f>
        <v>0.99999999999999989</v>
      </c>
      <c r="D46" s="316">
        <f t="shared" si="6"/>
        <v>1</v>
      </c>
      <c r="E46" s="316">
        <f t="shared" si="6"/>
        <v>1</v>
      </c>
      <c r="F46" s="316">
        <f t="shared" si="6"/>
        <v>1</v>
      </c>
      <c r="G46" s="316">
        <f t="shared" si="6"/>
        <v>1</v>
      </c>
      <c r="H46" s="316">
        <f t="shared" si="6"/>
        <v>1</v>
      </c>
      <c r="I46" s="316">
        <f t="shared" si="6"/>
        <v>1</v>
      </c>
      <c r="J46" s="316">
        <f t="shared" si="6"/>
        <v>1</v>
      </c>
      <c r="K46" s="316">
        <f t="shared" si="6"/>
        <v>1</v>
      </c>
      <c r="L46" s="316">
        <f t="shared" si="6"/>
        <v>1.0000000000000002</v>
      </c>
      <c r="M46" s="316">
        <f t="shared" si="6"/>
        <v>1</v>
      </c>
      <c r="N46" s="316">
        <f t="shared" si="6"/>
        <v>1</v>
      </c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</row>
    <row r="47" spans="1:42" s="131" customFormat="1" ht="14.5" x14ac:dyDescent="0.35">
      <c r="A47" s="130"/>
      <c r="B47" s="317"/>
      <c r="C47" s="317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</row>
    <row r="48" spans="1:42" ht="14.5" x14ac:dyDescent="0.35">
      <c r="A48" s="130"/>
      <c r="B48" s="317"/>
      <c r="C48" s="317"/>
      <c r="D48" s="317"/>
      <c r="E48" s="317"/>
      <c r="F48" s="317"/>
      <c r="G48" s="317"/>
      <c r="H48" s="317"/>
      <c r="I48" s="317"/>
      <c r="J48" s="317"/>
      <c r="K48" s="317"/>
      <c r="L48" s="317"/>
      <c r="M48" s="317"/>
      <c r="N48" s="317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</row>
    <row r="49" spans="1:42" ht="14.5" x14ac:dyDescent="0.35">
      <c r="A49" s="129" t="s">
        <v>39</v>
      </c>
      <c r="B49" s="317"/>
      <c r="C49" s="317"/>
      <c r="D49" s="317"/>
      <c r="E49" s="317"/>
      <c r="F49" s="317"/>
      <c r="G49" s="317"/>
      <c r="H49" s="317"/>
      <c r="I49" s="317"/>
      <c r="J49" s="317"/>
      <c r="K49" s="317"/>
      <c r="L49" s="317"/>
      <c r="M49" s="317"/>
      <c r="N49" s="317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</row>
    <row r="50" spans="1:42" x14ac:dyDescent="0.25">
      <c r="A50" s="130" t="s">
        <v>94</v>
      </c>
      <c r="B50" s="315">
        <f>'12ME Dec18 Norm Therms'!B171/'12ME Dec18 Norm Therms'!B$173</f>
        <v>4.0531826197907989E-2</v>
      </c>
      <c r="C50" s="315">
        <f>'12ME Dec18 Norm Therms'!C171/'12ME Dec18 Norm Therms'!C$173</f>
        <v>4.6231133941072408E-2</v>
      </c>
      <c r="D50" s="315">
        <f>'12ME Dec18 Norm Therms'!D171/'12ME Dec18 Norm Therms'!D$173</f>
        <v>4.1668654608730302E-2</v>
      </c>
      <c r="E50" s="315">
        <f>'12ME Dec18 Norm Therms'!E171/'12ME Dec18 Norm Therms'!E$173</f>
        <v>9.7223349743014331E-2</v>
      </c>
      <c r="F50" s="315">
        <f>'12ME Dec18 Norm Therms'!F171/'12ME Dec18 Norm Therms'!F$173</f>
        <v>6.921754069385741E-2</v>
      </c>
      <c r="G50" s="315">
        <f>'12ME Dec18 Norm Therms'!G171/'12ME Dec18 Norm Therms'!G$173</f>
        <v>0.11495831599352488</v>
      </c>
      <c r="H50" s="315">
        <f>'12ME Dec18 Norm Therms'!H171/'12ME Dec18 Norm Therms'!H$173</f>
        <v>8.5919315521518019E-2</v>
      </c>
      <c r="I50" s="315">
        <f>'12ME Dec18 Norm Therms'!I171/'12ME Dec18 Norm Therms'!I$173</f>
        <v>0.14732053412532853</v>
      </c>
      <c r="J50" s="315">
        <f>'12ME Dec18 Norm Therms'!J171/'12ME Dec18 Norm Therms'!J$173</f>
        <v>8.8554904252041253E-2</v>
      </c>
      <c r="K50" s="315">
        <f>'12ME Dec18 Norm Therms'!K171/'12ME Dec18 Norm Therms'!K$173</f>
        <v>5.4218146985486854E-2</v>
      </c>
      <c r="L50" s="315">
        <f>'12ME Dec18 Norm Therms'!L171/'12ME Dec18 Norm Therms'!L$173</f>
        <v>6.5687071716871187E-2</v>
      </c>
      <c r="M50" s="315">
        <f>'12ME Dec18 Norm Therms'!M171/'12ME Dec18 Norm Therms'!M$173</f>
        <v>7.083329348960575E-2</v>
      </c>
      <c r="N50" s="315">
        <f>'12ME Dec18 Norm Therms'!N171/'12ME Dec18 Norm Therms'!N$173</f>
        <v>6.5506735709701572E-2</v>
      </c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</row>
    <row r="51" spans="1:42" x14ac:dyDescent="0.25">
      <c r="A51" s="130" t="s">
        <v>172</v>
      </c>
      <c r="B51" s="315">
        <f>'12ME Dec18 Norm Therms'!B172/'12ME Dec18 Norm Therms'!B$173</f>
        <v>0.95946817380209204</v>
      </c>
      <c r="C51" s="315">
        <f>'12ME Dec18 Norm Therms'!C172/'12ME Dec18 Norm Therms'!C$173</f>
        <v>0.95376886605892763</v>
      </c>
      <c r="D51" s="315">
        <f>'12ME Dec18 Norm Therms'!D172/'12ME Dec18 Norm Therms'!D$173</f>
        <v>0.95833134539126974</v>
      </c>
      <c r="E51" s="315">
        <f>'12ME Dec18 Norm Therms'!E172/'12ME Dec18 Norm Therms'!E$173</f>
        <v>0.90277665025698561</v>
      </c>
      <c r="F51" s="315">
        <f>'12ME Dec18 Norm Therms'!F172/'12ME Dec18 Norm Therms'!F$173</f>
        <v>0.93078245930614256</v>
      </c>
      <c r="G51" s="315">
        <f>'12ME Dec18 Norm Therms'!G172/'12ME Dec18 Norm Therms'!G$173</f>
        <v>0.88504168400647509</v>
      </c>
      <c r="H51" s="315">
        <f>'12ME Dec18 Norm Therms'!H172/'12ME Dec18 Norm Therms'!H$173</f>
        <v>0.9140806844784819</v>
      </c>
      <c r="I51" s="315">
        <f>'12ME Dec18 Norm Therms'!I172/'12ME Dec18 Norm Therms'!I$173</f>
        <v>0.85267946587467147</v>
      </c>
      <c r="J51" s="315">
        <f>'12ME Dec18 Norm Therms'!J172/'12ME Dec18 Norm Therms'!J$173</f>
        <v>0.91144509574795873</v>
      </c>
      <c r="K51" s="315">
        <f>'12ME Dec18 Norm Therms'!K172/'12ME Dec18 Norm Therms'!K$173</f>
        <v>0.94578185301451312</v>
      </c>
      <c r="L51" s="315">
        <f>'12ME Dec18 Norm Therms'!L172/'12ME Dec18 Norm Therms'!L$173</f>
        <v>0.93431292828312884</v>
      </c>
      <c r="M51" s="315">
        <f>'12ME Dec18 Norm Therms'!M172/'12ME Dec18 Norm Therms'!M$173</f>
        <v>0.92916670651039424</v>
      </c>
      <c r="N51" s="315">
        <f>'12ME Dec18 Norm Therms'!N172/'12ME Dec18 Norm Therms'!N$173</f>
        <v>0.93449326429029844</v>
      </c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</row>
    <row r="52" spans="1:42" x14ac:dyDescent="0.25">
      <c r="A52" s="130" t="s">
        <v>6</v>
      </c>
      <c r="B52" s="316">
        <f>SUM(B50:B51)</f>
        <v>1</v>
      </c>
      <c r="C52" s="316">
        <f t="shared" ref="C52:M52" si="7">SUM(C50:C51)</f>
        <v>1</v>
      </c>
      <c r="D52" s="316">
        <f t="shared" si="7"/>
        <v>1</v>
      </c>
      <c r="E52" s="316">
        <f t="shared" si="7"/>
        <v>1</v>
      </c>
      <c r="F52" s="316">
        <f t="shared" si="7"/>
        <v>1</v>
      </c>
      <c r="G52" s="316">
        <f t="shared" si="7"/>
        <v>1</v>
      </c>
      <c r="H52" s="316">
        <f t="shared" si="7"/>
        <v>0.99999999999999989</v>
      </c>
      <c r="I52" s="316">
        <f t="shared" si="7"/>
        <v>1</v>
      </c>
      <c r="J52" s="316">
        <f t="shared" si="7"/>
        <v>1</v>
      </c>
      <c r="K52" s="316">
        <f t="shared" si="7"/>
        <v>1</v>
      </c>
      <c r="L52" s="316">
        <f t="shared" si="7"/>
        <v>1</v>
      </c>
      <c r="M52" s="316">
        <f t="shared" si="7"/>
        <v>1</v>
      </c>
      <c r="N52" s="316">
        <f>SUM(N50:N51)</f>
        <v>1</v>
      </c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</row>
    <row r="53" spans="1:42" x14ac:dyDescent="0.25">
      <c r="A53" s="130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</row>
    <row r="54" spans="1:42" ht="14.5" x14ac:dyDescent="0.35">
      <c r="A54" s="130"/>
      <c r="B54" s="317"/>
      <c r="C54" s="317"/>
      <c r="D54" s="317"/>
      <c r="E54" s="317"/>
      <c r="F54" s="317"/>
      <c r="G54" s="317"/>
      <c r="H54" s="317"/>
      <c r="I54" s="317"/>
      <c r="J54" s="317"/>
      <c r="K54" s="317"/>
      <c r="L54" s="317"/>
      <c r="M54" s="317"/>
      <c r="N54" s="317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</row>
    <row r="55" spans="1:42" ht="14.5" x14ac:dyDescent="0.35">
      <c r="A55" s="130" t="s">
        <v>41</v>
      </c>
      <c r="B55" s="317"/>
      <c r="C55" s="317"/>
      <c r="D55" s="317"/>
      <c r="E55" s="317"/>
      <c r="F55" s="317"/>
      <c r="G55" s="317"/>
      <c r="H55" s="317"/>
      <c r="I55" s="317"/>
      <c r="J55" s="317"/>
      <c r="K55" s="317"/>
      <c r="L55" s="317"/>
      <c r="M55" s="317"/>
      <c r="N55" s="317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</row>
    <row r="56" spans="1:42" x14ac:dyDescent="0.25">
      <c r="A56" s="130" t="s">
        <v>88</v>
      </c>
      <c r="B56" s="315">
        <f>'12ME Dec18 Norm Therms'!B177/'12ME Dec18 Norm Therms'!B$183</f>
        <v>2.8998880729144361E-2</v>
      </c>
      <c r="C56" s="315">
        <f>'12ME Dec18 Norm Therms'!C177/'12ME Dec18 Norm Therms'!C$183</f>
        <v>2.0657138613826689E-2</v>
      </c>
      <c r="D56" s="315">
        <f>'12ME Dec18 Norm Therms'!D177/'12ME Dec18 Norm Therms'!D$183</f>
        <v>4.004908032977763E-2</v>
      </c>
      <c r="E56" s="315">
        <f>'12ME Dec18 Norm Therms'!E177/'12ME Dec18 Norm Therms'!E$183</f>
        <v>3.0309653146825613E-2</v>
      </c>
      <c r="F56" s="315">
        <f>'12ME Dec18 Norm Therms'!F177/'12ME Dec18 Norm Therms'!F$183</f>
        <v>2.9884862700353173E-2</v>
      </c>
      <c r="G56" s="315">
        <f>'12ME Dec18 Norm Therms'!G177/'12ME Dec18 Norm Therms'!G$183</f>
        <v>3.2566360559120981E-2</v>
      </c>
      <c r="H56" s="315">
        <f>'12ME Dec18 Norm Therms'!H177/'12ME Dec18 Norm Therms'!H$183</f>
        <v>2.9007457567876573E-2</v>
      </c>
      <c r="I56" s="315">
        <f>'12ME Dec18 Norm Therms'!I177/'12ME Dec18 Norm Therms'!I$183</f>
        <v>2.8759394848770891E-2</v>
      </c>
      <c r="J56" s="315">
        <f>'12ME Dec18 Norm Therms'!J177/'12ME Dec18 Norm Therms'!J$183</f>
        <v>3.2530867955046915E-2</v>
      </c>
      <c r="K56" s="315">
        <f>'12ME Dec18 Norm Therms'!K177/'12ME Dec18 Norm Therms'!K$183</f>
        <v>2.8163506274519051E-2</v>
      </c>
      <c r="L56" s="315">
        <f>'12ME Dec18 Norm Therms'!L177/'12ME Dec18 Norm Therms'!L$183</f>
        <v>3.9881883062917317E-2</v>
      </c>
      <c r="M56" s="315">
        <f>'12ME Dec18 Norm Therms'!M177/'12ME Dec18 Norm Therms'!M$183</f>
        <v>2.7643851036076555E-2</v>
      </c>
      <c r="N56" s="315">
        <f>'12ME Dec18 Norm Therms'!N177/'12ME Dec18 Norm Therms'!N$183</f>
        <v>2.9868242706397444E-2</v>
      </c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</row>
    <row r="57" spans="1:42" x14ac:dyDescent="0.25">
      <c r="A57" s="130" t="s">
        <v>89</v>
      </c>
      <c r="B57" s="315">
        <f>'12ME Dec18 Norm Therms'!B178/'12ME Dec18 Norm Therms'!B$183</f>
        <v>2.8998880729144361E-2</v>
      </c>
      <c r="C57" s="315">
        <f>'12ME Dec18 Norm Therms'!C178/'12ME Dec18 Norm Therms'!C$183</f>
        <v>2.0657138613826689E-2</v>
      </c>
      <c r="D57" s="315">
        <f>'12ME Dec18 Norm Therms'!D178/'12ME Dec18 Norm Therms'!D$183</f>
        <v>4.004908032977763E-2</v>
      </c>
      <c r="E57" s="315">
        <f>'12ME Dec18 Norm Therms'!E178/'12ME Dec18 Norm Therms'!E$183</f>
        <v>3.0309653146825613E-2</v>
      </c>
      <c r="F57" s="315">
        <f>'12ME Dec18 Norm Therms'!F178/'12ME Dec18 Norm Therms'!F$183</f>
        <v>2.9884862700353173E-2</v>
      </c>
      <c r="G57" s="315">
        <f>'12ME Dec18 Norm Therms'!G178/'12ME Dec18 Norm Therms'!G$183</f>
        <v>3.2566360559120981E-2</v>
      </c>
      <c r="H57" s="315">
        <f>'12ME Dec18 Norm Therms'!H178/'12ME Dec18 Norm Therms'!H$183</f>
        <v>2.9007457567876573E-2</v>
      </c>
      <c r="I57" s="315">
        <f>'12ME Dec18 Norm Therms'!I178/'12ME Dec18 Norm Therms'!I$183</f>
        <v>2.8759394848770891E-2</v>
      </c>
      <c r="J57" s="315">
        <f>'12ME Dec18 Norm Therms'!J178/'12ME Dec18 Norm Therms'!J$183</f>
        <v>3.2530867955046915E-2</v>
      </c>
      <c r="K57" s="315">
        <f>'12ME Dec18 Norm Therms'!K178/'12ME Dec18 Norm Therms'!K$183</f>
        <v>2.8163506274519051E-2</v>
      </c>
      <c r="L57" s="315">
        <f>'12ME Dec18 Norm Therms'!L178/'12ME Dec18 Norm Therms'!L$183</f>
        <v>3.9881883062917317E-2</v>
      </c>
      <c r="M57" s="315">
        <f>'12ME Dec18 Norm Therms'!M178/'12ME Dec18 Norm Therms'!M$183</f>
        <v>2.7643851036076555E-2</v>
      </c>
      <c r="N57" s="315">
        <f>'12ME Dec18 Norm Therms'!N178/'12ME Dec18 Norm Therms'!N$183</f>
        <v>2.9868242706397444E-2</v>
      </c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</row>
    <row r="58" spans="1:42" x14ac:dyDescent="0.25">
      <c r="A58" s="130" t="s">
        <v>99</v>
      </c>
      <c r="B58" s="315">
        <f>'12ME Dec18 Norm Therms'!B179/'12ME Dec18 Norm Therms'!B$183</f>
        <v>5.7997761458288721E-2</v>
      </c>
      <c r="C58" s="315">
        <f>'12ME Dec18 Norm Therms'!C179/'12ME Dec18 Norm Therms'!C$183</f>
        <v>4.1314277227653379E-2</v>
      </c>
      <c r="D58" s="315">
        <f>'12ME Dec18 Norm Therms'!D179/'12ME Dec18 Norm Therms'!D$183</f>
        <v>8.0098160659555259E-2</v>
      </c>
      <c r="E58" s="315">
        <f>'12ME Dec18 Norm Therms'!E179/'12ME Dec18 Norm Therms'!E$183</f>
        <v>6.0619306293651226E-2</v>
      </c>
      <c r="F58" s="315">
        <f>'12ME Dec18 Norm Therms'!F179/'12ME Dec18 Norm Therms'!F$183</f>
        <v>5.9769725400706346E-2</v>
      </c>
      <c r="G58" s="315">
        <f>'12ME Dec18 Norm Therms'!G179/'12ME Dec18 Norm Therms'!G$183</f>
        <v>6.5132721118241962E-2</v>
      </c>
      <c r="H58" s="315">
        <f>'12ME Dec18 Norm Therms'!H179/'12ME Dec18 Norm Therms'!H$183</f>
        <v>5.6209419038233739E-2</v>
      </c>
      <c r="I58" s="315">
        <f>'12ME Dec18 Norm Therms'!I179/'12ME Dec18 Norm Therms'!I$183</f>
        <v>5.7518789697541782E-2</v>
      </c>
      <c r="J58" s="315">
        <f>'12ME Dec18 Norm Therms'!J179/'12ME Dec18 Norm Therms'!J$183</f>
        <v>6.5061735910093829E-2</v>
      </c>
      <c r="K58" s="315">
        <f>'12ME Dec18 Norm Therms'!K179/'12ME Dec18 Norm Therms'!K$183</f>
        <v>5.6249968461273524E-2</v>
      </c>
      <c r="L58" s="315">
        <f>'12ME Dec18 Norm Therms'!L179/'12ME Dec18 Norm Therms'!L$183</f>
        <v>7.9763766125834634E-2</v>
      </c>
      <c r="M58" s="315">
        <f>'12ME Dec18 Norm Therms'!M179/'12ME Dec18 Norm Therms'!M$183</f>
        <v>5.5287702072153111E-2</v>
      </c>
      <c r="N58" s="315">
        <f>'12ME Dec18 Norm Therms'!N179/'12ME Dec18 Norm Therms'!N$183</f>
        <v>5.9574753657458575E-2</v>
      </c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</row>
    <row r="59" spans="1:42" x14ac:dyDescent="0.25">
      <c r="A59" s="130" t="s">
        <v>100</v>
      </c>
      <c r="B59" s="315">
        <f>'12ME Dec18 Norm Therms'!B180/'12ME Dec18 Norm Therms'!B$183</f>
        <v>0.11599552291657744</v>
      </c>
      <c r="C59" s="315">
        <f>'12ME Dec18 Norm Therms'!C180/'12ME Dec18 Norm Therms'!C$183</f>
        <v>8.1400163660781302E-2</v>
      </c>
      <c r="D59" s="315">
        <f>'12ME Dec18 Norm Therms'!D180/'12ME Dec18 Norm Therms'!D$183</f>
        <v>0.16019632131911052</v>
      </c>
      <c r="E59" s="315">
        <f>'12ME Dec18 Norm Therms'!E180/'12ME Dec18 Norm Therms'!E$183</f>
        <v>0.12100141287893378</v>
      </c>
      <c r="F59" s="315">
        <f>'12ME Dec18 Norm Therms'!F180/'12ME Dec18 Norm Therms'!F$183</f>
        <v>0.11909304984870693</v>
      </c>
      <c r="G59" s="315">
        <f>'12ME Dec18 Norm Therms'!G180/'12ME Dec18 Norm Therms'!G$183</f>
        <v>0.1268427919930224</v>
      </c>
      <c r="H59" s="315">
        <f>'12ME Dec18 Norm Therms'!H180/'12ME Dec18 Norm Therms'!H$183</f>
        <v>0.10442684724435566</v>
      </c>
      <c r="I59" s="315">
        <f>'12ME Dec18 Norm Therms'!I180/'12ME Dec18 Norm Therms'!I$183</f>
        <v>0.10876865022022865</v>
      </c>
      <c r="J59" s="315">
        <f>'12ME Dec18 Norm Therms'!J180/'12ME Dec18 Norm Therms'!J$183</f>
        <v>0.12407687481312642</v>
      </c>
      <c r="K59" s="315">
        <f>'12ME Dec18 Norm Therms'!K180/'12ME Dec18 Norm Therms'!K$183</f>
        <v>0.11151487435552597</v>
      </c>
      <c r="L59" s="315">
        <f>'12ME Dec18 Norm Therms'!L180/'12ME Dec18 Norm Therms'!L$183</f>
        <v>0.15928505040264673</v>
      </c>
      <c r="M59" s="315">
        <f>'12ME Dec18 Norm Therms'!M180/'12ME Dec18 Norm Therms'!M$183</f>
        <v>0.11023695715880941</v>
      </c>
      <c r="N59" s="315">
        <f>'12ME Dec18 Norm Therms'!N180/'12ME Dec18 Norm Therms'!N$183</f>
        <v>0.11685962752441961</v>
      </c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</row>
    <row r="60" spans="1:42" x14ac:dyDescent="0.25">
      <c r="A60" s="130" t="s">
        <v>101</v>
      </c>
      <c r="B60" s="315">
        <f>'12ME Dec18 Norm Therms'!B181/'12ME Dec18 Norm Therms'!B$183</f>
        <v>0.26345356127330055</v>
      </c>
      <c r="C60" s="315">
        <f>'12ME Dec18 Norm Therms'!C181/'12ME Dec18 Norm Therms'!C$183</f>
        <v>0.18608526962759517</v>
      </c>
      <c r="D60" s="315">
        <f>'12ME Dec18 Norm Therms'!D181/'12ME Dec18 Norm Therms'!D$183</f>
        <v>0.36142215008588308</v>
      </c>
      <c r="E60" s="315">
        <f>'12ME Dec18 Norm Therms'!E181/'12ME Dec18 Norm Therms'!E$183</f>
        <v>0.26708909998883262</v>
      </c>
      <c r="F60" s="315">
        <f>'12ME Dec18 Norm Therms'!F181/'12ME Dec18 Norm Therms'!F$183</f>
        <v>0.25676115445287473</v>
      </c>
      <c r="G60" s="315">
        <f>'12ME Dec18 Norm Therms'!G181/'12ME Dec18 Norm Therms'!G$183</f>
        <v>0.27811848427163549</v>
      </c>
      <c r="H60" s="315">
        <f>'12ME Dec18 Norm Therms'!H181/'12ME Dec18 Norm Therms'!H$183</f>
        <v>0.25048761449149237</v>
      </c>
      <c r="I60" s="315">
        <f>'12ME Dec18 Norm Therms'!I181/'12ME Dec18 Norm Therms'!I$183</f>
        <v>0.24877139520093314</v>
      </c>
      <c r="J60" s="315">
        <f>'12ME Dec18 Norm Therms'!J181/'12ME Dec18 Norm Therms'!J$183</f>
        <v>0.27380007876633988</v>
      </c>
      <c r="K60" s="315">
        <f>'12ME Dec18 Norm Therms'!K181/'12ME Dec18 Norm Therms'!K$183</f>
        <v>0.23868630598364043</v>
      </c>
      <c r="L60" s="315">
        <f>'12ME Dec18 Norm Therms'!L181/'12ME Dec18 Norm Therms'!L$183</f>
        <v>0.34914410273131219</v>
      </c>
      <c r="M60" s="315">
        <f>'12ME Dec18 Norm Therms'!M181/'12ME Dec18 Norm Therms'!M$183</f>
        <v>0.24938875111579722</v>
      </c>
      <c r="N60" s="315">
        <f>'12ME Dec18 Norm Therms'!N181/'12ME Dec18 Norm Therms'!N$183</f>
        <v>0.26138303536435248</v>
      </c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</row>
    <row r="61" spans="1:42" x14ac:dyDescent="0.25">
      <c r="A61" s="130" t="s">
        <v>174</v>
      </c>
      <c r="B61" s="315">
        <f>'12ME Dec18 Norm Therms'!B182/'12ME Dec18 Norm Therms'!B$183</f>
        <v>0.50455539289354456</v>
      </c>
      <c r="C61" s="315">
        <f>'12ME Dec18 Norm Therms'!C182/'12ME Dec18 Norm Therms'!C$183</f>
        <v>0.64988601225631681</v>
      </c>
      <c r="D61" s="315">
        <f>'12ME Dec18 Norm Therms'!D182/'12ME Dec18 Norm Therms'!D$183</f>
        <v>0.31818520727589594</v>
      </c>
      <c r="E61" s="315">
        <f>'12ME Dec18 Norm Therms'!E182/'12ME Dec18 Norm Therms'!E$183</f>
        <v>0.49067087454493113</v>
      </c>
      <c r="F61" s="315">
        <f>'12ME Dec18 Norm Therms'!F182/'12ME Dec18 Norm Therms'!F$183</f>
        <v>0.50460634489700573</v>
      </c>
      <c r="G61" s="315">
        <f>'12ME Dec18 Norm Therms'!G182/'12ME Dec18 Norm Therms'!G$183</f>
        <v>0.46477328149885822</v>
      </c>
      <c r="H61" s="315">
        <f>'12ME Dec18 Norm Therms'!H182/'12ME Dec18 Norm Therms'!H$183</f>
        <v>0.53086120409016524</v>
      </c>
      <c r="I61" s="315">
        <f>'12ME Dec18 Norm Therms'!I182/'12ME Dec18 Norm Therms'!I$183</f>
        <v>0.52742237518375468</v>
      </c>
      <c r="J61" s="315">
        <f>'12ME Dec18 Norm Therms'!J182/'12ME Dec18 Norm Therms'!J$183</f>
        <v>0.47199957460034597</v>
      </c>
      <c r="K61" s="315">
        <f>'12ME Dec18 Norm Therms'!K182/'12ME Dec18 Norm Therms'!K$183</f>
        <v>0.53722183865052198</v>
      </c>
      <c r="L61" s="315">
        <f>'12ME Dec18 Norm Therms'!L182/'12ME Dec18 Norm Therms'!L$183</f>
        <v>0.33204331461437181</v>
      </c>
      <c r="M61" s="315">
        <f>'12ME Dec18 Norm Therms'!M182/'12ME Dec18 Norm Therms'!M$183</f>
        <v>0.52979888758108717</v>
      </c>
      <c r="N61" s="315">
        <f>'12ME Dec18 Norm Therms'!N182/'12ME Dec18 Norm Therms'!N$183</f>
        <v>0.5024460980409744</v>
      </c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</row>
    <row r="62" spans="1:42" x14ac:dyDescent="0.25">
      <c r="A62" s="130" t="s">
        <v>6</v>
      </c>
      <c r="B62" s="316">
        <f>SUM(B56:B61)</f>
        <v>1</v>
      </c>
      <c r="C62" s="316">
        <f t="shared" ref="C62:N62" si="8">SUM(C56:C61)</f>
        <v>1</v>
      </c>
      <c r="D62" s="316">
        <f t="shared" si="8"/>
        <v>1</v>
      </c>
      <c r="E62" s="316">
        <f t="shared" si="8"/>
        <v>1</v>
      </c>
      <c r="F62" s="316">
        <f t="shared" si="8"/>
        <v>1</v>
      </c>
      <c r="G62" s="316">
        <f t="shared" si="8"/>
        <v>1</v>
      </c>
      <c r="H62" s="316">
        <f t="shared" si="8"/>
        <v>1.0000000000000002</v>
      </c>
      <c r="I62" s="316">
        <f t="shared" si="8"/>
        <v>1</v>
      </c>
      <c r="J62" s="316">
        <f t="shared" si="8"/>
        <v>1</v>
      </c>
      <c r="K62" s="316">
        <f t="shared" si="8"/>
        <v>1</v>
      </c>
      <c r="L62" s="316">
        <f t="shared" si="8"/>
        <v>1</v>
      </c>
      <c r="M62" s="316">
        <f t="shared" si="8"/>
        <v>1</v>
      </c>
      <c r="N62" s="316">
        <f t="shared" si="8"/>
        <v>1</v>
      </c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</row>
    <row r="63" spans="1:42" ht="14.5" x14ac:dyDescent="0.35">
      <c r="A63" s="130"/>
      <c r="B63" s="317"/>
      <c r="C63" s="317"/>
      <c r="D63" s="317"/>
      <c r="E63" s="317"/>
      <c r="F63" s="317"/>
      <c r="G63" s="317"/>
      <c r="H63" s="317"/>
      <c r="I63" s="317"/>
      <c r="J63" s="317"/>
      <c r="K63" s="317"/>
      <c r="L63" s="317"/>
      <c r="M63" s="317"/>
      <c r="N63" s="317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</row>
    <row r="65" spans="2:13" x14ac:dyDescent="0.25"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</row>
    <row r="66" spans="2:13" x14ac:dyDescent="0.25"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</row>
  </sheetData>
  <printOptions horizontalCentered="1"/>
  <pageMargins left="0.5" right="0.5" top="1" bottom="1" header="0.5" footer="0.5"/>
  <pageSetup scale="78" fitToHeight="2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1" manualBreakCount="1">
    <brk id="18" max="1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6"/>
  <sheetViews>
    <sheetView topLeftCell="A157" zoomScaleNormal="100" workbookViewId="0">
      <selection activeCell="M192" sqref="M192"/>
    </sheetView>
  </sheetViews>
  <sheetFormatPr defaultColWidth="9.1796875" defaultRowHeight="12.5" x14ac:dyDescent="0.25"/>
  <cols>
    <col min="1" max="1" width="25.7265625" style="235" customWidth="1"/>
    <col min="2" max="2" width="12.81640625" style="235" bestFit="1" customWidth="1"/>
    <col min="3" max="13" width="11.54296875" style="235" bestFit="1" customWidth="1"/>
    <col min="14" max="14" width="13.453125" style="235" customWidth="1"/>
    <col min="15" max="15" width="9.1796875" style="235" customWidth="1"/>
    <col min="16" max="27" width="10.453125" style="235" bestFit="1" customWidth="1"/>
    <col min="28" max="28" width="11.453125" style="235" bestFit="1" customWidth="1"/>
    <col min="29" max="16384" width="9.1796875" style="235"/>
  </cols>
  <sheetData>
    <row r="1" spans="1:14" x14ac:dyDescent="0.25">
      <c r="A1" s="235" t="s">
        <v>0</v>
      </c>
    </row>
    <row r="2" spans="1:14" x14ac:dyDescent="0.25">
      <c r="A2" s="235" t="s">
        <v>185</v>
      </c>
    </row>
    <row r="4" spans="1:14" x14ac:dyDescent="0.25">
      <c r="A4" s="202" t="s">
        <v>162</v>
      </c>
      <c r="B4" s="324">
        <f>'12ME Dec18 Cal Bill Freq'!B4</f>
        <v>43101</v>
      </c>
      <c r="C4" s="324">
        <f>'12ME Dec18 Cal Bill Freq'!C4</f>
        <v>43132</v>
      </c>
      <c r="D4" s="324">
        <f>'12ME Dec18 Cal Bill Freq'!D4</f>
        <v>43160</v>
      </c>
      <c r="E4" s="324">
        <f>'12ME Dec18 Cal Bill Freq'!E4</f>
        <v>43191</v>
      </c>
      <c r="F4" s="324">
        <f>'12ME Dec18 Cal Bill Freq'!F4</f>
        <v>43221</v>
      </c>
      <c r="G4" s="324">
        <f>'12ME Dec18 Cal Bill Freq'!G4</f>
        <v>43252</v>
      </c>
      <c r="H4" s="324">
        <f>'12ME Dec18 Cal Bill Freq'!H4</f>
        <v>43282</v>
      </c>
      <c r="I4" s="324">
        <f>'12ME Dec18 Cal Bill Freq'!I4</f>
        <v>43313</v>
      </c>
      <c r="J4" s="324">
        <f>'12ME Dec18 Cal Bill Freq'!J4</f>
        <v>43344</v>
      </c>
      <c r="K4" s="324">
        <f>'12ME Dec18 Cal Bill Freq'!K4</f>
        <v>43374</v>
      </c>
      <c r="L4" s="324">
        <f>'12ME Dec18 Cal Bill Freq'!L4</f>
        <v>43405</v>
      </c>
      <c r="M4" s="324">
        <f>'12ME Dec18 Cal Bill Freq'!M4</f>
        <v>43435</v>
      </c>
      <c r="N4" s="204" t="s">
        <v>190</v>
      </c>
    </row>
    <row r="5" spans="1:14" x14ac:dyDescent="0.25">
      <c r="A5" s="133" t="s">
        <v>176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</row>
    <row r="6" spans="1:14" x14ac:dyDescent="0.25">
      <c r="A6" s="130" t="s">
        <v>177</v>
      </c>
      <c r="B6" s="222">
        <f>'12ME Dec18 Cal Bill Freq'!B6</f>
        <v>1157860.787</v>
      </c>
      <c r="C6" s="222">
        <f>'12ME Dec18 Cal Bill Freq'!C6</f>
        <v>1062897.169</v>
      </c>
      <c r="D6" s="222">
        <f>'12ME Dec18 Cal Bill Freq'!D6</f>
        <v>1190628.3959999999</v>
      </c>
      <c r="E6" s="222">
        <f>'12ME Dec18 Cal Bill Freq'!E6</f>
        <v>1151419.365</v>
      </c>
      <c r="F6" s="222">
        <f>'12ME Dec18 Cal Bill Freq'!F6</f>
        <v>1077430.378</v>
      </c>
      <c r="G6" s="222">
        <f>'12ME Dec18 Cal Bill Freq'!G6</f>
        <v>966074.72600000002</v>
      </c>
      <c r="H6" s="222">
        <f>'12ME Dec18 Cal Bill Freq'!H6</f>
        <v>863644.65399999998</v>
      </c>
      <c r="I6" s="222">
        <f>'12ME Dec18 Cal Bill Freq'!I6</f>
        <v>850144.36899999995</v>
      </c>
      <c r="J6" s="222">
        <f>'12ME Dec18 Cal Bill Freq'!J6</f>
        <v>967051.33</v>
      </c>
      <c r="K6" s="222">
        <f>'12ME Dec18 Cal Bill Freq'!K6</f>
        <v>1134151.9990000001</v>
      </c>
      <c r="L6" s="222">
        <f>'12ME Dec18 Cal Bill Freq'!L6</f>
        <v>1072971.0560000001</v>
      </c>
      <c r="M6" s="222">
        <f>'12ME Dec18 Cal Bill Freq'!M6</f>
        <v>1130552.78</v>
      </c>
      <c r="N6" s="196">
        <f>SUM(B6:M6)</f>
        <v>12624827.009</v>
      </c>
    </row>
    <row r="7" spans="1:14" x14ac:dyDescent="0.25">
      <c r="A7" s="130" t="s">
        <v>165</v>
      </c>
      <c r="B7" s="222">
        <f>'12ME Dec18 Cal Bill Freq'!B7</f>
        <v>3303141.4559999998</v>
      </c>
      <c r="C7" s="222">
        <f>'12ME Dec18 Cal Bill Freq'!C7</f>
        <v>3137631.9730000002</v>
      </c>
      <c r="D7" s="222">
        <f>'12ME Dec18 Cal Bill Freq'!D7</f>
        <v>3158410.909</v>
      </c>
      <c r="E7" s="222">
        <f>'12ME Dec18 Cal Bill Freq'!E7</f>
        <v>2445868.233</v>
      </c>
      <c r="F7" s="222">
        <f>'12ME Dec18 Cal Bill Freq'!F7</f>
        <v>1638537.1980000001</v>
      </c>
      <c r="G7" s="222">
        <f>'12ME Dec18 Cal Bill Freq'!G7</f>
        <v>1355732.45</v>
      </c>
      <c r="H7" s="222">
        <f>'12ME Dec18 Cal Bill Freq'!H7</f>
        <v>1033411.358</v>
      </c>
      <c r="I7" s="222">
        <f>'12ME Dec18 Cal Bill Freq'!I7</f>
        <v>1082181.5919999999</v>
      </c>
      <c r="J7" s="222">
        <f>'12ME Dec18 Cal Bill Freq'!J7</f>
        <v>1409827.925</v>
      </c>
      <c r="K7" s="222">
        <f>'12ME Dec18 Cal Bill Freq'!K7</f>
        <v>2190772.8220000002</v>
      </c>
      <c r="L7" s="222">
        <f>'12ME Dec18 Cal Bill Freq'!L7</f>
        <v>2820768.46</v>
      </c>
      <c r="M7" s="222">
        <f>'12ME Dec18 Cal Bill Freq'!M7</f>
        <v>3282874.6510000001</v>
      </c>
      <c r="N7" s="196">
        <f t="shared" ref="N7:N8" si="0">SUM(B7:M7)</f>
        <v>26859159.027000003</v>
      </c>
    </row>
    <row r="8" spans="1:14" x14ac:dyDescent="0.25">
      <c r="A8" s="130" t="s">
        <v>166</v>
      </c>
      <c r="B8" s="196">
        <f>B9-SUM(B6:B7)</f>
        <v>2677481.3929062625</v>
      </c>
      <c r="C8" s="196">
        <f t="shared" ref="C8:M8" si="1">C9-SUM(C6:C7)</f>
        <v>1936261.9045797382</v>
      </c>
      <c r="D8" s="196">
        <f t="shared" si="1"/>
        <v>1796734.5607253937</v>
      </c>
      <c r="E8" s="196">
        <f t="shared" si="1"/>
        <v>1454545.343182778</v>
      </c>
      <c r="F8" s="196">
        <f t="shared" si="1"/>
        <v>861737.952938342</v>
      </c>
      <c r="G8" s="196">
        <f t="shared" si="1"/>
        <v>1234238.1373359757</v>
      </c>
      <c r="H8" s="196">
        <f t="shared" si="1"/>
        <v>-1313923.7375925758</v>
      </c>
      <c r="I8" s="196">
        <f t="shared" si="1"/>
        <v>2154190.2371115973</v>
      </c>
      <c r="J8" s="196">
        <f t="shared" si="1"/>
        <v>356442.72187974537</v>
      </c>
      <c r="K8" s="196">
        <f t="shared" si="1"/>
        <v>730566.08235416189</v>
      </c>
      <c r="L8" s="196">
        <f t="shared" si="1"/>
        <v>1535064.691176543</v>
      </c>
      <c r="M8" s="196">
        <f t="shared" si="1"/>
        <v>3312341.9044529982</v>
      </c>
      <c r="N8" s="196">
        <f t="shared" si="0"/>
        <v>16735681.191050958</v>
      </c>
    </row>
    <row r="9" spans="1:14" x14ac:dyDescent="0.25">
      <c r="A9" s="130" t="s">
        <v>6</v>
      </c>
      <c r="B9" s="222">
        <f>'[64]Weather Adj'!D151</f>
        <v>7138483.6359062623</v>
      </c>
      <c r="C9" s="222">
        <f>'[64]Weather Adj'!E151</f>
        <v>6136791.0465797381</v>
      </c>
      <c r="D9" s="222">
        <f>'[64]Weather Adj'!F151</f>
        <v>6145773.8657253934</v>
      </c>
      <c r="E9" s="222">
        <f>'[64]Weather Adj'!G151</f>
        <v>5051832.9411827782</v>
      </c>
      <c r="F9" s="222">
        <f>'[64]Weather Adj'!H151</f>
        <v>3577705.5289383424</v>
      </c>
      <c r="G9" s="222">
        <f>'[64]Weather Adj'!I151</f>
        <v>3556045.3133359756</v>
      </c>
      <c r="H9" s="222">
        <f>'[64]Weather Adj'!J151</f>
        <v>583132.27440742427</v>
      </c>
      <c r="I9" s="222">
        <f>'[64]Weather Adj'!K151</f>
        <v>4086516.1981115974</v>
      </c>
      <c r="J9" s="222">
        <f>'[64]Weather Adj'!L151</f>
        <v>2733321.9768797453</v>
      </c>
      <c r="K9" s="222">
        <f>'[64]Weather Adj'!M151</f>
        <v>4055490.9033541624</v>
      </c>
      <c r="L9" s="222">
        <f>'[64]Weather Adj'!N151</f>
        <v>5428804.2071765428</v>
      </c>
      <c r="M9" s="222">
        <f>'[64]Weather Adj'!O151</f>
        <v>7725769.3354529981</v>
      </c>
      <c r="N9" s="196">
        <f>SUM(N6:N8)</f>
        <v>56219667.22705096</v>
      </c>
    </row>
    <row r="10" spans="1:14" s="196" customFormat="1" x14ac:dyDescent="0.25">
      <c r="A10" s="130"/>
    </row>
    <row r="11" spans="1:14" x14ac:dyDescent="0.25">
      <c r="A11" s="130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</row>
    <row r="12" spans="1:14" x14ac:dyDescent="0.25">
      <c r="A12" s="133" t="s">
        <v>178</v>
      </c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</row>
    <row r="13" spans="1:14" x14ac:dyDescent="0.25">
      <c r="A13" s="130" t="s">
        <v>177</v>
      </c>
      <c r="B13" s="222">
        <f>'12ME Dec18 Cal Bill Freq'!B13</f>
        <v>65669.274000000005</v>
      </c>
      <c r="C13" s="222">
        <f>'12ME Dec18 Cal Bill Freq'!C13</f>
        <v>62094.766000000003</v>
      </c>
      <c r="D13" s="222">
        <f>'12ME Dec18 Cal Bill Freq'!D13</f>
        <v>67369.051000000007</v>
      </c>
      <c r="E13" s="222">
        <f>'12ME Dec18 Cal Bill Freq'!E13</f>
        <v>65894.456000000006</v>
      </c>
      <c r="F13" s="222">
        <f>'12ME Dec18 Cal Bill Freq'!F13</f>
        <v>64675.387999999999</v>
      </c>
      <c r="G13" s="222">
        <f>'12ME Dec18 Cal Bill Freq'!G13</f>
        <v>61151.807999999997</v>
      </c>
      <c r="H13" s="222">
        <f>'12ME Dec18 Cal Bill Freq'!H13</f>
        <v>61940.180999999997</v>
      </c>
      <c r="I13" s="222">
        <f>'12ME Dec18 Cal Bill Freq'!I13</f>
        <v>59770.63</v>
      </c>
      <c r="J13" s="222">
        <f>'12ME Dec18 Cal Bill Freq'!J13</f>
        <v>60770.59</v>
      </c>
      <c r="K13" s="222">
        <f>'12ME Dec18 Cal Bill Freq'!K13</f>
        <v>65126.904000000002</v>
      </c>
      <c r="L13" s="222">
        <f>'12ME Dec18 Cal Bill Freq'!L13</f>
        <v>63637.646999999997</v>
      </c>
      <c r="M13" s="222">
        <f>'12ME Dec18 Cal Bill Freq'!M13</f>
        <v>64926.135000000002</v>
      </c>
      <c r="N13" s="196">
        <f t="shared" ref="N13:N15" si="2">SUM(B13:M13)</f>
        <v>763026.83</v>
      </c>
    </row>
    <row r="14" spans="1:14" x14ac:dyDescent="0.25">
      <c r="A14" s="130" t="s">
        <v>165</v>
      </c>
      <c r="B14" s="222">
        <f>'12ME Dec18 Cal Bill Freq'!B14</f>
        <v>251095.27799999999</v>
      </c>
      <c r="C14" s="222">
        <f>'12ME Dec18 Cal Bill Freq'!C14</f>
        <v>239327.72</v>
      </c>
      <c r="D14" s="222">
        <f>'12ME Dec18 Cal Bill Freq'!D14</f>
        <v>254583.26</v>
      </c>
      <c r="E14" s="222">
        <f>'12ME Dec18 Cal Bill Freq'!E14</f>
        <v>240732.26</v>
      </c>
      <c r="F14" s="222">
        <f>'12ME Dec18 Cal Bill Freq'!F14</f>
        <v>216649.454</v>
      </c>
      <c r="G14" s="222">
        <f>'12ME Dec18 Cal Bill Freq'!G14</f>
        <v>200600.78700000001</v>
      </c>
      <c r="H14" s="222">
        <f>'12ME Dec18 Cal Bill Freq'!H14</f>
        <v>197316.31099999999</v>
      </c>
      <c r="I14" s="222">
        <f>'12ME Dec18 Cal Bill Freq'!I14</f>
        <v>198654.87700000001</v>
      </c>
      <c r="J14" s="222">
        <f>'12ME Dec18 Cal Bill Freq'!J14</f>
        <v>200092.91099999999</v>
      </c>
      <c r="K14" s="222">
        <f>'12ME Dec18 Cal Bill Freq'!K14</f>
        <v>226034.67800000001</v>
      </c>
      <c r="L14" s="222">
        <f>'12ME Dec18 Cal Bill Freq'!L14</f>
        <v>240614.43299999999</v>
      </c>
      <c r="M14" s="222">
        <f>'12ME Dec18 Cal Bill Freq'!M14</f>
        <v>247202.34099999999</v>
      </c>
      <c r="N14" s="196">
        <f t="shared" si="2"/>
        <v>2712904.3100000005</v>
      </c>
    </row>
    <row r="15" spans="1:14" x14ac:dyDescent="0.25">
      <c r="A15" s="130" t="s">
        <v>166</v>
      </c>
      <c r="B15" s="196">
        <f>B16-SUM(B13:B14)</f>
        <v>753960.10607250861</v>
      </c>
      <c r="C15" s="196">
        <f t="shared" ref="C15:M15" si="3">C16-SUM(C13:C14)</f>
        <v>733460.05958730576</v>
      </c>
      <c r="D15" s="196">
        <f t="shared" si="3"/>
        <v>391078.83962965605</v>
      </c>
      <c r="E15" s="196">
        <f t="shared" si="3"/>
        <v>442519.20909839985</v>
      </c>
      <c r="F15" s="196">
        <f t="shared" si="3"/>
        <v>199616.64070644992</v>
      </c>
      <c r="G15" s="196">
        <f t="shared" si="3"/>
        <v>766163.01296690747</v>
      </c>
      <c r="H15" s="196">
        <f t="shared" si="3"/>
        <v>-219746.57479102738</v>
      </c>
      <c r="I15" s="196">
        <f t="shared" si="3"/>
        <v>972433.89982411987</v>
      </c>
      <c r="J15" s="196">
        <f t="shared" si="3"/>
        <v>407890.90300000011</v>
      </c>
      <c r="K15" s="196">
        <f t="shared" si="3"/>
        <v>484498.74492131948</v>
      </c>
      <c r="L15" s="196">
        <f t="shared" si="3"/>
        <v>591362.03552169248</v>
      </c>
      <c r="M15" s="196">
        <f t="shared" si="3"/>
        <v>617822.21987719997</v>
      </c>
      <c r="N15" s="196">
        <f t="shared" si="2"/>
        <v>6141059.0964145325</v>
      </c>
    </row>
    <row r="16" spans="1:14" x14ac:dyDescent="0.25">
      <c r="A16" s="130" t="s">
        <v>6</v>
      </c>
      <c r="B16" s="222">
        <f>'[64]Weather Adj'!D159</f>
        <v>1070724.6580725086</v>
      </c>
      <c r="C16" s="222">
        <f>'[64]Weather Adj'!E159</f>
        <v>1034882.5455873058</v>
      </c>
      <c r="D16" s="222">
        <f>'[64]Weather Adj'!F159</f>
        <v>713031.15062965604</v>
      </c>
      <c r="E16" s="222">
        <f>'[64]Weather Adj'!G159</f>
        <v>749145.92509839986</v>
      </c>
      <c r="F16" s="222">
        <f>'[64]Weather Adj'!H159</f>
        <v>480941.48270644993</v>
      </c>
      <c r="G16" s="222">
        <f>'[64]Weather Adj'!I159</f>
        <v>1027915.6079669074</v>
      </c>
      <c r="H16" s="222">
        <f>'[64]Weather Adj'!J159</f>
        <v>39509.917208972591</v>
      </c>
      <c r="I16" s="222">
        <f>'[64]Weather Adj'!K159</f>
        <v>1230859.4068241199</v>
      </c>
      <c r="J16" s="222">
        <f>'[64]Weather Adj'!L159</f>
        <v>668754.4040000001</v>
      </c>
      <c r="K16" s="222">
        <f>'[64]Weather Adj'!M159</f>
        <v>775660.32692131947</v>
      </c>
      <c r="L16" s="222">
        <f>'[64]Weather Adj'!N159</f>
        <v>895614.11552169244</v>
      </c>
      <c r="M16" s="222">
        <f>'[64]Weather Adj'!O159</f>
        <v>929950.69587719988</v>
      </c>
      <c r="N16" s="196">
        <f>SUM(N13:N15)</f>
        <v>9616990.2364145331</v>
      </c>
    </row>
    <row r="17" spans="1:14" s="196" customFormat="1" x14ac:dyDescent="0.25">
      <c r="A17" s="130"/>
    </row>
    <row r="18" spans="1:14" x14ac:dyDescent="0.25">
      <c r="A18" s="130"/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</row>
    <row r="19" spans="1:14" x14ac:dyDescent="0.25">
      <c r="A19" s="235" t="s">
        <v>179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</row>
    <row r="20" spans="1:14" x14ac:dyDescent="0.25">
      <c r="A20" s="130" t="s">
        <v>88</v>
      </c>
      <c r="B20" s="222">
        <f>'12ME Dec18 Cal Bill Freq'!B34</f>
        <v>619196.05900000001</v>
      </c>
      <c r="C20" s="222">
        <f>'12ME Dec18 Cal Bill Freq'!C34</f>
        <v>596871.32700000005</v>
      </c>
      <c r="D20" s="222">
        <f>'12ME Dec18 Cal Bill Freq'!D34</f>
        <v>628194.80700000003</v>
      </c>
      <c r="E20" s="222">
        <f>'12ME Dec18 Cal Bill Freq'!E34</f>
        <v>590443.04700000002</v>
      </c>
      <c r="F20" s="222">
        <f>'12ME Dec18 Cal Bill Freq'!F34</f>
        <v>535177.755</v>
      </c>
      <c r="G20" s="222">
        <f>'12ME Dec18 Cal Bill Freq'!G34</f>
        <v>468885.17200000002</v>
      </c>
      <c r="H20" s="222">
        <f>'12ME Dec18 Cal Bill Freq'!H34</f>
        <v>443831.57</v>
      </c>
      <c r="I20" s="222">
        <f>'12ME Dec18 Cal Bill Freq'!I34</f>
        <v>428218.26799999998</v>
      </c>
      <c r="J20" s="222">
        <f>'12ME Dec18 Cal Bill Freq'!J34</f>
        <v>466664.57299999997</v>
      </c>
      <c r="K20" s="222">
        <f>'12ME Dec18 Cal Bill Freq'!K34</f>
        <v>542784.20499999996</v>
      </c>
      <c r="L20" s="222">
        <f>'12ME Dec18 Cal Bill Freq'!L34</f>
        <v>569972.35800000001</v>
      </c>
      <c r="M20" s="222">
        <f>'12ME Dec18 Cal Bill Freq'!M34</f>
        <v>596222.05000000005</v>
      </c>
      <c r="N20" s="196">
        <f t="shared" ref="N20:N22" si="4">SUM(B20:M20)</f>
        <v>6486461.1909999996</v>
      </c>
    </row>
    <row r="21" spans="1:14" x14ac:dyDescent="0.25">
      <c r="A21" s="130" t="s">
        <v>89</v>
      </c>
      <c r="B21" s="222">
        <f>'12ME Dec18 Cal Bill Freq'!B35</f>
        <v>453670.63400000002</v>
      </c>
      <c r="C21" s="222">
        <f>'12ME Dec18 Cal Bill Freq'!C35</f>
        <v>395277.45</v>
      </c>
      <c r="D21" s="222">
        <f>'12ME Dec18 Cal Bill Freq'!D35</f>
        <v>414001.36099999998</v>
      </c>
      <c r="E21" s="222">
        <f>'12ME Dec18 Cal Bill Freq'!E35</f>
        <v>295900.73800000001</v>
      </c>
      <c r="F21" s="222">
        <f>'12ME Dec18 Cal Bill Freq'!F35</f>
        <v>251734.97399999999</v>
      </c>
      <c r="G21" s="222">
        <f>'12ME Dec18 Cal Bill Freq'!G35</f>
        <v>216769.435</v>
      </c>
      <c r="H21" s="222">
        <f>'12ME Dec18 Cal Bill Freq'!H35</f>
        <v>175131.28700000001</v>
      </c>
      <c r="I21" s="222">
        <f>'12ME Dec18 Cal Bill Freq'!I35</f>
        <v>190024.038</v>
      </c>
      <c r="J21" s="222">
        <f>'12ME Dec18 Cal Bill Freq'!J35</f>
        <v>225308.853</v>
      </c>
      <c r="K21" s="222">
        <f>'12ME Dec18 Cal Bill Freq'!K35</f>
        <v>283762.011</v>
      </c>
      <c r="L21" s="222">
        <f>'12ME Dec18 Cal Bill Freq'!L35</f>
        <v>326194.69799999997</v>
      </c>
      <c r="M21" s="222">
        <f>'12ME Dec18 Cal Bill Freq'!M35</f>
        <v>385924.52899999998</v>
      </c>
      <c r="N21" s="196">
        <f t="shared" si="4"/>
        <v>3613700.0080000004</v>
      </c>
    </row>
    <row r="22" spans="1:14" x14ac:dyDescent="0.25">
      <c r="A22" s="130" t="s">
        <v>169</v>
      </c>
      <c r="B22" s="196">
        <f>B23-SUM(B20:B21)</f>
        <v>1079308.1443305556</v>
      </c>
      <c r="C22" s="196">
        <f t="shared" ref="C22:M22" si="5">C23-SUM(C20:C21)</f>
        <v>-750189.20399999991</v>
      </c>
      <c r="D22" s="196">
        <f t="shared" si="5"/>
        <v>842250.77477013948</v>
      </c>
      <c r="E22" s="196">
        <f t="shared" si="5"/>
        <v>31254.44096249924</v>
      </c>
      <c r="F22" s="196">
        <f t="shared" si="5"/>
        <v>207157.92907222256</v>
      </c>
      <c r="G22" s="196">
        <f t="shared" si="5"/>
        <v>643620.07349999994</v>
      </c>
      <c r="H22" s="196">
        <f t="shared" si="5"/>
        <v>194063.79799999995</v>
      </c>
      <c r="I22" s="196">
        <f t="shared" si="5"/>
        <v>339692.821</v>
      </c>
      <c r="J22" s="196">
        <f t="shared" si="5"/>
        <v>-45680.535499999998</v>
      </c>
      <c r="K22" s="196">
        <f t="shared" si="5"/>
        <v>572037.74990000017</v>
      </c>
      <c r="L22" s="196">
        <f t="shared" si="5"/>
        <v>969149.46144299943</v>
      </c>
      <c r="M22" s="196">
        <f t="shared" si="5"/>
        <v>444358.07217066723</v>
      </c>
      <c r="N22" s="196">
        <f t="shared" si="4"/>
        <v>4527023.5256490838</v>
      </c>
    </row>
    <row r="23" spans="1:14" x14ac:dyDescent="0.25">
      <c r="A23" s="130" t="s">
        <v>6</v>
      </c>
      <c r="B23" s="222">
        <f>'[64]Weather Adj'!D155</f>
        <v>2152174.8373305555</v>
      </c>
      <c r="C23" s="222">
        <f>'[64]Weather Adj'!E155</f>
        <v>241959.57300000009</v>
      </c>
      <c r="D23" s="222">
        <f>'[64]Weather Adj'!F155</f>
        <v>1884446.9427701395</v>
      </c>
      <c r="E23" s="222">
        <f>'[64]Weather Adj'!G155</f>
        <v>917598.22596249927</v>
      </c>
      <c r="F23" s="222">
        <f>'[64]Weather Adj'!H155</f>
        <v>994070.65807222261</v>
      </c>
      <c r="G23" s="222">
        <f>'[64]Weather Adj'!I155</f>
        <v>1329274.6805</v>
      </c>
      <c r="H23" s="222">
        <f>'[64]Weather Adj'!J155</f>
        <v>813026.65500000003</v>
      </c>
      <c r="I23" s="222">
        <f>'[64]Weather Adj'!K155</f>
        <v>957935.12699999998</v>
      </c>
      <c r="J23" s="222">
        <f>'[64]Weather Adj'!L155</f>
        <v>646292.89049999998</v>
      </c>
      <c r="K23" s="222">
        <f>'[64]Weather Adj'!M155</f>
        <v>1398583.9659000002</v>
      </c>
      <c r="L23" s="222">
        <f>'[64]Weather Adj'!N155</f>
        <v>1865316.5174429994</v>
      </c>
      <c r="M23" s="222">
        <f>'[64]Weather Adj'!O155</f>
        <v>1426504.6511706673</v>
      </c>
      <c r="N23" s="196">
        <f>SUM(N20:N22)</f>
        <v>14627184.724649085</v>
      </c>
    </row>
    <row r="24" spans="1:14" s="196" customFormat="1" x14ac:dyDescent="0.25">
      <c r="A24" s="130"/>
    </row>
    <row r="25" spans="1:14" x14ac:dyDescent="0.25">
      <c r="A25" s="130"/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6"/>
    </row>
    <row r="26" spans="1:14" x14ac:dyDescent="0.25">
      <c r="A26" s="235" t="s">
        <v>180</v>
      </c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</row>
    <row r="27" spans="1:14" x14ac:dyDescent="0.25">
      <c r="A27" s="130" t="s">
        <v>88</v>
      </c>
      <c r="B27" s="222">
        <f>'12ME Dec18 Cal Bill Freq'!B41</f>
        <v>100694.553</v>
      </c>
      <c r="C27" s="222">
        <f>'12ME Dec18 Cal Bill Freq'!C41</f>
        <v>95970.812999999995</v>
      </c>
      <c r="D27" s="222">
        <f>'12ME Dec18 Cal Bill Freq'!D41</f>
        <v>99781.682000000001</v>
      </c>
      <c r="E27" s="222">
        <f>'12ME Dec18 Cal Bill Freq'!E41</f>
        <v>100107.56</v>
      </c>
      <c r="F27" s="222">
        <f>'12ME Dec18 Cal Bill Freq'!F41</f>
        <v>91522.342999999993</v>
      </c>
      <c r="G27" s="222">
        <f>'12ME Dec18 Cal Bill Freq'!G41</f>
        <v>87325.294999999998</v>
      </c>
      <c r="H27" s="222">
        <f>'12ME Dec18 Cal Bill Freq'!H41</f>
        <v>87420.232999999993</v>
      </c>
      <c r="I27" s="222">
        <f>'12ME Dec18 Cal Bill Freq'!I41</f>
        <v>84955.983999999997</v>
      </c>
      <c r="J27" s="222">
        <f>'12ME Dec18 Cal Bill Freq'!J41</f>
        <v>87181.396999999997</v>
      </c>
      <c r="K27" s="222">
        <f>'12ME Dec18 Cal Bill Freq'!K41</f>
        <v>97589.463000000003</v>
      </c>
      <c r="L27" s="222">
        <f>'12ME Dec18 Cal Bill Freq'!L41</f>
        <v>99931.167000000001</v>
      </c>
      <c r="M27" s="222">
        <f>'12ME Dec18 Cal Bill Freq'!M41</f>
        <v>98679.991999999998</v>
      </c>
      <c r="N27" s="196">
        <f t="shared" ref="N27:N29" si="6">SUM(B27:M27)</f>
        <v>1131160.4820000001</v>
      </c>
    </row>
    <row r="28" spans="1:14" x14ac:dyDescent="0.25">
      <c r="A28" s="130" t="s">
        <v>89</v>
      </c>
      <c r="B28" s="222">
        <f>'12ME Dec18 Cal Bill Freq'!B42</f>
        <v>47232.860999999997</v>
      </c>
      <c r="C28" s="222">
        <f>'12ME Dec18 Cal Bill Freq'!C42</f>
        <v>41418.798999999999</v>
      </c>
      <c r="D28" s="222">
        <f>'12ME Dec18 Cal Bill Freq'!D42</f>
        <v>37198.016000000003</v>
      </c>
      <c r="E28" s="222">
        <f>'12ME Dec18 Cal Bill Freq'!E42</f>
        <v>47052.500999999997</v>
      </c>
      <c r="F28" s="222">
        <f>'12ME Dec18 Cal Bill Freq'!F42</f>
        <v>35115.035000000003</v>
      </c>
      <c r="G28" s="222">
        <f>'12ME Dec18 Cal Bill Freq'!G42</f>
        <v>26116.065999999999</v>
      </c>
      <c r="H28" s="222">
        <f>'12ME Dec18 Cal Bill Freq'!H42</f>
        <v>17378.296999999999</v>
      </c>
      <c r="I28" s="222">
        <f>'12ME Dec18 Cal Bill Freq'!I42</f>
        <v>27399.663</v>
      </c>
      <c r="J28" s="222">
        <f>'12ME Dec18 Cal Bill Freq'!J42</f>
        <v>23531.300999999999</v>
      </c>
      <c r="K28" s="222">
        <f>'12ME Dec18 Cal Bill Freq'!K42</f>
        <v>30406.374</v>
      </c>
      <c r="L28" s="222">
        <f>'12ME Dec18 Cal Bill Freq'!L42</f>
        <v>32106.988000000001</v>
      </c>
      <c r="M28" s="222">
        <f>'12ME Dec18 Cal Bill Freq'!M42</f>
        <v>42625.913999999997</v>
      </c>
      <c r="N28" s="196">
        <f t="shared" si="6"/>
        <v>407581.815</v>
      </c>
    </row>
    <row r="29" spans="1:14" x14ac:dyDescent="0.25">
      <c r="A29" s="130" t="s">
        <v>169</v>
      </c>
      <c r="B29" s="196">
        <f>B30-SUM(B27:B28)</f>
        <v>-14033.148000000016</v>
      </c>
      <c r="C29" s="196">
        <f t="shared" ref="C29:M29" si="7">C30-SUM(C27:C28)</f>
        <v>-13225.563499999975</v>
      </c>
      <c r="D29" s="196">
        <f t="shared" si="7"/>
        <v>1026.425499999983</v>
      </c>
      <c r="E29" s="196">
        <f t="shared" si="7"/>
        <v>-59471.893749999974</v>
      </c>
      <c r="F29" s="196">
        <f t="shared" si="7"/>
        <v>-42100.774750000011</v>
      </c>
      <c r="G29" s="196">
        <f t="shared" si="7"/>
        <v>63134.720499999996</v>
      </c>
      <c r="H29" s="196">
        <f t="shared" si="7"/>
        <v>29631.902750000008</v>
      </c>
      <c r="I29" s="196">
        <f t="shared" si="7"/>
        <v>38316.401249999995</v>
      </c>
      <c r="J29" s="196">
        <f t="shared" si="7"/>
        <v>-8982.794000000009</v>
      </c>
      <c r="K29" s="196">
        <f t="shared" si="7"/>
        <v>19495.140000000014</v>
      </c>
      <c r="L29" s="196">
        <f t="shared" si="7"/>
        <v>-29872.228000000003</v>
      </c>
      <c r="M29" s="196">
        <f t="shared" si="7"/>
        <v>34588.859000000026</v>
      </c>
      <c r="N29" s="196">
        <f t="shared" si="6"/>
        <v>18507.047000000035</v>
      </c>
    </row>
    <row r="30" spans="1:14" x14ac:dyDescent="0.25">
      <c r="A30" s="130" t="s">
        <v>6</v>
      </c>
      <c r="B30" s="222">
        <f>'[64]Weather Adj'!D168</f>
        <v>133894.26599999997</v>
      </c>
      <c r="C30" s="222">
        <f>'[64]Weather Adj'!E168</f>
        <v>124164.04850000002</v>
      </c>
      <c r="D30" s="222">
        <f>'[64]Weather Adj'!F168</f>
        <v>138006.12349999999</v>
      </c>
      <c r="E30" s="222">
        <f>'[64]Weather Adj'!G168</f>
        <v>87688.167250000013</v>
      </c>
      <c r="F30" s="222">
        <f>'[64]Weather Adj'!H168</f>
        <v>84536.603249999986</v>
      </c>
      <c r="G30" s="222">
        <f>'[64]Weather Adj'!I168</f>
        <v>176576.0815</v>
      </c>
      <c r="H30" s="222">
        <f>'[64]Weather Adj'!J168</f>
        <v>134430.43275000001</v>
      </c>
      <c r="I30" s="222">
        <f>'[64]Weather Adj'!K168</f>
        <v>150672.04824999999</v>
      </c>
      <c r="J30" s="222">
        <f>'[64]Weather Adj'!L168</f>
        <v>101729.90399999999</v>
      </c>
      <c r="K30" s="222">
        <f>'[64]Weather Adj'!M168</f>
        <v>147490.97700000001</v>
      </c>
      <c r="L30" s="222">
        <f>'[64]Weather Adj'!N168</f>
        <v>102165.927</v>
      </c>
      <c r="M30" s="222">
        <f>'[64]Weather Adj'!O168</f>
        <v>175894.76500000001</v>
      </c>
      <c r="N30" s="196">
        <f>SUM(N27:N29)</f>
        <v>1557249.344</v>
      </c>
    </row>
    <row r="31" spans="1:14" s="196" customFormat="1" x14ac:dyDescent="0.25">
      <c r="A31" s="130"/>
    </row>
    <row r="32" spans="1:14" x14ac:dyDescent="0.25">
      <c r="A32" s="130"/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</row>
    <row r="33" spans="1:14" x14ac:dyDescent="0.25">
      <c r="A33" s="130" t="s">
        <v>181</v>
      </c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</row>
    <row r="34" spans="1:14" x14ac:dyDescent="0.25">
      <c r="A34" s="130" t="s">
        <v>94</v>
      </c>
      <c r="B34" s="222">
        <f>'12ME Dec18 Cal Bill Freq'!B62</f>
        <v>210017.342</v>
      </c>
      <c r="C34" s="222">
        <f>'12ME Dec18 Cal Bill Freq'!C62</f>
        <v>192508.152</v>
      </c>
      <c r="D34" s="222">
        <f>'12ME Dec18 Cal Bill Freq'!D62</f>
        <v>216360.37599999999</v>
      </c>
      <c r="E34" s="222">
        <f>'12ME Dec18 Cal Bill Freq'!E62</f>
        <v>203132.302</v>
      </c>
      <c r="F34" s="222">
        <f>'12ME Dec18 Cal Bill Freq'!F62</f>
        <v>162482.503</v>
      </c>
      <c r="G34" s="222">
        <f>'12ME Dec18 Cal Bill Freq'!G62</f>
        <v>123157.363</v>
      </c>
      <c r="H34" s="222">
        <f>'12ME Dec18 Cal Bill Freq'!H62</f>
        <v>86435.752999999997</v>
      </c>
      <c r="I34" s="222">
        <f>'12ME Dec18 Cal Bill Freq'!I62</f>
        <v>87632.289000000004</v>
      </c>
      <c r="J34" s="222">
        <f>'12ME Dec18 Cal Bill Freq'!J62</f>
        <v>136355.29800000001</v>
      </c>
      <c r="K34" s="222">
        <f>'12ME Dec18 Cal Bill Freq'!K62</f>
        <v>193894.08100000001</v>
      </c>
      <c r="L34" s="222">
        <f>'12ME Dec18 Cal Bill Freq'!L62</f>
        <v>191672.98499999999</v>
      </c>
      <c r="M34" s="222">
        <f>'12ME Dec18 Cal Bill Freq'!M62</f>
        <v>203239.495</v>
      </c>
      <c r="N34" s="196">
        <f t="shared" ref="N34:N35" si="8">SUM(B34:M34)</f>
        <v>2006887.9390000002</v>
      </c>
    </row>
    <row r="35" spans="1:14" x14ac:dyDescent="0.25">
      <c r="A35" s="130" t="s">
        <v>172</v>
      </c>
      <c r="B35" s="196">
        <f>B36-B34</f>
        <v>1098832.40015962</v>
      </c>
      <c r="C35" s="196">
        <f t="shared" ref="C35:M35" si="9">C36-C34</f>
        <v>838760.74326971127</v>
      </c>
      <c r="D35" s="196">
        <f t="shared" si="9"/>
        <v>856173.59902767767</v>
      </c>
      <c r="E35" s="196">
        <f t="shared" si="9"/>
        <v>737931.48835049546</v>
      </c>
      <c r="F35" s="196">
        <f t="shared" si="9"/>
        <v>500504.88021747454</v>
      </c>
      <c r="G35" s="196">
        <f t="shared" si="9"/>
        <v>330079.68554248143</v>
      </c>
      <c r="H35" s="196">
        <f t="shared" si="9"/>
        <v>134587.5569855627</v>
      </c>
      <c r="I35" s="196">
        <f t="shared" si="9"/>
        <v>115498.27794923259</v>
      </c>
      <c r="J35" s="196">
        <f t="shared" si="9"/>
        <v>167187.27554155362</v>
      </c>
      <c r="K35" s="196">
        <f t="shared" si="9"/>
        <v>476277.66889394843</v>
      </c>
      <c r="L35" s="196">
        <f t="shared" si="9"/>
        <v>720554.60531208722</v>
      </c>
      <c r="M35" s="196">
        <f t="shared" si="9"/>
        <v>938315.56067650823</v>
      </c>
      <c r="N35" s="196">
        <f t="shared" si="8"/>
        <v>6914703.7419263534</v>
      </c>
    </row>
    <row r="36" spans="1:14" x14ac:dyDescent="0.25">
      <c r="A36" s="130" t="s">
        <v>6</v>
      </c>
      <c r="B36" s="222">
        <f>'[64]Weather Adj'!D156</f>
        <v>1308849.7421596199</v>
      </c>
      <c r="C36" s="222">
        <f>'[64]Weather Adj'!E156</f>
        <v>1031268.8952697113</v>
      </c>
      <c r="D36" s="222">
        <f>'[64]Weather Adj'!F156</f>
        <v>1072533.9750276776</v>
      </c>
      <c r="E36" s="222">
        <f>'[64]Weather Adj'!G156</f>
        <v>941063.79035049549</v>
      </c>
      <c r="F36" s="222">
        <f>'[64]Weather Adj'!H156</f>
        <v>662987.38321747456</v>
      </c>
      <c r="G36" s="222">
        <f>'[64]Weather Adj'!I156</f>
        <v>453237.04854248144</v>
      </c>
      <c r="H36" s="222">
        <f>'[64]Weather Adj'!J156</f>
        <v>221023.30998556269</v>
      </c>
      <c r="I36" s="222">
        <f>'[64]Weather Adj'!K156</f>
        <v>203130.5669492326</v>
      </c>
      <c r="J36" s="222">
        <f>'[64]Weather Adj'!L156</f>
        <v>303542.57354155363</v>
      </c>
      <c r="K36" s="222">
        <f>'[64]Weather Adj'!M156</f>
        <v>670171.74989394844</v>
      </c>
      <c r="L36" s="222">
        <f>'[64]Weather Adj'!N156</f>
        <v>912227.59031208721</v>
      </c>
      <c r="M36" s="222">
        <f>'[64]Weather Adj'!O156</f>
        <v>1141555.0556765082</v>
      </c>
      <c r="N36" s="196">
        <f>SUM(N34:N35)</f>
        <v>8921591.6809263527</v>
      </c>
    </row>
    <row r="37" spans="1:14" x14ac:dyDescent="0.25">
      <c r="A37" s="130"/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</row>
    <row r="38" spans="1:14" x14ac:dyDescent="0.25">
      <c r="A38" s="130"/>
      <c r="B38" s="196"/>
      <c r="C38" s="196"/>
      <c r="D38" s="196"/>
      <c r="E38" s="196"/>
      <c r="F38" s="196"/>
      <c r="G38" s="196"/>
      <c r="H38" s="196"/>
      <c r="I38" s="196"/>
      <c r="J38" s="196"/>
      <c r="K38" s="196"/>
      <c r="L38" s="196"/>
      <c r="M38" s="196"/>
    </row>
    <row r="39" spans="1:14" x14ac:dyDescent="0.25">
      <c r="A39" s="196" t="s">
        <v>182</v>
      </c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</row>
    <row r="40" spans="1:14" x14ac:dyDescent="0.25">
      <c r="A40" s="130" t="s">
        <v>94</v>
      </c>
      <c r="B40" s="222">
        <f>'12ME Dec18 Cal Bill Freq'!B68</f>
        <v>4058.5680000000002</v>
      </c>
      <c r="C40" s="222">
        <f>'12ME Dec18 Cal Bill Freq'!C68</f>
        <v>4688.7169999999996</v>
      </c>
      <c r="D40" s="222">
        <f>'12ME Dec18 Cal Bill Freq'!D68</f>
        <v>5155.1409999999996</v>
      </c>
      <c r="E40" s="222">
        <f>'12ME Dec18 Cal Bill Freq'!E68</f>
        <v>5215.2560000000003</v>
      </c>
      <c r="F40" s="222">
        <f>'12ME Dec18 Cal Bill Freq'!F68</f>
        <v>3869.3560000000002</v>
      </c>
      <c r="G40" s="222">
        <f>'12ME Dec18 Cal Bill Freq'!G68</f>
        <v>3194.134</v>
      </c>
      <c r="H40" s="222">
        <f>'12ME Dec18 Cal Bill Freq'!H68</f>
        <v>2335.8000000000002</v>
      </c>
      <c r="I40" s="222">
        <f>'12ME Dec18 Cal Bill Freq'!I68</f>
        <v>2776.384</v>
      </c>
      <c r="J40" s="222">
        <f>'12ME Dec18 Cal Bill Freq'!J68</f>
        <v>3057.7080000000001</v>
      </c>
      <c r="K40" s="222">
        <f>'12ME Dec18 Cal Bill Freq'!K68</f>
        <v>4160.5870000000004</v>
      </c>
      <c r="L40" s="222">
        <f>'12ME Dec18 Cal Bill Freq'!L68</f>
        <v>4757.6880000000001</v>
      </c>
      <c r="M40" s="222">
        <f>'12ME Dec18 Cal Bill Freq'!M68</f>
        <v>4093.989</v>
      </c>
      <c r="N40" s="196">
        <f t="shared" ref="N40:N41" si="10">SUM(B40:M40)</f>
        <v>47363.328000000001</v>
      </c>
    </row>
    <row r="41" spans="1:14" x14ac:dyDescent="0.25">
      <c r="A41" s="130" t="s">
        <v>172</v>
      </c>
      <c r="B41" s="196">
        <f>B42-B40</f>
        <v>14012.471999999998</v>
      </c>
      <c r="C41" s="196">
        <f t="shared" ref="C41:M41" si="11">C42-C40</f>
        <v>13843.429</v>
      </c>
      <c r="D41" s="196">
        <f t="shared" si="11"/>
        <v>10298.575999999999</v>
      </c>
      <c r="E41" s="196">
        <f t="shared" si="11"/>
        <v>18950.543999999998</v>
      </c>
      <c r="F41" s="196">
        <f t="shared" si="11"/>
        <v>7447.8389999999999</v>
      </c>
      <c r="G41" s="196">
        <f t="shared" si="11"/>
        <v>6612.6220000000012</v>
      </c>
      <c r="H41" s="196">
        <f t="shared" si="11"/>
        <v>5710.2759999999998</v>
      </c>
      <c r="I41" s="196">
        <f t="shared" si="11"/>
        <v>4718.3810000000003</v>
      </c>
      <c r="J41" s="196">
        <f t="shared" si="11"/>
        <v>6957.5399999999991</v>
      </c>
      <c r="K41" s="196">
        <f t="shared" si="11"/>
        <v>24913.016</v>
      </c>
      <c r="L41" s="196">
        <f t="shared" si="11"/>
        <v>14875.688999999997</v>
      </c>
      <c r="M41" s="196">
        <f t="shared" si="11"/>
        <v>299904.88</v>
      </c>
      <c r="N41" s="196">
        <f t="shared" si="10"/>
        <v>428245.26399999997</v>
      </c>
    </row>
    <row r="42" spans="1:14" x14ac:dyDescent="0.25">
      <c r="A42" s="130" t="s">
        <v>6</v>
      </c>
      <c r="B42" s="222">
        <f>'[64]Weather Adj'!D169</f>
        <v>18071.039999999997</v>
      </c>
      <c r="C42" s="222">
        <f>'[64]Weather Adj'!E169</f>
        <v>18532.146000000001</v>
      </c>
      <c r="D42" s="222">
        <f>'[64]Weather Adj'!F169</f>
        <v>15453.716999999999</v>
      </c>
      <c r="E42" s="222">
        <f>'[64]Weather Adj'!G169</f>
        <v>24165.8</v>
      </c>
      <c r="F42" s="222">
        <f>'[64]Weather Adj'!H169</f>
        <v>11317.195</v>
      </c>
      <c r="G42" s="222">
        <f>'[64]Weather Adj'!I169</f>
        <v>9806.7560000000012</v>
      </c>
      <c r="H42" s="222">
        <f>'[64]Weather Adj'!J169</f>
        <v>8046.076</v>
      </c>
      <c r="I42" s="222">
        <f>'[64]Weather Adj'!K169</f>
        <v>7494.7650000000003</v>
      </c>
      <c r="J42" s="222">
        <f>'[64]Weather Adj'!L169</f>
        <v>10015.248</v>
      </c>
      <c r="K42" s="222">
        <f>'[64]Weather Adj'!M169</f>
        <v>29073.602999999999</v>
      </c>
      <c r="L42" s="222">
        <f>'[64]Weather Adj'!N169</f>
        <v>19633.376999999997</v>
      </c>
      <c r="M42" s="222">
        <f>'[64]Weather Adj'!O169</f>
        <v>303998.86900000001</v>
      </c>
      <c r="N42" s="196">
        <f>SUM(N40:N41)</f>
        <v>475608.59199999995</v>
      </c>
    </row>
    <row r="43" spans="1:14" x14ac:dyDescent="0.25">
      <c r="A43" s="130"/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</row>
    <row r="44" spans="1:14" x14ac:dyDescent="0.25">
      <c r="A44" s="130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</row>
    <row r="45" spans="1:14" x14ac:dyDescent="0.25">
      <c r="A45" s="235" t="s">
        <v>183</v>
      </c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</row>
    <row r="46" spans="1:14" x14ac:dyDescent="0.25">
      <c r="A46" s="130" t="s">
        <v>88</v>
      </c>
      <c r="B46" s="222">
        <f>'12ME Dec18 Cal Bill Freq'!B80</f>
        <v>126044.556</v>
      </c>
      <c r="C46" s="222">
        <f>'12ME Dec18 Cal Bill Freq'!C80</f>
        <v>121455.628</v>
      </c>
      <c r="D46" s="222">
        <f>'12ME Dec18 Cal Bill Freq'!D80</f>
        <v>125000</v>
      </c>
      <c r="E46" s="222">
        <f>'12ME Dec18 Cal Bill Freq'!E80</f>
        <v>124138</v>
      </c>
      <c r="F46" s="222">
        <f>'12ME Dec18 Cal Bill Freq'!F80</f>
        <v>127528.666</v>
      </c>
      <c r="G46" s="222">
        <f>'12ME Dec18 Cal Bill Freq'!G80</f>
        <v>121720.43</v>
      </c>
      <c r="H46" s="222">
        <f>'12ME Dec18 Cal Bill Freq'!H80</f>
        <v>127474.97199999999</v>
      </c>
      <c r="I46" s="222">
        <f>'12ME Dec18 Cal Bill Freq'!I80</f>
        <v>127471.266</v>
      </c>
      <c r="J46" s="222">
        <f>'12ME Dec18 Cal Bill Freq'!J80</f>
        <v>123229.166</v>
      </c>
      <c r="K46" s="222">
        <f>'12ME Dec18 Cal Bill Freq'!K80</f>
        <v>126023.5</v>
      </c>
      <c r="L46" s="222">
        <f>'12ME Dec18 Cal Bill Freq'!L80</f>
        <v>125747.334</v>
      </c>
      <c r="M46" s="222">
        <f>'12ME Dec18 Cal Bill Freq'!M80</f>
        <v>124791.666</v>
      </c>
      <c r="N46" s="196">
        <f t="shared" ref="N46:N51" si="12">SUM(B46:M46)</f>
        <v>1500625.1839999999</v>
      </c>
    </row>
    <row r="47" spans="1:14" s="196" customFormat="1" x14ac:dyDescent="0.25">
      <c r="A47" s="130" t="s">
        <v>89</v>
      </c>
      <c r="B47" s="222">
        <f>'12ME Dec18 Cal Bill Freq'!B81</f>
        <v>126044.005</v>
      </c>
      <c r="C47" s="222">
        <f>'12ME Dec18 Cal Bill Freq'!C81</f>
        <v>121455.628</v>
      </c>
      <c r="D47" s="222">
        <f>'12ME Dec18 Cal Bill Freq'!D81</f>
        <v>125000</v>
      </c>
      <c r="E47" s="222">
        <f>'12ME Dec18 Cal Bill Freq'!E81</f>
        <v>124138</v>
      </c>
      <c r="F47" s="222">
        <f>'12ME Dec18 Cal Bill Freq'!F81</f>
        <v>127528.666</v>
      </c>
      <c r="G47" s="222">
        <f>'12ME Dec18 Cal Bill Freq'!G81</f>
        <v>112863.99</v>
      </c>
      <c r="H47" s="222">
        <f>'12ME Dec18 Cal Bill Freq'!H81</f>
        <v>116478.465</v>
      </c>
      <c r="I47" s="222">
        <f>'12ME Dec18 Cal Bill Freq'!I81</f>
        <v>117538.98299999999</v>
      </c>
      <c r="J47" s="222">
        <f>'12ME Dec18 Cal Bill Freq'!J81</f>
        <v>123229.166</v>
      </c>
      <c r="K47" s="222">
        <f>'12ME Dec18 Cal Bill Freq'!K81</f>
        <v>126023.5</v>
      </c>
      <c r="L47" s="222">
        <f>'12ME Dec18 Cal Bill Freq'!L81</f>
        <v>125747.334</v>
      </c>
      <c r="M47" s="222">
        <f>'12ME Dec18 Cal Bill Freq'!M81</f>
        <v>124791.666</v>
      </c>
      <c r="N47" s="196">
        <f t="shared" si="12"/>
        <v>1470839.4029999999</v>
      </c>
    </row>
    <row r="48" spans="1:14" x14ac:dyDescent="0.25">
      <c r="A48" s="130" t="s">
        <v>99</v>
      </c>
      <c r="B48" s="222">
        <f>'12ME Dec18 Cal Bill Freq'!B82</f>
        <v>252089.111</v>
      </c>
      <c r="C48" s="222">
        <f>'12ME Dec18 Cal Bill Freq'!C82</f>
        <v>242911.25599999999</v>
      </c>
      <c r="D48" s="222">
        <f>'12ME Dec18 Cal Bill Freq'!D82</f>
        <v>250000</v>
      </c>
      <c r="E48" s="222">
        <f>'12ME Dec18 Cal Bill Freq'!E82</f>
        <v>248276</v>
      </c>
      <c r="F48" s="222">
        <f>'12ME Dec18 Cal Bill Freq'!F82</f>
        <v>197462.139</v>
      </c>
      <c r="G48" s="222">
        <f>'12ME Dec18 Cal Bill Freq'!G82</f>
        <v>175211.476</v>
      </c>
      <c r="H48" s="222">
        <f>'12ME Dec18 Cal Bill Freq'!H82</f>
        <v>162170.50099999999</v>
      </c>
      <c r="I48" s="222">
        <f>'12ME Dec18 Cal Bill Freq'!I82</f>
        <v>143109.87599999999</v>
      </c>
      <c r="J48" s="222">
        <f>'12ME Dec18 Cal Bill Freq'!J82</f>
        <v>179104.89199999999</v>
      </c>
      <c r="K48" s="222">
        <f>'12ME Dec18 Cal Bill Freq'!K82</f>
        <v>252047</v>
      </c>
      <c r="L48" s="222">
        <f>'12ME Dec18 Cal Bill Freq'!L82</f>
        <v>251494.666</v>
      </c>
      <c r="M48" s="222">
        <f>'12ME Dec18 Cal Bill Freq'!M82</f>
        <v>249583.334</v>
      </c>
      <c r="N48" s="196">
        <f t="shared" si="12"/>
        <v>2603460.2510000002</v>
      </c>
    </row>
    <row r="49" spans="1:14" x14ac:dyDescent="0.25">
      <c r="A49" s="130" t="s">
        <v>100</v>
      </c>
      <c r="B49" s="222">
        <f>'12ME Dec18 Cal Bill Freq'!B83</f>
        <v>394483.83799999999</v>
      </c>
      <c r="C49" s="222">
        <f>'12ME Dec18 Cal Bill Freq'!C83</f>
        <v>439683.32199999999</v>
      </c>
      <c r="D49" s="222">
        <f>'12ME Dec18 Cal Bill Freq'!D83</f>
        <v>443482.08899999998</v>
      </c>
      <c r="E49" s="222">
        <f>'12ME Dec18 Cal Bill Freq'!E83</f>
        <v>318372.07799999998</v>
      </c>
      <c r="F49" s="222">
        <f>'12ME Dec18 Cal Bill Freq'!F83</f>
        <v>167686.50099999999</v>
      </c>
      <c r="G49" s="222">
        <f>'12ME Dec18 Cal Bill Freq'!G83</f>
        <v>115520.219</v>
      </c>
      <c r="H49" s="222">
        <f>'12ME Dec18 Cal Bill Freq'!H83</f>
        <v>101089.102</v>
      </c>
      <c r="I49" s="222">
        <f>'12ME Dec18 Cal Bill Freq'!I83</f>
        <v>105912.84600000001</v>
      </c>
      <c r="J49" s="222">
        <f>'12ME Dec18 Cal Bill Freq'!J83</f>
        <v>137262.06</v>
      </c>
      <c r="K49" s="222">
        <f>'12ME Dec18 Cal Bill Freq'!K83</f>
        <v>241102.802</v>
      </c>
      <c r="L49" s="222">
        <f>'12ME Dec18 Cal Bill Freq'!L83</f>
        <v>336367.91100000002</v>
      </c>
      <c r="M49" s="222">
        <f>'12ME Dec18 Cal Bill Freq'!M83</f>
        <v>396153.761</v>
      </c>
      <c r="N49" s="196">
        <f t="shared" si="12"/>
        <v>3197116.5289999996</v>
      </c>
    </row>
    <row r="50" spans="1:14" x14ac:dyDescent="0.25">
      <c r="A50" s="130" t="s">
        <v>101</v>
      </c>
      <c r="B50" s="222">
        <f>'12ME Dec18 Cal Bill Freq'!B84</f>
        <v>336549.57699999999</v>
      </c>
      <c r="C50" s="222">
        <f>'12ME Dec18 Cal Bill Freq'!C84</f>
        <v>311044.71799999999</v>
      </c>
      <c r="D50" s="222">
        <f>'12ME Dec18 Cal Bill Freq'!D84</f>
        <v>310532.62800000003</v>
      </c>
      <c r="E50" s="222">
        <f>'12ME Dec18 Cal Bill Freq'!E84</f>
        <v>310431.10800000001</v>
      </c>
      <c r="F50" s="222">
        <f>'12ME Dec18 Cal Bill Freq'!F84</f>
        <v>300000</v>
      </c>
      <c r="G50" s="222">
        <f>'12ME Dec18 Cal Bill Freq'!G84</f>
        <v>300000</v>
      </c>
      <c r="H50" s="222">
        <f>'12ME Dec18 Cal Bill Freq'!H84</f>
        <v>300000</v>
      </c>
      <c r="I50" s="222">
        <f>'12ME Dec18 Cal Bill Freq'!I84</f>
        <v>300000</v>
      </c>
      <c r="J50" s="222">
        <f>'12ME Dec18 Cal Bill Freq'!J84</f>
        <v>300000</v>
      </c>
      <c r="K50" s="222">
        <f>'12ME Dec18 Cal Bill Freq'!K84</f>
        <v>300000</v>
      </c>
      <c r="L50" s="222">
        <f>'12ME Dec18 Cal Bill Freq'!L84</f>
        <v>323394.09700000001</v>
      </c>
      <c r="M50" s="222">
        <f>'12ME Dec18 Cal Bill Freq'!M84</f>
        <v>347184.614</v>
      </c>
      <c r="N50" s="196">
        <f t="shared" si="12"/>
        <v>3739136.7420000001</v>
      </c>
    </row>
    <row r="51" spans="1:14" x14ac:dyDescent="0.25">
      <c r="A51" s="130" t="s">
        <v>174</v>
      </c>
      <c r="B51" s="196">
        <f>B52-SUM(B46:B50)</f>
        <v>1847218.4020472236</v>
      </c>
      <c r="C51" s="196">
        <f t="shared" ref="C51:M51" si="13">C52-SUM(C46:C50)</f>
        <v>-154459.5858333339</v>
      </c>
      <c r="D51" s="196">
        <f t="shared" si="13"/>
        <v>2908326.1354916673</v>
      </c>
      <c r="E51" s="196">
        <f t="shared" si="13"/>
        <v>-997058.01674444554</v>
      </c>
      <c r="F51" s="196">
        <f t="shared" si="13"/>
        <v>1240469.2634277777</v>
      </c>
      <c r="G51" s="196">
        <f t="shared" si="13"/>
        <v>958369.25324999983</v>
      </c>
      <c r="H51" s="196">
        <f t="shared" si="13"/>
        <v>575140.96725000022</v>
      </c>
      <c r="I51" s="196">
        <f t="shared" si="13"/>
        <v>859321.86974999972</v>
      </c>
      <c r="J51" s="196">
        <f t="shared" si="13"/>
        <v>441632.1379999998</v>
      </c>
      <c r="K51" s="196">
        <f t="shared" si="13"/>
        <v>1234611.9700833336</v>
      </c>
      <c r="L51" s="196">
        <f t="shared" si="13"/>
        <v>951642.177782638</v>
      </c>
      <c r="M51" s="196">
        <f t="shared" si="13"/>
        <v>960649.43499583402</v>
      </c>
      <c r="N51" s="196">
        <f t="shared" si="12"/>
        <v>10825864.009500694</v>
      </c>
    </row>
    <row r="52" spans="1:14" x14ac:dyDescent="0.25">
      <c r="A52" s="130" t="s">
        <v>6</v>
      </c>
      <c r="B52" s="222">
        <f>'[64]Weather Adj'!D157</f>
        <v>3082429.4890472237</v>
      </c>
      <c r="C52" s="222">
        <f>'[64]Weather Adj'!E157</f>
        <v>1082090.9661666662</v>
      </c>
      <c r="D52" s="222">
        <f>'[64]Weather Adj'!F157</f>
        <v>4162340.8524916675</v>
      </c>
      <c r="E52" s="222">
        <f>'[64]Weather Adj'!G157</f>
        <v>128297.16925555449</v>
      </c>
      <c r="F52" s="222">
        <f>'[64]Weather Adj'!H157</f>
        <v>2160675.2354277777</v>
      </c>
      <c r="G52" s="222">
        <f>'[64]Weather Adj'!I157</f>
        <v>1783685.3682499998</v>
      </c>
      <c r="H52" s="222">
        <f>'[64]Weather Adj'!J157</f>
        <v>1382354.0072500003</v>
      </c>
      <c r="I52" s="222">
        <f>'[64]Weather Adj'!K157</f>
        <v>1653354.8407499997</v>
      </c>
      <c r="J52" s="222">
        <f>'[64]Weather Adj'!L157</f>
        <v>1304457.4219999998</v>
      </c>
      <c r="K52" s="222">
        <f>'[64]Weather Adj'!M157</f>
        <v>2279808.7720833337</v>
      </c>
      <c r="L52" s="222">
        <f>'[64]Weather Adj'!N157</f>
        <v>2114393.5197826382</v>
      </c>
      <c r="M52" s="222">
        <f>'[64]Weather Adj'!O157</f>
        <v>2203154.475995834</v>
      </c>
      <c r="N52" s="196">
        <f>SUM(N46:N51)</f>
        <v>23337042.118500695</v>
      </c>
    </row>
    <row r="53" spans="1:14" x14ac:dyDescent="0.25">
      <c r="A53" s="130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</row>
    <row r="54" spans="1:14" x14ac:dyDescent="0.25">
      <c r="A54" s="130"/>
      <c r="B54" s="196"/>
      <c r="C54" s="196"/>
      <c r="D54" s="196"/>
      <c r="E54" s="196"/>
      <c r="F54" s="196"/>
      <c r="G54" s="196"/>
      <c r="H54" s="196"/>
      <c r="I54" s="196"/>
      <c r="J54" s="196"/>
      <c r="K54" s="196"/>
      <c r="L54" s="196"/>
      <c r="M54" s="196"/>
    </row>
    <row r="55" spans="1:14" x14ac:dyDescent="0.25">
      <c r="A55" s="235" t="s">
        <v>184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</row>
    <row r="56" spans="1:14" x14ac:dyDescent="0.25">
      <c r="A56" s="130" t="s">
        <v>88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f t="shared" ref="N56:N61" si="14">SUM(B56:M56)</f>
        <v>0</v>
      </c>
    </row>
    <row r="57" spans="1:14" x14ac:dyDescent="0.25">
      <c r="A57" s="130" t="s">
        <v>89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f t="shared" si="14"/>
        <v>0</v>
      </c>
    </row>
    <row r="58" spans="1:14" x14ac:dyDescent="0.25">
      <c r="A58" s="130" t="s">
        <v>99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f t="shared" si="14"/>
        <v>0</v>
      </c>
    </row>
    <row r="59" spans="1:14" x14ac:dyDescent="0.25">
      <c r="A59" s="130" t="s">
        <v>100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f t="shared" si="14"/>
        <v>0</v>
      </c>
    </row>
    <row r="60" spans="1:14" x14ac:dyDescent="0.25">
      <c r="A60" s="130" t="s">
        <v>101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f t="shared" si="14"/>
        <v>0</v>
      </c>
    </row>
    <row r="61" spans="1:14" x14ac:dyDescent="0.25">
      <c r="A61" s="130" t="s">
        <v>174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f t="shared" si="14"/>
        <v>0</v>
      </c>
    </row>
    <row r="62" spans="1:14" x14ac:dyDescent="0.25">
      <c r="A62" s="130" t="s">
        <v>6</v>
      </c>
      <c r="B62" s="196">
        <f t="shared" ref="B62" si="15">SUM(B56:B61)</f>
        <v>0</v>
      </c>
      <c r="C62" s="196">
        <f t="shared" ref="C62:M62" si="16">SUM(C56:C61)</f>
        <v>0</v>
      </c>
      <c r="D62" s="196">
        <f t="shared" si="16"/>
        <v>0</v>
      </c>
      <c r="E62" s="196">
        <f t="shared" si="16"/>
        <v>0</v>
      </c>
      <c r="F62" s="196">
        <f t="shared" si="16"/>
        <v>0</v>
      </c>
      <c r="G62" s="196">
        <f t="shared" si="16"/>
        <v>0</v>
      </c>
      <c r="H62" s="196">
        <f t="shared" si="16"/>
        <v>0</v>
      </c>
      <c r="I62" s="196">
        <f t="shared" si="16"/>
        <v>0</v>
      </c>
      <c r="J62" s="196">
        <f t="shared" si="16"/>
        <v>0</v>
      </c>
      <c r="K62" s="196">
        <f t="shared" si="16"/>
        <v>0</v>
      </c>
      <c r="L62" s="196">
        <f t="shared" si="16"/>
        <v>0</v>
      </c>
      <c r="M62" s="196">
        <f t="shared" si="16"/>
        <v>0</v>
      </c>
      <c r="N62" s="196">
        <f>SUM(N56:N61)</f>
        <v>0</v>
      </c>
    </row>
    <row r="65" spans="1:27" x14ac:dyDescent="0.25">
      <c r="A65" s="130" t="s">
        <v>163</v>
      </c>
      <c r="B65" s="196"/>
      <c r="C65" s="19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O65" s="130"/>
    </row>
    <row r="66" spans="1:27" x14ac:dyDescent="0.25">
      <c r="A66" s="130" t="s">
        <v>164</v>
      </c>
      <c r="B66" s="222">
        <f>'12ME Dec18 Cal Bill Freq'!B20</f>
        <v>69360</v>
      </c>
      <c r="C66" s="222">
        <f>'12ME Dec18 Cal Bill Freq'!C20</f>
        <v>70980</v>
      </c>
      <c r="D66" s="222">
        <f>'12ME Dec18 Cal Bill Freq'!D20</f>
        <v>71100</v>
      </c>
      <c r="E66" s="222">
        <f>'12ME Dec18 Cal Bill Freq'!E20</f>
        <v>72000</v>
      </c>
      <c r="F66" s="222">
        <f>'12ME Dec18 Cal Bill Freq'!F20</f>
        <v>71141.990000000005</v>
      </c>
      <c r="G66" s="222">
        <f>'12ME Dec18 Cal Bill Freq'!G20</f>
        <v>73679.11</v>
      </c>
      <c r="H66" s="222">
        <f>'12ME Dec18 Cal Bill Freq'!H20</f>
        <v>73057.41</v>
      </c>
      <c r="I66" s="222">
        <f>'12ME Dec18 Cal Bill Freq'!I20</f>
        <v>73251.44</v>
      </c>
      <c r="J66" s="222">
        <f>'12ME Dec18 Cal Bill Freq'!J20</f>
        <v>73935.649999999994</v>
      </c>
      <c r="K66" s="222">
        <f>'12ME Dec18 Cal Bill Freq'!K20</f>
        <v>74550.95</v>
      </c>
      <c r="L66" s="222">
        <f>'12ME Dec18 Cal Bill Freq'!L20</f>
        <v>73800</v>
      </c>
      <c r="M66" s="222">
        <f>'12ME Dec18 Cal Bill Freq'!M20</f>
        <v>73800</v>
      </c>
      <c r="N66" s="196">
        <f t="shared" ref="N66:N68" si="17">SUM(B66:M66)</f>
        <v>870656.54999999993</v>
      </c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</row>
    <row r="67" spans="1:27" x14ac:dyDescent="0.25">
      <c r="A67" s="130" t="s">
        <v>165</v>
      </c>
      <c r="B67" s="222">
        <f>'12ME Dec18 Cal Bill Freq'!B21</f>
        <v>278423.61</v>
      </c>
      <c r="C67" s="222">
        <f>'12ME Dec18 Cal Bill Freq'!C21</f>
        <v>284808.07</v>
      </c>
      <c r="D67" s="222">
        <f>'12ME Dec18 Cal Bill Freq'!D21</f>
        <v>280728.15999999997</v>
      </c>
      <c r="E67" s="222">
        <f>'12ME Dec18 Cal Bill Freq'!E21</f>
        <v>264094.78999999998</v>
      </c>
      <c r="F67" s="222">
        <f>'12ME Dec18 Cal Bill Freq'!F21</f>
        <v>236993.8</v>
      </c>
      <c r="G67" s="222">
        <f>'12ME Dec18 Cal Bill Freq'!G21</f>
        <v>237154.84</v>
      </c>
      <c r="H67" s="222">
        <f>'12ME Dec18 Cal Bill Freq'!H21</f>
        <v>224856.92</v>
      </c>
      <c r="I67" s="222">
        <f>'12ME Dec18 Cal Bill Freq'!I21</f>
        <v>224420.98</v>
      </c>
      <c r="J67" s="222">
        <f>'12ME Dec18 Cal Bill Freq'!J21</f>
        <v>234124.08</v>
      </c>
      <c r="K67" s="222">
        <f>'12ME Dec18 Cal Bill Freq'!K21</f>
        <v>272736.33</v>
      </c>
      <c r="L67" s="222">
        <f>'12ME Dec18 Cal Bill Freq'!L21</f>
        <v>284495.09999999998</v>
      </c>
      <c r="M67" s="222">
        <f>'12ME Dec18 Cal Bill Freq'!M21</f>
        <v>305615.93</v>
      </c>
      <c r="N67" s="196">
        <f t="shared" si="17"/>
        <v>3128452.6100000003</v>
      </c>
    </row>
    <row r="68" spans="1:27" x14ac:dyDescent="0.25">
      <c r="A68" s="130" t="s">
        <v>166</v>
      </c>
      <c r="B68" s="196">
        <f>B69-SUM(B66:B67)</f>
        <v>1169507.2258492108</v>
      </c>
      <c r="C68" s="196">
        <f t="shared" ref="C68:M68" si="18">C69-SUM(C66:C67)</f>
        <v>1554310.8185548889</v>
      </c>
      <c r="D68" s="196">
        <f t="shared" si="18"/>
        <v>181380.8871578449</v>
      </c>
      <c r="E68" s="196">
        <f t="shared" si="18"/>
        <v>781615.95377333276</v>
      </c>
      <c r="F68" s="196">
        <f t="shared" si="18"/>
        <v>804161.22930412507</v>
      </c>
      <c r="G68" s="196">
        <f t="shared" si="18"/>
        <v>698269.17999999993</v>
      </c>
      <c r="H68" s="196">
        <f t="shared" si="18"/>
        <v>495677.02000000019</v>
      </c>
      <c r="I68" s="196">
        <f t="shared" si="18"/>
        <v>921084.45999999961</v>
      </c>
      <c r="J68" s="196">
        <f t="shared" si="18"/>
        <v>663953.42000000027</v>
      </c>
      <c r="K68" s="196">
        <f t="shared" si="18"/>
        <v>820220.28213583352</v>
      </c>
      <c r="L68" s="196">
        <f t="shared" si="18"/>
        <v>1144075.0186755527</v>
      </c>
      <c r="M68" s="196">
        <f t="shared" si="18"/>
        <v>783207.79362306627</v>
      </c>
      <c r="N68" s="196">
        <f t="shared" si="17"/>
        <v>10017463.289073855</v>
      </c>
    </row>
    <row r="69" spans="1:27" x14ac:dyDescent="0.25">
      <c r="A69" s="130" t="s">
        <v>6</v>
      </c>
      <c r="B69" s="222">
        <f>'[64]Weather Adj'!D152</f>
        <v>1517290.8358492109</v>
      </c>
      <c r="C69" s="222">
        <f>'[64]Weather Adj'!E152</f>
        <v>1910098.888554889</v>
      </c>
      <c r="D69" s="222">
        <f>'[64]Weather Adj'!F152</f>
        <v>533209.04715784488</v>
      </c>
      <c r="E69" s="222">
        <f>'[64]Weather Adj'!G152</f>
        <v>1117710.7437733328</v>
      </c>
      <c r="F69" s="222">
        <f>'[64]Weather Adj'!H152</f>
        <v>1112297.0193041251</v>
      </c>
      <c r="G69" s="222">
        <f>'[64]Weather Adj'!I152</f>
        <v>1009103.13</v>
      </c>
      <c r="H69" s="222">
        <f>'[64]Weather Adj'!J152</f>
        <v>793591.35000000021</v>
      </c>
      <c r="I69" s="222">
        <f>'[64]Weather Adj'!K152</f>
        <v>1218756.8799999997</v>
      </c>
      <c r="J69" s="222">
        <f>'[64]Weather Adj'!L152</f>
        <v>972013.15000000026</v>
      </c>
      <c r="K69" s="222">
        <f>'[64]Weather Adj'!M152</f>
        <v>1167507.5621358335</v>
      </c>
      <c r="L69" s="222">
        <f>'[64]Weather Adj'!N152</f>
        <v>1502370.1186755528</v>
      </c>
      <c r="M69" s="222">
        <f>'[64]Weather Adj'!O152</f>
        <v>1162623.7236230662</v>
      </c>
      <c r="N69" s="196">
        <f>SUM(N66:N68)</f>
        <v>14016572.449073855</v>
      </c>
    </row>
    <row r="70" spans="1:27" x14ac:dyDescent="0.25">
      <c r="A70" s="196"/>
      <c r="B70" s="196"/>
      <c r="C70" s="196"/>
      <c r="D70" s="196"/>
      <c r="E70" s="196"/>
      <c r="F70" s="196"/>
      <c r="G70" s="196"/>
      <c r="H70" s="196"/>
      <c r="I70" s="196"/>
      <c r="J70" s="196"/>
      <c r="K70" s="196"/>
      <c r="L70" s="196"/>
      <c r="M70" s="196"/>
    </row>
    <row r="71" spans="1:27" x14ac:dyDescent="0.25">
      <c r="A71" s="130"/>
      <c r="B71" s="196"/>
      <c r="C71" s="196"/>
      <c r="D71" s="196"/>
      <c r="E71" s="196"/>
      <c r="F71" s="196"/>
      <c r="G71" s="196"/>
      <c r="H71" s="196"/>
      <c r="I71" s="196"/>
      <c r="J71" s="196"/>
      <c r="K71" s="196"/>
      <c r="L71" s="196"/>
      <c r="M71" s="196"/>
    </row>
    <row r="72" spans="1:27" x14ac:dyDescent="0.25">
      <c r="A72" s="130" t="s">
        <v>167</v>
      </c>
      <c r="B72" s="196"/>
      <c r="C72" s="196"/>
      <c r="D72" s="196"/>
      <c r="E72" s="196"/>
      <c r="F72" s="196"/>
      <c r="G72" s="196"/>
      <c r="H72" s="196"/>
      <c r="I72" s="196"/>
      <c r="J72" s="196"/>
      <c r="K72" s="196"/>
      <c r="L72" s="196"/>
      <c r="M72" s="196"/>
    </row>
    <row r="73" spans="1:27" x14ac:dyDescent="0.25">
      <c r="A73" s="130" t="s">
        <v>164</v>
      </c>
      <c r="B73" s="222">
        <f>'12ME Dec18 Cal Bill Freq'!B27</f>
        <v>23430</v>
      </c>
      <c r="C73" s="222">
        <f>'12ME Dec18 Cal Bill Freq'!C27</f>
        <v>23400</v>
      </c>
      <c r="D73" s="222">
        <f>'12ME Dec18 Cal Bill Freq'!D27</f>
        <v>23400</v>
      </c>
      <c r="E73" s="222">
        <f>'12ME Dec18 Cal Bill Freq'!E27</f>
        <v>22500</v>
      </c>
      <c r="F73" s="222">
        <f>'12ME Dec18 Cal Bill Freq'!F27</f>
        <v>20700</v>
      </c>
      <c r="G73" s="222">
        <f>'12ME Dec18 Cal Bill Freq'!G27</f>
        <v>20700</v>
      </c>
      <c r="H73" s="222">
        <f>'12ME Dec18 Cal Bill Freq'!H27</f>
        <v>20601.21</v>
      </c>
      <c r="I73" s="222">
        <f>'12ME Dec18 Cal Bill Freq'!I27</f>
        <v>20705.490000000002</v>
      </c>
      <c r="J73" s="222">
        <f>'12ME Dec18 Cal Bill Freq'!J27</f>
        <v>20754.060000000001</v>
      </c>
      <c r="K73" s="222">
        <f>'12ME Dec18 Cal Bill Freq'!K27</f>
        <v>21529.65</v>
      </c>
      <c r="L73" s="222">
        <f>'12ME Dec18 Cal Bill Freq'!L27</f>
        <v>20700</v>
      </c>
      <c r="M73" s="222">
        <f>'12ME Dec18 Cal Bill Freq'!M27</f>
        <v>20700</v>
      </c>
      <c r="N73" s="196">
        <f t="shared" ref="N73:N75" si="19">SUM(B73:M73)</f>
        <v>259120.40999999997</v>
      </c>
    </row>
    <row r="74" spans="1:27" x14ac:dyDescent="0.25">
      <c r="A74" s="130" t="s">
        <v>165</v>
      </c>
      <c r="B74" s="222">
        <f>'12ME Dec18 Cal Bill Freq'!B28</f>
        <v>105881.71</v>
      </c>
      <c r="C74" s="222">
        <f>'12ME Dec18 Cal Bill Freq'!C28</f>
        <v>104439.87</v>
      </c>
      <c r="D74" s="222">
        <f>'12ME Dec18 Cal Bill Freq'!D28</f>
        <v>104239.07</v>
      </c>
      <c r="E74" s="222">
        <f>'12ME Dec18 Cal Bill Freq'!E28</f>
        <v>100178.73</v>
      </c>
      <c r="F74" s="222">
        <f>'12ME Dec18 Cal Bill Freq'!F28</f>
        <v>91707.43</v>
      </c>
      <c r="G74" s="222">
        <f>'12ME Dec18 Cal Bill Freq'!G28</f>
        <v>89579.8</v>
      </c>
      <c r="H74" s="222">
        <f>'12ME Dec18 Cal Bill Freq'!H28</f>
        <v>89429.69</v>
      </c>
      <c r="I74" s="222">
        <f>'12ME Dec18 Cal Bill Freq'!I28</f>
        <v>91238.53</v>
      </c>
      <c r="J74" s="222">
        <f>'12ME Dec18 Cal Bill Freq'!J28</f>
        <v>90939.3</v>
      </c>
      <c r="K74" s="222">
        <f>'12ME Dec18 Cal Bill Freq'!K28</f>
        <v>93055.91</v>
      </c>
      <c r="L74" s="222">
        <f>'12ME Dec18 Cal Bill Freq'!L28</f>
        <v>91820.59</v>
      </c>
      <c r="M74" s="222">
        <f>'12ME Dec18 Cal Bill Freq'!M28</f>
        <v>93116.1</v>
      </c>
      <c r="N74" s="196">
        <f t="shared" si="19"/>
        <v>1145626.7300000002</v>
      </c>
    </row>
    <row r="75" spans="1:27" x14ac:dyDescent="0.25">
      <c r="A75" s="130" t="s">
        <v>166</v>
      </c>
      <c r="B75" s="196">
        <f>B76-SUM(B73:B74)</f>
        <v>390353.69000000006</v>
      </c>
      <c r="C75" s="196">
        <f t="shared" ref="C75:M75" si="20">C76-SUM(C73:C74)</f>
        <v>885913.05999999982</v>
      </c>
      <c r="D75" s="196">
        <f t="shared" si="20"/>
        <v>80225.510000000242</v>
      </c>
      <c r="E75" s="196">
        <f t="shared" si="20"/>
        <v>454374.06999999983</v>
      </c>
      <c r="F75" s="196">
        <f t="shared" si="20"/>
        <v>453212.19000000024</v>
      </c>
      <c r="G75" s="196">
        <f t="shared" si="20"/>
        <v>351020.92999999976</v>
      </c>
      <c r="H75" s="196">
        <f t="shared" si="20"/>
        <v>305051.94999999995</v>
      </c>
      <c r="I75" s="196">
        <f t="shared" si="20"/>
        <v>553267.27000000014</v>
      </c>
      <c r="J75" s="196">
        <f t="shared" si="20"/>
        <v>361645.97</v>
      </c>
      <c r="K75" s="196">
        <f t="shared" si="20"/>
        <v>424641.71166666673</v>
      </c>
      <c r="L75" s="196">
        <f t="shared" si="20"/>
        <v>433179.75833333342</v>
      </c>
      <c r="M75" s="196">
        <f t="shared" si="20"/>
        <v>378128.75</v>
      </c>
      <c r="N75" s="196">
        <f t="shared" si="19"/>
        <v>5071014.8600000013</v>
      </c>
    </row>
    <row r="76" spans="1:27" x14ac:dyDescent="0.25">
      <c r="A76" s="130" t="s">
        <v>6</v>
      </c>
      <c r="B76" s="222">
        <f>'[64]Weather Adj'!D171</f>
        <v>519665.40000000008</v>
      </c>
      <c r="C76" s="222">
        <f>'[64]Weather Adj'!E171</f>
        <v>1013752.9299999998</v>
      </c>
      <c r="D76" s="222">
        <f>'[64]Weather Adj'!F171</f>
        <v>207864.58000000025</v>
      </c>
      <c r="E76" s="222">
        <f>'[64]Weather Adj'!G171</f>
        <v>577052.79999999981</v>
      </c>
      <c r="F76" s="222">
        <f>'[64]Weather Adj'!H171</f>
        <v>565619.62000000023</v>
      </c>
      <c r="G76" s="222">
        <f>'[64]Weather Adj'!I171</f>
        <v>461300.72999999975</v>
      </c>
      <c r="H76" s="222">
        <f>'[64]Weather Adj'!J171</f>
        <v>415082.84999999992</v>
      </c>
      <c r="I76" s="222">
        <f>'[64]Weather Adj'!K171</f>
        <v>665211.29000000015</v>
      </c>
      <c r="J76" s="222">
        <f>'[64]Weather Adj'!L171</f>
        <v>473339.32999999996</v>
      </c>
      <c r="K76" s="222">
        <f>'[64]Weather Adj'!M171</f>
        <v>539227.27166666673</v>
      </c>
      <c r="L76" s="222">
        <f>'[64]Weather Adj'!N171</f>
        <v>545700.34833333339</v>
      </c>
      <c r="M76" s="222">
        <f>'[64]Weather Adj'!O171</f>
        <v>491944.85</v>
      </c>
      <c r="N76" s="196">
        <f>SUM(N73:N75)</f>
        <v>6475762.0000000019</v>
      </c>
    </row>
    <row r="77" spans="1:27" x14ac:dyDescent="0.25">
      <c r="A77" s="130"/>
      <c r="B77" s="196"/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</row>
    <row r="78" spans="1:27" x14ac:dyDescent="0.25">
      <c r="A78" s="130"/>
      <c r="B78" s="196"/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</row>
    <row r="79" spans="1:27" x14ac:dyDescent="0.25">
      <c r="A79" s="130" t="s">
        <v>168</v>
      </c>
      <c r="B79" s="196"/>
      <c r="C79" s="196"/>
      <c r="D79" s="196"/>
      <c r="E79" s="196"/>
      <c r="F79" s="196"/>
      <c r="G79" s="196"/>
      <c r="H79" s="196"/>
      <c r="I79" s="196"/>
      <c r="J79" s="196"/>
      <c r="K79" s="196"/>
      <c r="L79" s="196"/>
      <c r="M79" s="196"/>
    </row>
    <row r="80" spans="1:27" x14ac:dyDescent="0.25">
      <c r="A80" s="130" t="s">
        <v>88</v>
      </c>
      <c r="B80" s="222">
        <f>'12ME Dec18 Cal Bill Freq'!B48</f>
        <v>795648.58</v>
      </c>
      <c r="C80" s="222">
        <f>'12ME Dec18 Cal Bill Freq'!C48</f>
        <v>769515.8</v>
      </c>
      <c r="D80" s="222">
        <f>'12ME Dec18 Cal Bill Freq'!D48</f>
        <v>788760.82</v>
      </c>
      <c r="E80" s="222">
        <f>'12ME Dec18 Cal Bill Freq'!E48</f>
        <v>775878.28</v>
      </c>
      <c r="F80" s="222">
        <f>'12ME Dec18 Cal Bill Freq'!F48</f>
        <v>779542.12</v>
      </c>
      <c r="G80" s="222">
        <f>'12ME Dec18 Cal Bill Freq'!G48</f>
        <v>782090.09</v>
      </c>
      <c r="H80" s="222">
        <f>'12ME Dec18 Cal Bill Freq'!H48</f>
        <v>768423.58</v>
      </c>
      <c r="I80" s="222">
        <f>'12ME Dec18 Cal Bill Freq'!I48</f>
        <v>763186.72</v>
      </c>
      <c r="J80" s="222">
        <f>'12ME Dec18 Cal Bill Freq'!J48</f>
        <v>764600.1</v>
      </c>
      <c r="K80" s="222">
        <f>'12ME Dec18 Cal Bill Freq'!K48</f>
        <v>785087.26</v>
      </c>
      <c r="L80" s="222">
        <f>'12ME Dec18 Cal Bill Freq'!L48</f>
        <v>780276.71</v>
      </c>
      <c r="M80" s="222">
        <f>'12ME Dec18 Cal Bill Freq'!M48</f>
        <v>776596.75</v>
      </c>
      <c r="N80" s="196">
        <f t="shared" ref="N80:N82" si="21">SUM(B80:M80)</f>
        <v>9329606.8099999987</v>
      </c>
    </row>
    <row r="81" spans="1:14" x14ac:dyDescent="0.25">
      <c r="A81" s="130" t="s">
        <v>89</v>
      </c>
      <c r="B81" s="222">
        <f>'12ME Dec18 Cal Bill Freq'!B49</f>
        <v>542927.29</v>
      </c>
      <c r="C81" s="222">
        <f>'12ME Dec18 Cal Bill Freq'!C49</f>
        <v>521896.28</v>
      </c>
      <c r="D81" s="222">
        <f>'12ME Dec18 Cal Bill Freq'!D49</f>
        <v>553130.56999999995</v>
      </c>
      <c r="E81" s="222">
        <f>'12ME Dec18 Cal Bill Freq'!E49</f>
        <v>502540.24</v>
      </c>
      <c r="F81" s="222">
        <f>'12ME Dec18 Cal Bill Freq'!F49</f>
        <v>489533.2</v>
      </c>
      <c r="G81" s="222">
        <f>'12ME Dec18 Cal Bill Freq'!G49</f>
        <v>495352.57</v>
      </c>
      <c r="H81" s="222">
        <f>'12ME Dec18 Cal Bill Freq'!H49</f>
        <v>471637.41</v>
      </c>
      <c r="I81" s="222">
        <f>'12ME Dec18 Cal Bill Freq'!I49</f>
        <v>481182</v>
      </c>
      <c r="J81" s="222">
        <f>'12ME Dec18 Cal Bill Freq'!J49</f>
        <v>478999.1</v>
      </c>
      <c r="K81" s="222">
        <f>'12ME Dec18 Cal Bill Freq'!K49</f>
        <v>520849.77</v>
      </c>
      <c r="L81" s="222">
        <f>'12ME Dec18 Cal Bill Freq'!L49</f>
        <v>539999.15</v>
      </c>
      <c r="M81" s="222">
        <f>'12ME Dec18 Cal Bill Freq'!M49</f>
        <v>559676.5</v>
      </c>
      <c r="N81" s="196">
        <f t="shared" si="21"/>
        <v>6157724.0800000001</v>
      </c>
    </row>
    <row r="82" spans="1:14" x14ac:dyDescent="0.25">
      <c r="A82" s="130" t="s">
        <v>169</v>
      </c>
      <c r="B82" s="196">
        <f>B83-SUM(B80:B81)</f>
        <v>860195.47942366637</v>
      </c>
      <c r="C82" s="196">
        <f t="shared" ref="C82:M82" si="22">C83-SUM(C80:C81)</f>
        <v>1741811.8802066674</v>
      </c>
      <c r="D82" s="196">
        <f t="shared" si="22"/>
        <v>-291781.19363824977</v>
      </c>
      <c r="E82" s="196">
        <f t="shared" si="22"/>
        <v>673903.31219416647</v>
      </c>
      <c r="F82" s="196">
        <f t="shared" si="22"/>
        <v>501070.08417266654</v>
      </c>
      <c r="G82" s="196">
        <f t="shared" si="22"/>
        <v>487365.05412725057</v>
      </c>
      <c r="H82" s="196">
        <f t="shared" si="22"/>
        <v>441177.76</v>
      </c>
      <c r="I82" s="196">
        <f t="shared" si="22"/>
        <v>1284494.0599999998</v>
      </c>
      <c r="J82" s="196">
        <f t="shared" si="22"/>
        <v>-444680.25999999978</v>
      </c>
      <c r="K82" s="196">
        <f t="shared" si="22"/>
        <v>772687.55636041635</v>
      </c>
      <c r="L82" s="196">
        <f t="shared" si="22"/>
        <v>609024.98120016698</v>
      </c>
      <c r="M82" s="196">
        <f t="shared" si="22"/>
        <v>897764.87092433358</v>
      </c>
      <c r="N82" s="196">
        <f t="shared" si="21"/>
        <v>7533033.5849710833</v>
      </c>
    </row>
    <row r="83" spans="1:14" x14ac:dyDescent="0.25">
      <c r="A83" s="130" t="s">
        <v>6</v>
      </c>
      <c r="B83" s="222">
        <f>'[64]Weather Adj'!D153</f>
        <v>2198771.3494236665</v>
      </c>
      <c r="C83" s="222">
        <f>'[64]Weather Adj'!E153</f>
        <v>3033223.9602066674</v>
      </c>
      <c r="D83" s="222">
        <f>'[64]Weather Adj'!F153</f>
        <v>1050110.1963617501</v>
      </c>
      <c r="E83" s="222">
        <f>'[64]Weather Adj'!G153</f>
        <v>1952321.8321941665</v>
      </c>
      <c r="F83" s="222">
        <f>'[64]Weather Adj'!H153</f>
        <v>1770145.4041726666</v>
      </c>
      <c r="G83" s="222">
        <f>'[64]Weather Adj'!I153</f>
        <v>1764807.7141272505</v>
      </c>
      <c r="H83" s="222">
        <f>'[64]Weather Adj'!J153</f>
        <v>1681238.75</v>
      </c>
      <c r="I83" s="222">
        <f>'[64]Weather Adj'!K153</f>
        <v>2528862.7799999998</v>
      </c>
      <c r="J83" s="222">
        <f>'[64]Weather Adj'!L153</f>
        <v>798918.94000000018</v>
      </c>
      <c r="K83" s="222">
        <f>'[64]Weather Adj'!M153</f>
        <v>2078624.5863604164</v>
      </c>
      <c r="L83" s="222">
        <f>'[64]Weather Adj'!N153</f>
        <v>1929300.8412001668</v>
      </c>
      <c r="M83" s="222">
        <f>'[64]Weather Adj'!O153</f>
        <v>2234038.1209243336</v>
      </c>
      <c r="N83" s="196">
        <f>SUM(N80:N82)</f>
        <v>23020364.474971082</v>
      </c>
    </row>
    <row r="84" spans="1:14" x14ac:dyDescent="0.25">
      <c r="A84" s="130"/>
      <c r="B84" s="196"/>
      <c r="C84" s="196"/>
      <c r="D84" s="196"/>
      <c r="E84" s="196"/>
      <c r="F84" s="196"/>
      <c r="G84" s="196"/>
      <c r="H84" s="196"/>
      <c r="I84" s="196"/>
      <c r="J84" s="196"/>
      <c r="K84" s="196"/>
      <c r="L84" s="196"/>
      <c r="M84" s="196"/>
    </row>
    <row r="85" spans="1:14" x14ac:dyDescent="0.25">
      <c r="A85" s="130"/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</row>
    <row r="86" spans="1:14" x14ac:dyDescent="0.25">
      <c r="A86" s="130" t="s">
        <v>170</v>
      </c>
      <c r="B86" s="196"/>
      <c r="C86" s="196"/>
      <c r="D86" s="196"/>
      <c r="E86" s="196"/>
      <c r="F86" s="196"/>
      <c r="G86" s="196"/>
      <c r="H86" s="196"/>
      <c r="I86" s="196"/>
      <c r="J86" s="196"/>
      <c r="K86" s="196"/>
      <c r="L86" s="196"/>
      <c r="M86" s="196"/>
    </row>
    <row r="87" spans="1:14" x14ac:dyDescent="0.25">
      <c r="A87" s="130" t="s">
        <v>88</v>
      </c>
      <c r="B87" s="222">
        <f>'12ME Dec18 Cal Bill Freq'!B55</f>
        <v>1462114.96</v>
      </c>
      <c r="C87" s="222">
        <f>'12ME Dec18 Cal Bill Freq'!C55</f>
        <v>1504173.8</v>
      </c>
      <c r="D87" s="222">
        <f>'12ME Dec18 Cal Bill Freq'!D55</f>
        <v>1601952.22</v>
      </c>
      <c r="E87" s="222">
        <f>'12ME Dec18 Cal Bill Freq'!E55</f>
        <v>1597650.4</v>
      </c>
      <c r="F87" s="222">
        <f>'12ME Dec18 Cal Bill Freq'!F55</f>
        <v>1600042.06</v>
      </c>
      <c r="G87" s="222">
        <f>'12ME Dec18 Cal Bill Freq'!G55</f>
        <v>1608072.67</v>
      </c>
      <c r="H87" s="222">
        <f>'12ME Dec18 Cal Bill Freq'!H55</f>
        <v>1602012.46</v>
      </c>
      <c r="I87" s="222">
        <f>'12ME Dec18 Cal Bill Freq'!I55</f>
        <v>1590304.81</v>
      </c>
      <c r="J87" s="222">
        <f>'12ME Dec18 Cal Bill Freq'!J55</f>
        <v>1611003.43</v>
      </c>
      <c r="K87" s="222">
        <f>'12ME Dec18 Cal Bill Freq'!K55</f>
        <v>1645533.89</v>
      </c>
      <c r="L87" s="222">
        <f>'12ME Dec18 Cal Bill Freq'!L55</f>
        <v>1542536.25</v>
      </c>
      <c r="M87" s="222">
        <f>'12ME Dec18 Cal Bill Freq'!M55</f>
        <v>1428059.92</v>
      </c>
      <c r="N87" s="196">
        <f t="shared" ref="N87:N89" si="23">SUM(B87:M87)</f>
        <v>18793456.870000005</v>
      </c>
    </row>
    <row r="88" spans="1:14" x14ac:dyDescent="0.25">
      <c r="A88" s="130" t="s">
        <v>89</v>
      </c>
      <c r="B88" s="222">
        <f>'12ME Dec18 Cal Bill Freq'!B56</f>
        <v>1038998.88</v>
      </c>
      <c r="C88" s="222">
        <f>'12ME Dec18 Cal Bill Freq'!C56</f>
        <v>947370.73</v>
      </c>
      <c r="D88" s="222">
        <f>'12ME Dec18 Cal Bill Freq'!D56</f>
        <v>1098021.3700000001</v>
      </c>
      <c r="E88" s="222">
        <f>'12ME Dec18 Cal Bill Freq'!E56</f>
        <v>1061605.1299999999</v>
      </c>
      <c r="F88" s="222">
        <f>'12ME Dec18 Cal Bill Freq'!F56</f>
        <v>1159432.25</v>
      </c>
      <c r="G88" s="222">
        <f>'12ME Dec18 Cal Bill Freq'!G56</f>
        <v>1071304.6599999999</v>
      </c>
      <c r="H88" s="222">
        <f>'12ME Dec18 Cal Bill Freq'!H56</f>
        <v>1087910.81</v>
      </c>
      <c r="I88" s="222">
        <f>'12ME Dec18 Cal Bill Freq'!I56</f>
        <v>1044598.91</v>
      </c>
      <c r="J88" s="222">
        <f>'12ME Dec18 Cal Bill Freq'!J56</f>
        <v>1073274.48</v>
      </c>
      <c r="K88" s="222">
        <f>'12ME Dec18 Cal Bill Freq'!K56</f>
        <v>1208193.81</v>
      </c>
      <c r="L88" s="222">
        <f>'12ME Dec18 Cal Bill Freq'!L56</f>
        <v>909585.15</v>
      </c>
      <c r="M88" s="222">
        <f>'12ME Dec18 Cal Bill Freq'!M56</f>
        <v>874252.46</v>
      </c>
      <c r="N88" s="196">
        <f t="shared" si="23"/>
        <v>12574548.640000001</v>
      </c>
    </row>
    <row r="89" spans="1:14" x14ac:dyDescent="0.25">
      <c r="A89" s="130" t="s">
        <v>169</v>
      </c>
      <c r="B89" s="196">
        <f>B90-SUM(B87:B88)</f>
        <v>2027714.7399999993</v>
      </c>
      <c r="C89" s="196">
        <f t="shared" ref="C89:M89" si="24">C90-SUM(C87:C88)</f>
        <v>3852845.5099999988</v>
      </c>
      <c r="D89" s="196">
        <f t="shared" si="24"/>
        <v>-81554.429999998771</v>
      </c>
      <c r="E89" s="196">
        <f t="shared" si="24"/>
        <v>1292846.1000000001</v>
      </c>
      <c r="F89" s="196">
        <f t="shared" si="24"/>
        <v>1781398.31</v>
      </c>
      <c r="G89" s="196">
        <f t="shared" si="24"/>
        <v>1533124.7599999998</v>
      </c>
      <c r="H89" s="196">
        <f t="shared" si="24"/>
        <v>1336521.2200000011</v>
      </c>
      <c r="I89" s="196">
        <f t="shared" si="24"/>
        <v>1654688.6599999997</v>
      </c>
      <c r="J89" s="196">
        <f t="shared" si="24"/>
        <v>1659910.63</v>
      </c>
      <c r="K89" s="196">
        <f t="shared" si="24"/>
        <v>1836548.2116666669</v>
      </c>
      <c r="L89" s="196">
        <f t="shared" si="24"/>
        <v>1707629.0983333341</v>
      </c>
      <c r="M89" s="196">
        <f t="shared" si="24"/>
        <v>1783494.3400000008</v>
      </c>
      <c r="N89" s="196">
        <f t="shared" si="23"/>
        <v>20385167.149999999</v>
      </c>
    </row>
    <row r="90" spans="1:14" x14ac:dyDescent="0.25">
      <c r="A90" s="130" t="s">
        <v>6</v>
      </c>
      <c r="B90" s="222">
        <f>'[64]Weather Adj'!D172</f>
        <v>4528828.5799999991</v>
      </c>
      <c r="C90" s="222">
        <f>'[64]Weather Adj'!E172</f>
        <v>6304390.0399999991</v>
      </c>
      <c r="D90" s="222">
        <f>'[64]Weather Adj'!F172</f>
        <v>2618419.1600000011</v>
      </c>
      <c r="E90" s="222">
        <f>'[64]Weather Adj'!G172</f>
        <v>3952101.63</v>
      </c>
      <c r="F90" s="222">
        <f>'[64]Weather Adj'!H172</f>
        <v>4540872.62</v>
      </c>
      <c r="G90" s="222">
        <f>'[64]Weather Adj'!I172</f>
        <v>4212502.09</v>
      </c>
      <c r="H90" s="222">
        <f>'[64]Weather Adj'!J172</f>
        <v>4026444.4900000012</v>
      </c>
      <c r="I90" s="222">
        <f>'[64]Weather Adj'!K172</f>
        <v>4289592.38</v>
      </c>
      <c r="J90" s="222">
        <f>'[64]Weather Adj'!L172</f>
        <v>4344188.54</v>
      </c>
      <c r="K90" s="222">
        <f>'[64]Weather Adj'!M172</f>
        <v>4690275.9116666671</v>
      </c>
      <c r="L90" s="222">
        <f>'[64]Weather Adj'!N172</f>
        <v>4159750.498333334</v>
      </c>
      <c r="M90" s="222">
        <f>'[64]Weather Adj'!O172</f>
        <v>4085806.7200000007</v>
      </c>
      <c r="N90" s="196">
        <f>SUM(N87:N89)</f>
        <v>51753172.660000004</v>
      </c>
    </row>
    <row r="91" spans="1:14" x14ac:dyDescent="0.25">
      <c r="A91" s="130"/>
      <c r="B91" s="196"/>
      <c r="C91" s="196"/>
      <c r="D91" s="196"/>
      <c r="E91" s="196"/>
      <c r="F91" s="196"/>
      <c r="G91" s="196"/>
      <c r="H91" s="196"/>
      <c r="I91" s="196"/>
      <c r="J91" s="196"/>
      <c r="K91" s="196"/>
      <c r="L91" s="196"/>
      <c r="M91" s="196"/>
    </row>
    <row r="92" spans="1:14" x14ac:dyDescent="0.25">
      <c r="A92" s="130"/>
      <c r="B92" s="196"/>
      <c r="C92" s="196"/>
      <c r="D92" s="196"/>
      <c r="E92" s="196"/>
      <c r="F92" s="196"/>
      <c r="G92" s="196"/>
      <c r="H92" s="196"/>
      <c r="I92" s="196"/>
      <c r="J92" s="196"/>
      <c r="K92" s="196"/>
      <c r="L92" s="196"/>
      <c r="M92" s="196"/>
    </row>
    <row r="93" spans="1:14" x14ac:dyDescent="0.25">
      <c r="A93" s="196" t="s">
        <v>171</v>
      </c>
      <c r="B93" s="196"/>
      <c r="C93" s="196"/>
      <c r="D93" s="196"/>
      <c r="E93" s="196"/>
      <c r="F93" s="196"/>
      <c r="G93" s="196"/>
      <c r="H93" s="196"/>
      <c r="I93" s="196"/>
      <c r="J93" s="196"/>
      <c r="K93" s="196"/>
      <c r="L93" s="196"/>
      <c r="M93" s="196"/>
    </row>
    <row r="94" spans="1:14" x14ac:dyDescent="0.25">
      <c r="A94" s="130" t="s">
        <v>94</v>
      </c>
      <c r="B94" s="222">
        <f>'12ME Dec18 Cal Bill Freq'!B74</f>
        <v>2000</v>
      </c>
      <c r="C94" s="222">
        <f>'12ME Dec18 Cal Bill Freq'!C74</f>
        <v>2000</v>
      </c>
      <c r="D94" s="222">
        <f>'12ME Dec18 Cal Bill Freq'!D74</f>
        <v>2000</v>
      </c>
      <c r="E94" s="222">
        <f>'12ME Dec18 Cal Bill Freq'!E74</f>
        <v>2000</v>
      </c>
      <c r="F94" s="222">
        <f>'12ME Dec18 Cal Bill Freq'!F74</f>
        <v>2000</v>
      </c>
      <c r="G94" s="222">
        <f>'12ME Dec18 Cal Bill Freq'!G74</f>
        <v>1930.91</v>
      </c>
      <c r="H94" s="222">
        <f>'12ME Dec18 Cal Bill Freq'!H74</f>
        <v>1405.28</v>
      </c>
      <c r="I94" s="222">
        <f>'12ME Dec18 Cal Bill Freq'!I74</f>
        <v>2000</v>
      </c>
      <c r="J94" s="222">
        <f>'12ME Dec18 Cal Bill Freq'!J74</f>
        <v>1675.55</v>
      </c>
      <c r="K94" s="222">
        <f>'12ME Dec18 Cal Bill Freq'!K74</f>
        <v>2000</v>
      </c>
      <c r="L94" s="222">
        <f>'12ME Dec18 Cal Bill Freq'!L74</f>
        <v>2000</v>
      </c>
      <c r="M94" s="222">
        <f>'12ME Dec18 Cal Bill Freq'!M74</f>
        <v>2000</v>
      </c>
      <c r="N94" s="196">
        <f t="shared" ref="N94:N95" si="25">SUM(B94:M94)</f>
        <v>23011.74</v>
      </c>
    </row>
    <row r="95" spans="1:14" x14ac:dyDescent="0.25">
      <c r="A95" s="130" t="s">
        <v>172</v>
      </c>
      <c r="B95" s="196">
        <f>B96-B94</f>
        <v>47343.94</v>
      </c>
      <c r="C95" s="196">
        <f t="shared" ref="C95:M95" si="26">C96-C94</f>
        <v>41260.89</v>
      </c>
      <c r="D95" s="196">
        <f t="shared" si="26"/>
        <v>45997.709999999992</v>
      </c>
      <c r="E95" s="196">
        <f t="shared" si="26"/>
        <v>18571.19000000001</v>
      </c>
      <c r="F95" s="196">
        <f t="shared" si="26"/>
        <v>26894.409999999993</v>
      </c>
      <c r="G95" s="196">
        <f t="shared" si="26"/>
        <v>14865.7</v>
      </c>
      <c r="H95" s="196">
        <f t="shared" si="26"/>
        <v>14950.530000000002</v>
      </c>
      <c r="I95" s="196">
        <f t="shared" si="26"/>
        <v>11575.84</v>
      </c>
      <c r="J95" s="196">
        <f t="shared" si="26"/>
        <v>17245.48</v>
      </c>
      <c r="K95" s="196">
        <f t="shared" si="26"/>
        <v>34888.018333333326</v>
      </c>
      <c r="L95" s="196">
        <f t="shared" si="26"/>
        <v>28447.391666666674</v>
      </c>
      <c r="M95" s="196">
        <f t="shared" si="26"/>
        <v>26235.309999999998</v>
      </c>
      <c r="N95" s="196">
        <f t="shared" si="25"/>
        <v>328276.40999999997</v>
      </c>
    </row>
    <row r="96" spans="1:14" x14ac:dyDescent="0.25">
      <c r="A96" s="130" t="s">
        <v>6</v>
      </c>
      <c r="B96" s="222">
        <f>'[64]Weather Adj'!D173</f>
        <v>49343.94</v>
      </c>
      <c r="C96" s="222">
        <f>'[64]Weather Adj'!E173</f>
        <v>43260.89</v>
      </c>
      <c r="D96" s="222">
        <f>'[64]Weather Adj'!F173</f>
        <v>47997.709999999992</v>
      </c>
      <c r="E96" s="222">
        <f>'[64]Weather Adj'!G173</f>
        <v>20571.19000000001</v>
      </c>
      <c r="F96" s="222">
        <f>'[64]Weather Adj'!H173</f>
        <v>28894.409999999993</v>
      </c>
      <c r="G96" s="222">
        <f>'[64]Weather Adj'!I173</f>
        <v>16796.61</v>
      </c>
      <c r="H96" s="222">
        <f>'[64]Weather Adj'!J173</f>
        <v>16355.810000000003</v>
      </c>
      <c r="I96" s="222">
        <f>'[64]Weather Adj'!K173</f>
        <v>13575.84</v>
      </c>
      <c r="J96" s="222">
        <f>'[64]Weather Adj'!L173</f>
        <v>18921.03</v>
      </c>
      <c r="K96" s="222">
        <f>'[64]Weather Adj'!M173</f>
        <v>36888.018333333326</v>
      </c>
      <c r="L96" s="222">
        <f>'[64]Weather Adj'!N173</f>
        <v>30447.391666666674</v>
      </c>
      <c r="M96" s="222">
        <f>'[64]Weather Adj'!O173</f>
        <v>28235.309999999998</v>
      </c>
      <c r="N96" s="196">
        <f>SUM(N94:N95)</f>
        <v>351288.14999999997</v>
      </c>
    </row>
    <row r="97" spans="1:14" x14ac:dyDescent="0.25">
      <c r="A97" s="130"/>
      <c r="B97" s="196"/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</row>
    <row r="98" spans="1:14" x14ac:dyDescent="0.25">
      <c r="A98" s="130"/>
      <c r="B98" s="196"/>
      <c r="C98" s="196"/>
      <c r="D98" s="196"/>
      <c r="E98" s="196"/>
      <c r="F98" s="196"/>
      <c r="G98" s="196"/>
      <c r="H98" s="196"/>
      <c r="I98" s="196"/>
      <c r="J98" s="196"/>
      <c r="K98" s="196"/>
      <c r="L98" s="196"/>
      <c r="M98" s="196"/>
    </row>
    <row r="99" spans="1:14" x14ac:dyDescent="0.25">
      <c r="A99" s="130" t="s">
        <v>173</v>
      </c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</row>
    <row r="100" spans="1:14" x14ac:dyDescent="0.25">
      <c r="A100" s="130" t="s">
        <v>88</v>
      </c>
      <c r="B100" s="222">
        <f>'12ME Dec18 Cal Bill Freq'!B100</f>
        <v>75000</v>
      </c>
      <c r="C100" s="222">
        <f>'12ME Dec18 Cal Bill Freq'!C100</f>
        <v>75000</v>
      </c>
      <c r="D100" s="222">
        <f>'12ME Dec18 Cal Bill Freq'!D100</f>
        <v>75000</v>
      </c>
      <c r="E100" s="222">
        <f>'12ME Dec18 Cal Bill Freq'!E100</f>
        <v>75000</v>
      </c>
      <c r="F100" s="222">
        <f>'12ME Dec18 Cal Bill Freq'!F100</f>
        <v>75000</v>
      </c>
      <c r="G100" s="222">
        <f>'12ME Dec18 Cal Bill Freq'!G100</f>
        <v>75000</v>
      </c>
      <c r="H100" s="222">
        <f>'12ME Dec18 Cal Bill Freq'!H100</f>
        <v>75000</v>
      </c>
      <c r="I100" s="222">
        <f>'12ME Dec18 Cal Bill Freq'!I100</f>
        <v>75000</v>
      </c>
      <c r="J100" s="222">
        <f>'12ME Dec18 Cal Bill Freq'!J100</f>
        <v>75000</v>
      </c>
      <c r="K100" s="222">
        <f>'12ME Dec18 Cal Bill Freq'!K100</f>
        <v>75000</v>
      </c>
      <c r="L100" s="222">
        <f>'12ME Dec18 Cal Bill Freq'!L100</f>
        <v>75000</v>
      </c>
      <c r="M100" s="222">
        <f>'12ME Dec18 Cal Bill Freq'!M100</f>
        <v>75000</v>
      </c>
      <c r="N100" s="196">
        <f t="shared" ref="N100:N105" si="27">SUM(B100:M100)</f>
        <v>900000</v>
      </c>
    </row>
    <row r="101" spans="1:14" x14ac:dyDescent="0.25">
      <c r="A101" s="130" t="s">
        <v>89</v>
      </c>
      <c r="B101" s="222">
        <f>'12ME Dec18 Cal Bill Freq'!B101</f>
        <v>75000</v>
      </c>
      <c r="C101" s="222">
        <f>'12ME Dec18 Cal Bill Freq'!C101</f>
        <v>75000</v>
      </c>
      <c r="D101" s="222">
        <f>'12ME Dec18 Cal Bill Freq'!D101</f>
        <v>75000</v>
      </c>
      <c r="E101" s="222">
        <f>'12ME Dec18 Cal Bill Freq'!E101</f>
        <v>75000</v>
      </c>
      <c r="F101" s="222">
        <f>'12ME Dec18 Cal Bill Freq'!F101</f>
        <v>75000</v>
      </c>
      <c r="G101" s="222">
        <f>'12ME Dec18 Cal Bill Freq'!G101</f>
        <v>75000</v>
      </c>
      <c r="H101" s="222">
        <f>'12ME Dec18 Cal Bill Freq'!H101</f>
        <v>75000</v>
      </c>
      <c r="I101" s="222">
        <f>'12ME Dec18 Cal Bill Freq'!I101</f>
        <v>75000</v>
      </c>
      <c r="J101" s="222">
        <f>'12ME Dec18 Cal Bill Freq'!J101</f>
        <v>75000</v>
      </c>
      <c r="K101" s="222">
        <f>'12ME Dec18 Cal Bill Freq'!K101</f>
        <v>75000</v>
      </c>
      <c r="L101" s="222">
        <f>'12ME Dec18 Cal Bill Freq'!L101</f>
        <v>75000</v>
      </c>
      <c r="M101" s="222">
        <f>'12ME Dec18 Cal Bill Freq'!M101</f>
        <v>75000</v>
      </c>
      <c r="N101" s="196">
        <f t="shared" si="27"/>
        <v>900000</v>
      </c>
    </row>
    <row r="102" spans="1:14" x14ac:dyDescent="0.25">
      <c r="A102" s="130" t="s">
        <v>99</v>
      </c>
      <c r="B102" s="222">
        <f>'12ME Dec18 Cal Bill Freq'!B102</f>
        <v>150000</v>
      </c>
      <c r="C102" s="222">
        <f>'12ME Dec18 Cal Bill Freq'!C102</f>
        <v>150000</v>
      </c>
      <c r="D102" s="222">
        <f>'12ME Dec18 Cal Bill Freq'!D102</f>
        <v>150000</v>
      </c>
      <c r="E102" s="222">
        <f>'12ME Dec18 Cal Bill Freq'!E102</f>
        <v>150000</v>
      </c>
      <c r="F102" s="222">
        <f>'12ME Dec18 Cal Bill Freq'!F102</f>
        <v>150000</v>
      </c>
      <c r="G102" s="222">
        <f>'12ME Dec18 Cal Bill Freq'!G102</f>
        <v>150000</v>
      </c>
      <c r="H102" s="222">
        <f>'12ME Dec18 Cal Bill Freq'!H102</f>
        <v>134439.38</v>
      </c>
      <c r="I102" s="222">
        <f>'12ME Dec18 Cal Bill Freq'!I102</f>
        <v>150000</v>
      </c>
      <c r="J102" s="222">
        <f>'12ME Dec18 Cal Bill Freq'!J102</f>
        <v>150000</v>
      </c>
      <c r="K102" s="222">
        <f>'12ME Dec18 Cal Bill Freq'!K102</f>
        <v>150000</v>
      </c>
      <c r="L102" s="222">
        <f>'12ME Dec18 Cal Bill Freq'!L102</f>
        <v>150000</v>
      </c>
      <c r="M102" s="222">
        <f>'12ME Dec18 Cal Bill Freq'!M102</f>
        <v>150000</v>
      </c>
      <c r="N102" s="196">
        <f t="shared" si="27"/>
        <v>1784439.38</v>
      </c>
    </row>
    <row r="103" spans="1:14" x14ac:dyDescent="0.25">
      <c r="A103" s="130" t="s">
        <v>100</v>
      </c>
      <c r="B103" s="222">
        <f>'12ME Dec18 Cal Bill Freq'!B103</f>
        <v>300000</v>
      </c>
      <c r="C103" s="222">
        <f>'12ME Dec18 Cal Bill Freq'!C103</f>
        <v>285133.58</v>
      </c>
      <c r="D103" s="222">
        <f>'12ME Dec18 Cal Bill Freq'!D103</f>
        <v>300000</v>
      </c>
      <c r="E103" s="222">
        <f>'12ME Dec18 Cal Bill Freq'!E103</f>
        <v>298043.53000000003</v>
      </c>
      <c r="F103" s="222">
        <f>'12ME Dec18 Cal Bill Freq'!F103</f>
        <v>296265.65999999997</v>
      </c>
      <c r="G103" s="222">
        <f>'12ME Dec18 Cal Bill Freq'!G103</f>
        <v>273725.57</v>
      </c>
      <c r="H103" s="222">
        <f>'12ME Dec18 Cal Bill Freq'!H103</f>
        <v>200000</v>
      </c>
      <c r="I103" s="222">
        <f>'12ME Dec18 Cal Bill Freq'!I103</f>
        <v>245505.38</v>
      </c>
      <c r="J103" s="222">
        <f>'12ME Dec18 Cal Bill Freq'!J103</f>
        <v>262469.55</v>
      </c>
      <c r="K103" s="222">
        <f>'12ME Dec18 Cal Bill Freq'!K103</f>
        <v>299566.06</v>
      </c>
      <c r="L103" s="222">
        <f>'12ME Dec18 Cal Bill Freq'!L103</f>
        <v>298480</v>
      </c>
      <c r="M103" s="222">
        <f>'12ME Dec18 Cal Bill Freq'!M103</f>
        <v>296939.21999999997</v>
      </c>
      <c r="N103" s="196">
        <f t="shared" si="27"/>
        <v>3356128.55</v>
      </c>
    </row>
    <row r="104" spans="1:14" x14ac:dyDescent="0.25">
      <c r="A104" s="130" t="s">
        <v>101</v>
      </c>
      <c r="B104" s="222">
        <f>'12ME Dec18 Cal Bill Freq'!B104</f>
        <v>400382.23</v>
      </c>
      <c r="C104" s="222">
        <f>'12ME Dec18 Cal Bill Freq'!C104</f>
        <v>416073.24</v>
      </c>
      <c r="D104" s="222">
        <f>'12ME Dec18 Cal Bill Freq'!D104</f>
        <v>403591.12</v>
      </c>
      <c r="E104" s="222">
        <f>'12ME Dec18 Cal Bill Freq'!E104</f>
        <v>353892.31</v>
      </c>
      <c r="F104" s="222">
        <f>'12ME Dec18 Cal Bill Freq'!F104</f>
        <v>308957.49</v>
      </c>
      <c r="G104" s="222">
        <f>'12ME Dec18 Cal Bill Freq'!G104</f>
        <v>305164.2</v>
      </c>
      <c r="H104" s="222">
        <f>'12ME Dec18 Cal Bill Freq'!H104</f>
        <v>316718.03999999998</v>
      </c>
      <c r="I104" s="222">
        <f>'12ME Dec18 Cal Bill Freq'!I104</f>
        <v>333070.31</v>
      </c>
      <c r="J104" s="222">
        <f>'12ME Dec18 Cal Bill Freq'!J104</f>
        <v>304155.96000000002</v>
      </c>
      <c r="K104" s="222">
        <f>'12ME Dec18 Cal Bill Freq'!K104</f>
        <v>320324.31</v>
      </c>
      <c r="L104" s="222">
        <f>'12ME Dec18 Cal Bill Freq'!L104</f>
        <v>366069.63</v>
      </c>
      <c r="M104" s="222">
        <f>'12ME Dec18 Cal Bill Freq'!M104</f>
        <v>430873.36</v>
      </c>
      <c r="N104" s="196">
        <f t="shared" si="27"/>
        <v>4259272.2</v>
      </c>
    </row>
    <row r="105" spans="1:14" x14ac:dyDescent="0.25">
      <c r="A105" s="130" t="s">
        <v>174</v>
      </c>
      <c r="B105" s="196">
        <f>B106-SUM(B100:B104)</f>
        <v>1092444.0682450004</v>
      </c>
      <c r="C105" s="196">
        <f t="shared" ref="C105:M105" si="28">C106-SUM(C100:C104)</f>
        <v>2842557.439991666</v>
      </c>
      <c r="D105" s="196">
        <f t="shared" si="28"/>
        <v>-1094078.933376665</v>
      </c>
      <c r="E105" s="196">
        <f t="shared" si="28"/>
        <v>680633.88475833205</v>
      </c>
      <c r="F105" s="196">
        <f t="shared" si="28"/>
        <v>506701.97574833361</v>
      </c>
      <c r="G105" s="196">
        <f t="shared" si="28"/>
        <v>315370.0865600002</v>
      </c>
      <c r="H105" s="196">
        <f t="shared" si="28"/>
        <v>213370.09999999998</v>
      </c>
      <c r="I105" s="196">
        <f t="shared" si="28"/>
        <v>214868.37999999989</v>
      </c>
      <c r="J105" s="196">
        <f t="shared" si="28"/>
        <v>260456.12000000011</v>
      </c>
      <c r="K105" s="196">
        <f t="shared" si="28"/>
        <v>961098.01374999993</v>
      </c>
      <c r="L105" s="196">
        <f t="shared" si="28"/>
        <v>258612.46130541607</v>
      </c>
      <c r="M105" s="196">
        <f t="shared" si="28"/>
        <v>1024320.3577191682</v>
      </c>
      <c r="N105" s="196">
        <f t="shared" si="27"/>
        <v>7276353.9547012504</v>
      </c>
    </row>
    <row r="106" spans="1:14" x14ac:dyDescent="0.25">
      <c r="A106" s="130" t="s">
        <v>6</v>
      </c>
      <c r="B106" s="222">
        <f>'[64]Weather Adj'!D154</f>
        <v>2092826.2982450004</v>
      </c>
      <c r="C106" s="222">
        <f>'[64]Weather Adj'!E154</f>
        <v>3843764.2599916658</v>
      </c>
      <c r="D106" s="222">
        <f>'[64]Weather Adj'!F154</f>
        <v>-90487.813376664955</v>
      </c>
      <c r="E106" s="222">
        <f>'[64]Weather Adj'!G154</f>
        <v>1632569.7247583321</v>
      </c>
      <c r="F106" s="222">
        <f>'[64]Weather Adj'!H154</f>
        <v>1411925.1257483335</v>
      </c>
      <c r="G106" s="222">
        <f>'[64]Weather Adj'!I154</f>
        <v>1194259.8565600002</v>
      </c>
      <c r="H106" s="222">
        <f>'[64]Weather Adj'!J154</f>
        <v>1014527.5199999999</v>
      </c>
      <c r="I106" s="222">
        <f>'[64]Weather Adj'!K154</f>
        <v>1093444.0699999998</v>
      </c>
      <c r="J106" s="222">
        <f>'[64]Weather Adj'!L154</f>
        <v>1127081.6300000001</v>
      </c>
      <c r="K106" s="222">
        <f>'[64]Weather Adj'!M154</f>
        <v>1880988.38375</v>
      </c>
      <c r="L106" s="222">
        <f>'[64]Weather Adj'!N154</f>
        <v>1223162.0913054161</v>
      </c>
      <c r="M106" s="222">
        <f>'[64]Weather Adj'!O154</f>
        <v>2052132.9377191681</v>
      </c>
      <c r="N106" s="196">
        <f>SUM(N100:N105)</f>
        <v>18476194.084701248</v>
      </c>
    </row>
    <row r="107" spans="1:14" x14ac:dyDescent="0.25">
      <c r="A107" s="130"/>
      <c r="B107" s="196"/>
      <c r="C107" s="196"/>
      <c r="D107" s="196"/>
      <c r="E107" s="196"/>
      <c r="F107" s="196"/>
      <c r="G107" s="196"/>
      <c r="H107" s="196"/>
      <c r="I107" s="196"/>
      <c r="J107" s="196"/>
      <c r="K107" s="196"/>
      <c r="L107" s="196"/>
      <c r="M107" s="196"/>
    </row>
    <row r="108" spans="1:14" x14ac:dyDescent="0.25">
      <c r="A108" s="130"/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</row>
    <row r="109" spans="1:14" x14ac:dyDescent="0.25">
      <c r="A109" s="130" t="s">
        <v>175</v>
      </c>
      <c r="B109" s="196"/>
      <c r="C109" s="196"/>
      <c r="D109" s="196"/>
      <c r="E109" s="196"/>
      <c r="F109" s="196"/>
      <c r="G109" s="196"/>
      <c r="H109" s="196"/>
      <c r="I109" s="196"/>
      <c r="J109" s="196"/>
      <c r="K109" s="196"/>
      <c r="L109" s="196"/>
      <c r="M109" s="196"/>
    </row>
    <row r="110" spans="1:14" x14ac:dyDescent="0.25">
      <c r="A110" s="130" t="s">
        <v>88</v>
      </c>
      <c r="B110" s="222">
        <f>'12ME Dec18 Cal Bill Freq'!B110</f>
        <v>175000</v>
      </c>
      <c r="C110" s="222">
        <f>'12ME Dec18 Cal Bill Freq'!C110</f>
        <v>175000</v>
      </c>
      <c r="D110" s="222">
        <f>'12ME Dec18 Cal Bill Freq'!D110</f>
        <v>175000</v>
      </c>
      <c r="E110" s="222">
        <f>'12ME Dec18 Cal Bill Freq'!E110</f>
        <v>175000</v>
      </c>
      <c r="F110" s="222">
        <f>'12ME Dec18 Cal Bill Freq'!F110</f>
        <v>175000</v>
      </c>
      <c r="G110" s="222">
        <f>'12ME Dec18 Cal Bill Freq'!G110</f>
        <v>175000</v>
      </c>
      <c r="H110" s="222">
        <f>'12ME Dec18 Cal Bill Freq'!H110</f>
        <v>175000</v>
      </c>
      <c r="I110" s="222">
        <f>'12ME Dec18 Cal Bill Freq'!I110</f>
        <v>175000</v>
      </c>
      <c r="J110" s="222">
        <f>'12ME Dec18 Cal Bill Freq'!J110</f>
        <v>175000</v>
      </c>
      <c r="K110" s="222">
        <f>'12ME Dec18 Cal Bill Freq'!K110</f>
        <v>175000</v>
      </c>
      <c r="L110" s="222">
        <f>'12ME Dec18 Cal Bill Freq'!L110</f>
        <v>175000</v>
      </c>
      <c r="M110" s="222">
        <f>'12ME Dec18 Cal Bill Freq'!M110</f>
        <v>175000</v>
      </c>
      <c r="N110" s="196">
        <f t="shared" ref="N110:N115" si="29">SUM(B110:M110)</f>
        <v>2100000</v>
      </c>
    </row>
    <row r="111" spans="1:14" x14ac:dyDescent="0.25">
      <c r="A111" s="130" t="s">
        <v>89</v>
      </c>
      <c r="B111" s="222">
        <f>'12ME Dec18 Cal Bill Freq'!B111</f>
        <v>175000</v>
      </c>
      <c r="C111" s="222">
        <f>'12ME Dec18 Cal Bill Freq'!C111</f>
        <v>175000</v>
      </c>
      <c r="D111" s="222">
        <f>'12ME Dec18 Cal Bill Freq'!D111</f>
        <v>175000</v>
      </c>
      <c r="E111" s="222">
        <f>'12ME Dec18 Cal Bill Freq'!E111</f>
        <v>175000</v>
      </c>
      <c r="F111" s="222">
        <f>'12ME Dec18 Cal Bill Freq'!F111</f>
        <v>175000</v>
      </c>
      <c r="G111" s="222">
        <f>'12ME Dec18 Cal Bill Freq'!G111</f>
        <v>175000</v>
      </c>
      <c r="H111" s="222">
        <f>'12ME Dec18 Cal Bill Freq'!H111</f>
        <v>175000</v>
      </c>
      <c r="I111" s="222">
        <f>'12ME Dec18 Cal Bill Freq'!I111</f>
        <v>175000</v>
      </c>
      <c r="J111" s="222">
        <f>'12ME Dec18 Cal Bill Freq'!J111</f>
        <v>175000</v>
      </c>
      <c r="K111" s="222">
        <f>'12ME Dec18 Cal Bill Freq'!K111</f>
        <v>175000</v>
      </c>
      <c r="L111" s="222">
        <f>'12ME Dec18 Cal Bill Freq'!L111</f>
        <v>175000</v>
      </c>
      <c r="M111" s="222">
        <f>'12ME Dec18 Cal Bill Freq'!M111</f>
        <v>175000</v>
      </c>
      <c r="N111" s="196">
        <f t="shared" si="29"/>
        <v>2100000</v>
      </c>
    </row>
    <row r="112" spans="1:14" x14ac:dyDescent="0.25">
      <c r="A112" s="130" t="s">
        <v>99</v>
      </c>
      <c r="B112" s="222">
        <f>'12ME Dec18 Cal Bill Freq'!B112</f>
        <v>350000</v>
      </c>
      <c r="C112" s="222">
        <f>'12ME Dec18 Cal Bill Freq'!C112</f>
        <v>350000</v>
      </c>
      <c r="D112" s="222">
        <f>'12ME Dec18 Cal Bill Freq'!D112</f>
        <v>350000</v>
      </c>
      <c r="E112" s="222">
        <f>'12ME Dec18 Cal Bill Freq'!E112</f>
        <v>350000</v>
      </c>
      <c r="F112" s="222">
        <f>'12ME Dec18 Cal Bill Freq'!F112</f>
        <v>350000</v>
      </c>
      <c r="G112" s="222">
        <f>'12ME Dec18 Cal Bill Freq'!G112</f>
        <v>350000</v>
      </c>
      <c r="H112" s="222">
        <f>'12ME Dec18 Cal Bill Freq'!H112</f>
        <v>350000</v>
      </c>
      <c r="I112" s="222">
        <f>'12ME Dec18 Cal Bill Freq'!I112</f>
        <v>350000</v>
      </c>
      <c r="J112" s="222">
        <f>'12ME Dec18 Cal Bill Freq'!J112</f>
        <v>350000</v>
      </c>
      <c r="K112" s="222">
        <f>'12ME Dec18 Cal Bill Freq'!K112</f>
        <v>349316.1</v>
      </c>
      <c r="L112" s="222">
        <f>'12ME Dec18 Cal Bill Freq'!L112</f>
        <v>350000</v>
      </c>
      <c r="M112" s="222">
        <f>'12ME Dec18 Cal Bill Freq'!M112</f>
        <v>350000</v>
      </c>
      <c r="N112" s="196">
        <f t="shared" si="29"/>
        <v>4199316.0999999996</v>
      </c>
    </row>
    <row r="113" spans="1:14" x14ac:dyDescent="0.25">
      <c r="A113" s="130" t="s">
        <v>100</v>
      </c>
      <c r="B113" s="222">
        <f>'12ME Dec18 Cal Bill Freq'!B113</f>
        <v>700000</v>
      </c>
      <c r="C113" s="222">
        <f>'12ME Dec18 Cal Bill Freq'!C113</f>
        <v>700000</v>
      </c>
      <c r="D113" s="222">
        <f>'12ME Dec18 Cal Bill Freq'!D113</f>
        <v>700000</v>
      </c>
      <c r="E113" s="222">
        <f>'12ME Dec18 Cal Bill Freq'!E113</f>
        <v>700000</v>
      </c>
      <c r="F113" s="222">
        <f>'12ME Dec18 Cal Bill Freq'!F113</f>
        <v>700000</v>
      </c>
      <c r="G113" s="222">
        <f>'12ME Dec18 Cal Bill Freq'!G113</f>
        <v>700000</v>
      </c>
      <c r="H113" s="222">
        <f>'12ME Dec18 Cal Bill Freq'!H113</f>
        <v>700000</v>
      </c>
      <c r="I113" s="222">
        <f>'12ME Dec18 Cal Bill Freq'!I113</f>
        <v>700000</v>
      </c>
      <c r="J113" s="222">
        <f>'12ME Dec18 Cal Bill Freq'!J113</f>
        <v>691062.3</v>
      </c>
      <c r="K113" s="222">
        <f>'12ME Dec18 Cal Bill Freq'!K113</f>
        <v>690322</v>
      </c>
      <c r="L113" s="222">
        <f>'12ME Dec18 Cal Bill Freq'!L113</f>
        <v>700000</v>
      </c>
      <c r="M113" s="222">
        <f>'12ME Dec18 Cal Bill Freq'!M113</f>
        <v>700000</v>
      </c>
      <c r="N113" s="196">
        <f t="shared" si="29"/>
        <v>8381384.2999999998</v>
      </c>
    </row>
    <row r="114" spans="1:14" x14ac:dyDescent="0.25">
      <c r="A114" s="130" t="s">
        <v>101</v>
      </c>
      <c r="B114" s="222">
        <f>'12ME Dec18 Cal Bill Freq'!B114</f>
        <v>1870856.82</v>
      </c>
      <c r="C114" s="222">
        <f>'12ME Dec18 Cal Bill Freq'!C114</f>
        <v>1835996.53</v>
      </c>
      <c r="D114" s="222">
        <f>'12ME Dec18 Cal Bill Freq'!D114</f>
        <v>1852529.04</v>
      </c>
      <c r="E114" s="222">
        <f>'12ME Dec18 Cal Bill Freq'!E114</f>
        <v>1849111.29</v>
      </c>
      <c r="F114" s="222">
        <f>'12ME Dec18 Cal Bill Freq'!F114</f>
        <v>1838962.32</v>
      </c>
      <c r="G114" s="222">
        <f>'12ME Dec18 Cal Bill Freq'!G114</f>
        <v>1829849.35</v>
      </c>
      <c r="H114" s="222">
        <f>'12ME Dec18 Cal Bill Freq'!H114</f>
        <v>1842102.79</v>
      </c>
      <c r="I114" s="222">
        <f>'12ME Dec18 Cal Bill Freq'!I114</f>
        <v>1829452.55</v>
      </c>
      <c r="J114" s="222">
        <f>'12ME Dec18 Cal Bill Freq'!J114</f>
        <v>1800000</v>
      </c>
      <c r="K114" s="222">
        <f>'12ME Dec18 Cal Bill Freq'!K114</f>
        <v>1798430.93</v>
      </c>
      <c r="L114" s="222">
        <f>'12ME Dec18 Cal Bill Freq'!L114</f>
        <v>1822543.82</v>
      </c>
      <c r="M114" s="222">
        <f>'12ME Dec18 Cal Bill Freq'!M114</f>
        <v>1824499.37</v>
      </c>
      <c r="N114" s="196">
        <f t="shared" si="29"/>
        <v>21994334.810000002</v>
      </c>
    </row>
    <row r="115" spans="1:14" x14ac:dyDescent="0.25">
      <c r="A115" s="130" t="s">
        <v>174</v>
      </c>
      <c r="B115" s="196">
        <f>B116-SUM(B110:B114)</f>
        <v>3257339.2699999996</v>
      </c>
      <c r="C115" s="196">
        <f t="shared" ref="C115:M115" si="30">C116-SUM(C110:C114)</f>
        <v>5022593.01</v>
      </c>
      <c r="D115" s="196">
        <f t="shared" si="30"/>
        <v>3080299.370000001</v>
      </c>
      <c r="E115" s="196">
        <f t="shared" si="30"/>
        <v>3366516.3100000005</v>
      </c>
      <c r="F115" s="196">
        <f t="shared" si="30"/>
        <v>3714551.6899999976</v>
      </c>
      <c r="G115" s="196">
        <f t="shared" si="30"/>
        <v>3252523.850000002</v>
      </c>
      <c r="H115" s="196">
        <f t="shared" si="30"/>
        <v>4361843.0399999991</v>
      </c>
      <c r="I115" s="196">
        <f t="shared" si="30"/>
        <v>4369914.9399999995</v>
      </c>
      <c r="J115" s="196">
        <f t="shared" si="30"/>
        <v>3366864.6700000009</v>
      </c>
      <c r="K115" s="196">
        <f t="shared" si="30"/>
        <v>3807678.2299999995</v>
      </c>
      <c r="L115" s="196">
        <f t="shared" si="30"/>
        <v>1822804.5199999996</v>
      </c>
      <c r="M115" s="196">
        <f t="shared" si="30"/>
        <v>3766970.1799999988</v>
      </c>
      <c r="N115" s="196">
        <f t="shared" si="29"/>
        <v>43189899.079999991</v>
      </c>
    </row>
    <row r="116" spans="1:14" x14ac:dyDescent="0.25">
      <c r="A116" s="130" t="s">
        <v>6</v>
      </c>
      <c r="B116" s="222">
        <f>'[64]Weather Adj'!D174</f>
        <v>6528196.0899999999</v>
      </c>
      <c r="C116" s="222">
        <f>'[64]Weather Adj'!E174</f>
        <v>8258589.54</v>
      </c>
      <c r="D116" s="222">
        <f>'[64]Weather Adj'!F174</f>
        <v>6332828.4100000011</v>
      </c>
      <c r="E116" s="222">
        <f>'[64]Weather Adj'!G174</f>
        <v>6615627.6000000006</v>
      </c>
      <c r="F116" s="222">
        <f>'[64]Weather Adj'!H174</f>
        <v>6953514.0099999979</v>
      </c>
      <c r="G116" s="222">
        <f>'[64]Weather Adj'!I174</f>
        <v>6482373.200000002</v>
      </c>
      <c r="H116" s="222">
        <f>'[64]Weather Adj'!J174</f>
        <v>7603945.8299999991</v>
      </c>
      <c r="I116" s="222">
        <f>'[64]Weather Adj'!K174</f>
        <v>7599367.4899999993</v>
      </c>
      <c r="J116" s="222">
        <f>'[64]Weather Adj'!L174</f>
        <v>6557926.9700000007</v>
      </c>
      <c r="K116" s="222">
        <f>'[64]Weather Adj'!M174</f>
        <v>6995747.2599999998</v>
      </c>
      <c r="L116" s="222">
        <f>'[64]Weather Adj'!N174</f>
        <v>5045348.34</v>
      </c>
      <c r="M116" s="222">
        <f>'[64]Weather Adj'!O174</f>
        <v>6991469.5499999989</v>
      </c>
      <c r="N116" s="196">
        <f>SUM(N110:N115)</f>
        <v>81964934.289999992</v>
      </c>
    </row>
    <row r="118" spans="1:14" x14ac:dyDescent="0.25">
      <c r="A118" s="235" t="s">
        <v>6</v>
      </c>
      <c r="B118" s="196">
        <f>SUM(B9,B16,B23,B30,B36,B42,B52,B62,B69,B76,B83,B90,B96,B106,B116)</f>
        <v>32339550.162034046</v>
      </c>
      <c r="C118" s="196">
        <f t="shared" ref="C118:N118" si="31">SUM(C9,C16,C23,C30,C36,C42,C52,C62,C69,C76,C83,C90,C96,C106,C116)</f>
        <v>34076769.72985664</v>
      </c>
      <c r="D118" s="196">
        <f t="shared" si="31"/>
        <v>24831527.917287469</v>
      </c>
      <c r="E118" s="196">
        <f t="shared" si="31"/>
        <v>23767747.539825562</v>
      </c>
      <c r="F118" s="196">
        <f t="shared" si="31"/>
        <v>24355502.295837391</v>
      </c>
      <c r="G118" s="196">
        <f t="shared" si="31"/>
        <v>23477684.186782617</v>
      </c>
      <c r="H118" s="196">
        <f t="shared" si="31"/>
        <v>18732709.272601962</v>
      </c>
      <c r="I118" s="196">
        <f t="shared" si="31"/>
        <v>25698773.682884946</v>
      </c>
      <c r="J118" s="196">
        <f t="shared" si="31"/>
        <v>20060504.008921303</v>
      </c>
      <c r="K118" s="196">
        <f t="shared" si="31"/>
        <v>26745539.29206568</v>
      </c>
      <c r="L118" s="196">
        <f t="shared" si="31"/>
        <v>25774234.883750428</v>
      </c>
      <c r="M118" s="196">
        <f t="shared" si="31"/>
        <v>30953079.060439773</v>
      </c>
      <c r="N118" s="196">
        <f t="shared" si="31"/>
        <v>310813622.03228784</v>
      </c>
    </row>
    <row r="119" spans="1:14" x14ac:dyDescent="0.25">
      <c r="A119" s="235" t="s">
        <v>49</v>
      </c>
      <c r="B119" s="196">
        <f>B118-SUM('[64]Weather Adj'!D201,'[64]Weather Adj'!D204:D206,'[64]Weather Adj'!D208:D211)</f>
        <v>0</v>
      </c>
      <c r="C119" s="196">
        <f>C118-SUM('[64]Weather Adj'!E201,'[64]Weather Adj'!E204:E206,'[64]Weather Adj'!E208:E211)</f>
        <v>0</v>
      </c>
      <c r="D119" s="196">
        <f>D118-SUM('[64]Weather Adj'!F201,'[64]Weather Adj'!F204:F206,'[64]Weather Adj'!F208:F211)</f>
        <v>0</v>
      </c>
      <c r="E119" s="196">
        <f>E118-SUM('[64]Weather Adj'!G201,'[64]Weather Adj'!G204:G206,'[64]Weather Adj'!G208:G211)</f>
        <v>0</v>
      </c>
      <c r="F119" s="196">
        <f>F118-SUM('[64]Weather Adj'!H201,'[64]Weather Adj'!H204:H206,'[64]Weather Adj'!H208:H211)</f>
        <v>0</v>
      </c>
      <c r="G119" s="196">
        <f>G118-SUM('[64]Weather Adj'!I201,'[64]Weather Adj'!I204:I206,'[64]Weather Adj'!I208:I211)</f>
        <v>0</v>
      </c>
      <c r="H119" s="196">
        <f>H118-SUM('[64]Weather Adj'!J201,'[64]Weather Adj'!J204:J206,'[64]Weather Adj'!J208:J211)</f>
        <v>0</v>
      </c>
      <c r="I119" s="196">
        <f>I118-SUM('[64]Weather Adj'!K201,'[64]Weather Adj'!K204:K206,'[64]Weather Adj'!K208:K211)</f>
        <v>0</v>
      </c>
      <c r="J119" s="196">
        <f>J118-SUM('[64]Weather Adj'!L201,'[64]Weather Adj'!L204:L206,'[64]Weather Adj'!L208:L211)</f>
        <v>0</v>
      </c>
      <c r="K119" s="196">
        <f>K118-SUM('[64]Weather Adj'!M201,'[64]Weather Adj'!M204:M206,'[64]Weather Adj'!M208:M211)</f>
        <v>0</v>
      </c>
      <c r="L119" s="196">
        <f>L118-SUM('[64]Weather Adj'!N201,'[64]Weather Adj'!N204:N206,'[64]Weather Adj'!N208:N211)</f>
        <v>0</v>
      </c>
      <c r="M119" s="196">
        <f>M118-SUM('[64]Weather Adj'!O201,'[64]Weather Adj'!O204:O206,'[64]Weather Adj'!O208:O211)</f>
        <v>0</v>
      </c>
      <c r="N119" s="196">
        <f>N118-SUM('[64]Weather Adj'!P201,'[64]Weather Adj'!P204:P206,'[64]Weather Adj'!P208:P211)</f>
        <v>0</v>
      </c>
    </row>
    <row r="120" spans="1:14" x14ac:dyDescent="0.25">
      <c r="B120" s="205"/>
    </row>
    <row r="121" spans="1:14" x14ac:dyDescent="0.25">
      <c r="B121" s="196"/>
    </row>
    <row r="123" spans="1:14" x14ac:dyDescent="0.25">
      <c r="A123" s="235" t="s">
        <v>185</v>
      </c>
    </row>
    <row r="125" spans="1:14" x14ac:dyDescent="0.25">
      <c r="A125" s="202" t="s">
        <v>162</v>
      </c>
      <c r="B125" s="314">
        <f t="shared" ref="B125:M125" si="32">B4</f>
        <v>43101</v>
      </c>
      <c r="C125" s="314">
        <f t="shared" si="32"/>
        <v>43132</v>
      </c>
      <c r="D125" s="314">
        <f t="shared" si="32"/>
        <v>43160</v>
      </c>
      <c r="E125" s="314">
        <f t="shared" si="32"/>
        <v>43191</v>
      </c>
      <c r="F125" s="314">
        <f t="shared" si="32"/>
        <v>43221</v>
      </c>
      <c r="G125" s="314">
        <f t="shared" si="32"/>
        <v>43252</v>
      </c>
      <c r="H125" s="314">
        <f t="shared" si="32"/>
        <v>43282</v>
      </c>
      <c r="I125" s="314">
        <f t="shared" si="32"/>
        <v>43313</v>
      </c>
      <c r="J125" s="314">
        <f t="shared" si="32"/>
        <v>43344</v>
      </c>
      <c r="K125" s="314">
        <f t="shared" si="32"/>
        <v>43374</v>
      </c>
      <c r="L125" s="314">
        <f t="shared" si="32"/>
        <v>43405</v>
      </c>
      <c r="M125" s="314">
        <f t="shared" si="32"/>
        <v>43435</v>
      </c>
      <c r="N125" s="311" t="s">
        <v>190</v>
      </c>
    </row>
    <row r="126" spans="1:14" x14ac:dyDescent="0.25">
      <c r="A126" s="133" t="s">
        <v>186</v>
      </c>
      <c r="N126" s="196"/>
    </row>
    <row r="127" spans="1:14" x14ac:dyDescent="0.25">
      <c r="A127" s="130" t="s">
        <v>177</v>
      </c>
      <c r="B127" s="196">
        <f t="shared" ref="B127:M127" si="33">B6+B13</f>
        <v>1223530.061</v>
      </c>
      <c r="C127" s="196">
        <f t="shared" si="33"/>
        <v>1124991.9350000001</v>
      </c>
      <c r="D127" s="196">
        <f t="shared" si="33"/>
        <v>1257997.4469999999</v>
      </c>
      <c r="E127" s="196">
        <f t="shared" si="33"/>
        <v>1217313.821</v>
      </c>
      <c r="F127" s="196">
        <f t="shared" si="33"/>
        <v>1142105.7660000001</v>
      </c>
      <c r="G127" s="196">
        <f t="shared" si="33"/>
        <v>1027226.534</v>
      </c>
      <c r="H127" s="196">
        <f t="shared" si="33"/>
        <v>925584.83499999996</v>
      </c>
      <c r="I127" s="196">
        <f t="shared" si="33"/>
        <v>909914.99899999995</v>
      </c>
      <c r="J127" s="196">
        <f t="shared" si="33"/>
        <v>1027821.9199999999</v>
      </c>
      <c r="K127" s="196">
        <f t="shared" si="33"/>
        <v>1199278.9030000002</v>
      </c>
      <c r="L127" s="196">
        <f t="shared" si="33"/>
        <v>1136608.7030000002</v>
      </c>
      <c r="M127" s="196">
        <f t="shared" si="33"/>
        <v>1195478.915</v>
      </c>
      <c r="N127" s="196">
        <f>SUM(B127:M127)</f>
        <v>13387853.839000002</v>
      </c>
    </row>
    <row r="128" spans="1:14" x14ac:dyDescent="0.25">
      <c r="A128" s="130" t="s">
        <v>165</v>
      </c>
      <c r="B128" s="196">
        <f t="shared" ref="B128:M128" si="34">B7+B14</f>
        <v>3554236.7339999997</v>
      </c>
      <c r="C128" s="196">
        <f t="shared" si="34"/>
        <v>3376959.6930000004</v>
      </c>
      <c r="D128" s="196">
        <f t="shared" si="34"/>
        <v>3412994.1689999998</v>
      </c>
      <c r="E128" s="196">
        <f t="shared" si="34"/>
        <v>2686600.4929999998</v>
      </c>
      <c r="F128" s="196">
        <f t="shared" si="34"/>
        <v>1855186.652</v>
      </c>
      <c r="G128" s="196">
        <f t="shared" si="34"/>
        <v>1556333.237</v>
      </c>
      <c r="H128" s="196">
        <f t="shared" si="34"/>
        <v>1230727.669</v>
      </c>
      <c r="I128" s="196">
        <f t="shared" si="34"/>
        <v>1280836.469</v>
      </c>
      <c r="J128" s="196">
        <f t="shared" si="34"/>
        <v>1609920.8360000001</v>
      </c>
      <c r="K128" s="196">
        <f t="shared" si="34"/>
        <v>2416807.5</v>
      </c>
      <c r="L128" s="196">
        <f t="shared" si="34"/>
        <v>3061382.8930000002</v>
      </c>
      <c r="M128" s="196">
        <f t="shared" si="34"/>
        <v>3530076.9920000001</v>
      </c>
      <c r="N128" s="196">
        <f>SUM(B128:M128)</f>
        <v>29572063.337000001</v>
      </c>
    </row>
    <row r="129" spans="1:14" x14ac:dyDescent="0.25">
      <c r="A129" s="130" t="s">
        <v>166</v>
      </c>
      <c r="B129" s="196">
        <f t="shared" ref="B129:M129" si="35">B8+B15</f>
        <v>3431441.4989787713</v>
      </c>
      <c r="C129" s="196">
        <f t="shared" si="35"/>
        <v>2669721.964167044</v>
      </c>
      <c r="D129" s="196">
        <f t="shared" si="35"/>
        <v>2187813.4003550499</v>
      </c>
      <c r="E129" s="196">
        <f t="shared" si="35"/>
        <v>1897064.5522811778</v>
      </c>
      <c r="F129" s="196">
        <f t="shared" si="35"/>
        <v>1061354.593644792</v>
      </c>
      <c r="G129" s="196">
        <f t="shared" si="35"/>
        <v>2000401.1503028832</v>
      </c>
      <c r="H129" s="196">
        <f t="shared" si="35"/>
        <v>-1533670.3123836033</v>
      </c>
      <c r="I129" s="196">
        <f t="shared" si="35"/>
        <v>3126624.1369357174</v>
      </c>
      <c r="J129" s="196">
        <f t="shared" si="35"/>
        <v>764333.62487974553</v>
      </c>
      <c r="K129" s="196">
        <f t="shared" si="35"/>
        <v>1215064.8272754813</v>
      </c>
      <c r="L129" s="196">
        <f t="shared" si="35"/>
        <v>2126426.7266982356</v>
      </c>
      <c r="M129" s="196">
        <f t="shared" si="35"/>
        <v>3930164.1243301984</v>
      </c>
      <c r="N129" s="196">
        <f>SUM(B129:M129)</f>
        <v>22876740.287465498</v>
      </c>
    </row>
    <row r="130" spans="1:14" x14ac:dyDescent="0.25">
      <c r="A130" s="130" t="s">
        <v>6</v>
      </c>
      <c r="B130" s="196">
        <f>SUM(B127:B129)</f>
        <v>8209208.2939787712</v>
      </c>
      <c r="C130" s="196">
        <f t="shared" ref="C130:N130" si="36">SUM(C127:C129)</f>
        <v>7171673.5921670441</v>
      </c>
      <c r="D130" s="196">
        <f t="shared" si="36"/>
        <v>6858805.0163550489</v>
      </c>
      <c r="E130" s="196">
        <f t="shared" si="36"/>
        <v>5800978.8662811778</v>
      </c>
      <c r="F130" s="196">
        <f t="shared" si="36"/>
        <v>4058647.0116447918</v>
      </c>
      <c r="G130" s="196">
        <f t="shared" si="36"/>
        <v>4583960.921302883</v>
      </c>
      <c r="H130" s="196">
        <f t="shared" si="36"/>
        <v>622642.19161639642</v>
      </c>
      <c r="I130" s="196">
        <f t="shared" si="36"/>
        <v>5317375.6049357168</v>
      </c>
      <c r="J130" s="196">
        <f t="shared" si="36"/>
        <v>3402076.3808797458</v>
      </c>
      <c r="K130" s="196">
        <f t="shared" si="36"/>
        <v>4831151.230275481</v>
      </c>
      <c r="L130" s="196">
        <f t="shared" si="36"/>
        <v>6324418.3226982364</v>
      </c>
      <c r="M130" s="196">
        <f t="shared" si="36"/>
        <v>8655720.031330198</v>
      </c>
      <c r="N130" s="196">
        <f t="shared" si="36"/>
        <v>65836657.463465497</v>
      </c>
    </row>
    <row r="131" spans="1:14" x14ac:dyDescent="0.25">
      <c r="A131" s="130"/>
      <c r="N131" s="196"/>
    </row>
    <row r="132" spans="1:14" x14ac:dyDescent="0.25">
      <c r="A132" s="130"/>
      <c r="N132" s="196"/>
    </row>
    <row r="133" spans="1:14" x14ac:dyDescent="0.25">
      <c r="A133" s="235" t="s">
        <v>187</v>
      </c>
      <c r="N133" s="196"/>
    </row>
    <row r="134" spans="1:14" x14ac:dyDescent="0.25">
      <c r="A134" s="130" t="s">
        <v>88</v>
      </c>
      <c r="B134" s="196">
        <f t="shared" ref="B134:M134" si="37">B20+B27</f>
        <v>719890.61199999996</v>
      </c>
      <c r="C134" s="196">
        <f t="shared" si="37"/>
        <v>692842.14</v>
      </c>
      <c r="D134" s="196">
        <f t="shared" si="37"/>
        <v>727976.48900000006</v>
      </c>
      <c r="E134" s="196">
        <f t="shared" si="37"/>
        <v>690550.60700000008</v>
      </c>
      <c r="F134" s="196">
        <f t="shared" si="37"/>
        <v>626700.098</v>
      </c>
      <c r="G134" s="196">
        <f t="shared" si="37"/>
        <v>556210.46700000006</v>
      </c>
      <c r="H134" s="196">
        <f t="shared" si="37"/>
        <v>531251.80299999996</v>
      </c>
      <c r="I134" s="196">
        <f t="shared" si="37"/>
        <v>513174.25199999998</v>
      </c>
      <c r="J134" s="196">
        <f t="shared" si="37"/>
        <v>553845.97</v>
      </c>
      <c r="K134" s="196">
        <f t="shared" si="37"/>
        <v>640373.66799999995</v>
      </c>
      <c r="L134" s="196">
        <f t="shared" si="37"/>
        <v>669903.52500000002</v>
      </c>
      <c r="M134" s="196">
        <f t="shared" si="37"/>
        <v>694902.04200000002</v>
      </c>
      <c r="N134" s="196">
        <f>SUM(B134:M134)</f>
        <v>7617621.6730000013</v>
      </c>
    </row>
    <row r="135" spans="1:14" x14ac:dyDescent="0.25">
      <c r="A135" s="130" t="s">
        <v>89</v>
      </c>
      <c r="B135" s="196">
        <f t="shared" ref="B135:M135" si="38">B21+B28</f>
        <v>500903.495</v>
      </c>
      <c r="C135" s="196">
        <f t="shared" si="38"/>
        <v>436696.24900000001</v>
      </c>
      <c r="D135" s="196">
        <f t="shared" si="38"/>
        <v>451199.37699999998</v>
      </c>
      <c r="E135" s="196">
        <f t="shared" si="38"/>
        <v>342953.239</v>
      </c>
      <c r="F135" s="196">
        <f t="shared" si="38"/>
        <v>286850.00899999996</v>
      </c>
      <c r="G135" s="196">
        <f t="shared" si="38"/>
        <v>242885.50099999999</v>
      </c>
      <c r="H135" s="196">
        <f t="shared" si="38"/>
        <v>192509.584</v>
      </c>
      <c r="I135" s="196">
        <f t="shared" si="38"/>
        <v>217423.701</v>
      </c>
      <c r="J135" s="196">
        <f t="shared" si="38"/>
        <v>248840.15400000001</v>
      </c>
      <c r="K135" s="196">
        <f t="shared" si="38"/>
        <v>314168.38500000001</v>
      </c>
      <c r="L135" s="196">
        <f t="shared" si="38"/>
        <v>358301.68599999999</v>
      </c>
      <c r="M135" s="196">
        <f t="shared" si="38"/>
        <v>428550.44299999997</v>
      </c>
      <c r="N135" s="196">
        <f>SUM(B135:M135)</f>
        <v>4021281.8229999999</v>
      </c>
    </row>
    <row r="136" spans="1:14" x14ac:dyDescent="0.25">
      <c r="A136" s="130" t="s">
        <v>169</v>
      </c>
      <c r="B136" s="196">
        <f t="shared" ref="B136:M136" si="39">B22+B29</f>
        <v>1065274.9963305555</v>
      </c>
      <c r="C136" s="196">
        <f t="shared" si="39"/>
        <v>-763414.76749999984</v>
      </c>
      <c r="D136" s="196">
        <f t="shared" si="39"/>
        <v>843277.2002701395</v>
      </c>
      <c r="E136" s="196">
        <f t="shared" si="39"/>
        <v>-28217.452787500733</v>
      </c>
      <c r="F136" s="196">
        <f t="shared" si="39"/>
        <v>165057.15432222254</v>
      </c>
      <c r="G136" s="196">
        <f t="shared" si="39"/>
        <v>706754.79399999999</v>
      </c>
      <c r="H136" s="196">
        <f t="shared" si="39"/>
        <v>223695.70074999996</v>
      </c>
      <c r="I136" s="196">
        <f t="shared" si="39"/>
        <v>378009.22224999999</v>
      </c>
      <c r="J136" s="196">
        <f t="shared" si="39"/>
        <v>-54663.329500000007</v>
      </c>
      <c r="K136" s="196">
        <f t="shared" si="39"/>
        <v>591532.88990000018</v>
      </c>
      <c r="L136" s="196">
        <f t="shared" si="39"/>
        <v>939277.23344299942</v>
      </c>
      <c r="M136" s="196">
        <f t="shared" si="39"/>
        <v>478946.93117066729</v>
      </c>
      <c r="N136" s="196">
        <f>SUM(B136:M136)</f>
        <v>4545530.572649084</v>
      </c>
    </row>
    <row r="137" spans="1:14" x14ac:dyDescent="0.25">
      <c r="A137" s="130" t="s">
        <v>6</v>
      </c>
      <c r="B137" s="196">
        <f>SUM(B134:B136)</f>
        <v>2286069.1033305554</v>
      </c>
      <c r="C137" s="196">
        <f t="shared" ref="C137:N137" si="40">SUM(C134:C136)</f>
        <v>366123.62150000012</v>
      </c>
      <c r="D137" s="196">
        <f t="shared" si="40"/>
        <v>2022453.0662701395</v>
      </c>
      <c r="E137" s="196">
        <f t="shared" si="40"/>
        <v>1005286.3932124994</v>
      </c>
      <c r="F137" s="196">
        <f t="shared" si="40"/>
        <v>1078607.2613222224</v>
      </c>
      <c r="G137" s="196">
        <f t="shared" si="40"/>
        <v>1505850.7620000001</v>
      </c>
      <c r="H137" s="196">
        <f t="shared" si="40"/>
        <v>947457.08774999995</v>
      </c>
      <c r="I137" s="196">
        <f t="shared" si="40"/>
        <v>1108607.1752499999</v>
      </c>
      <c r="J137" s="196">
        <f t="shared" si="40"/>
        <v>748022.79449999996</v>
      </c>
      <c r="K137" s="196">
        <f t="shared" si="40"/>
        <v>1546074.9429000001</v>
      </c>
      <c r="L137" s="196">
        <f t="shared" si="40"/>
        <v>1967482.4444429995</v>
      </c>
      <c r="M137" s="196">
        <f t="shared" si="40"/>
        <v>1602399.4161706672</v>
      </c>
      <c r="N137" s="196">
        <f t="shared" si="40"/>
        <v>16184434.068649085</v>
      </c>
    </row>
    <row r="138" spans="1:14" x14ac:dyDescent="0.25">
      <c r="A138" s="130"/>
      <c r="N138" s="196"/>
    </row>
    <row r="139" spans="1:14" x14ac:dyDescent="0.25">
      <c r="A139" s="130"/>
      <c r="N139" s="196"/>
    </row>
    <row r="140" spans="1:14" x14ac:dyDescent="0.25">
      <c r="A140" s="130" t="s">
        <v>188</v>
      </c>
      <c r="N140" s="196"/>
    </row>
    <row r="141" spans="1:14" x14ac:dyDescent="0.25">
      <c r="A141" s="130" t="s">
        <v>94</v>
      </c>
      <c r="B141" s="196">
        <f t="shared" ref="B141:M141" si="41">B34+B40</f>
        <v>214075.91</v>
      </c>
      <c r="C141" s="196">
        <f t="shared" si="41"/>
        <v>197196.86900000001</v>
      </c>
      <c r="D141" s="196">
        <f t="shared" si="41"/>
        <v>221515.51699999999</v>
      </c>
      <c r="E141" s="196">
        <f t="shared" si="41"/>
        <v>208347.55799999999</v>
      </c>
      <c r="F141" s="196">
        <f t="shared" si="41"/>
        <v>166351.859</v>
      </c>
      <c r="G141" s="196">
        <f t="shared" si="41"/>
        <v>126351.497</v>
      </c>
      <c r="H141" s="196">
        <f t="shared" si="41"/>
        <v>88771.553</v>
      </c>
      <c r="I141" s="196">
        <f t="shared" si="41"/>
        <v>90408.67300000001</v>
      </c>
      <c r="J141" s="196">
        <f t="shared" si="41"/>
        <v>139413.00600000002</v>
      </c>
      <c r="K141" s="196">
        <f t="shared" si="41"/>
        <v>198054.66800000001</v>
      </c>
      <c r="L141" s="196">
        <f t="shared" si="41"/>
        <v>196430.67299999998</v>
      </c>
      <c r="M141" s="196">
        <f t="shared" si="41"/>
        <v>207333.484</v>
      </c>
      <c r="N141" s="196">
        <f>SUM(B141:M141)</f>
        <v>2054251.267</v>
      </c>
    </row>
    <row r="142" spans="1:14" x14ac:dyDescent="0.25">
      <c r="A142" s="130" t="s">
        <v>172</v>
      </c>
      <c r="B142" s="196">
        <f t="shared" ref="B142:M142" si="42">B35+B41</f>
        <v>1112844.87215962</v>
      </c>
      <c r="C142" s="196">
        <f t="shared" si="42"/>
        <v>852604.17226971127</v>
      </c>
      <c r="D142" s="196">
        <f t="shared" si="42"/>
        <v>866472.17502767767</v>
      </c>
      <c r="E142" s="196">
        <f t="shared" si="42"/>
        <v>756882.03235049546</v>
      </c>
      <c r="F142" s="196">
        <f t="shared" si="42"/>
        <v>507952.71921747451</v>
      </c>
      <c r="G142" s="196">
        <f t="shared" si="42"/>
        <v>336692.3075424814</v>
      </c>
      <c r="H142" s="196">
        <f t="shared" si="42"/>
        <v>140297.83298556271</v>
      </c>
      <c r="I142" s="196">
        <f t="shared" si="42"/>
        <v>120216.65894923259</v>
      </c>
      <c r="J142" s="196">
        <f t="shared" si="42"/>
        <v>174144.81554155363</v>
      </c>
      <c r="K142" s="196">
        <f t="shared" si="42"/>
        <v>501190.68489394843</v>
      </c>
      <c r="L142" s="196">
        <f t="shared" si="42"/>
        <v>735430.29431208724</v>
      </c>
      <c r="M142" s="196">
        <f t="shared" si="42"/>
        <v>1238220.4406765082</v>
      </c>
      <c r="N142" s="196">
        <f>SUM(B142:M142)</f>
        <v>7342949.005926352</v>
      </c>
    </row>
    <row r="143" spans="1:14" x14ac:dyDescent="0.25">
      <c r="A143" s="130" t="s">
        <v>6</v>
      </c>
      <c r="B143" s="196">
        <f>SUM(B141:B142)</f>
        <v>1326920.78215962</v>
      </c>
      <c r="C143" s="196">
        <f t="shared" ref="C143:N143" si="43">SUM(C141:C142)</f>
        <v>1049801.0412697112</v>
      </c>
      <c r="D143" s="196">
        <f t="shared" si="43"/>
        <v>1087987.6920276778</v>
      </c>
      <c r="E143" s="196">
        <f t="shared" si="43"/>
        <v>965229.59035049542</v>
      </c>
      <c r="F143" s="196">
        <f t="shared" si="43"/>
        <v>674304.57821747451</v>
      </c>
      <c r="G143" s="196">
        <f t="shared" si="43"/>
        <v>463043.80454248143</v>
      </c>
      <c r="H143" s="196">
        <f t="shared" si="43"/>
        <v>229069.38598556269</v>
      </c>
      <c r="I143" s="196">
        <f t="shared" si="43"/>
        <v>210625.33194923261</v>
      </c>
      <c r="J143" s="196">
        <f t="shared" si="43"/>
        <v>313557.82154155365</v>
      </c>
      <c r="K143" s="196">
        <f t="shared" si="43"/>
        <v>699245.35289394844</v>
      </c>
      <c r="L143" s="196">
        <f t="shared" si="43"/>
        <v>931860.96731208719</v>
      </c>
      <c r="M143" s="196">
        <f t="shared" si="43"/>
        <v>1445553.9246765082</v>
      </c>
      <c r="N143" s="196">
        <f t="shared" si="43"/>
        <v>9397200.2729263529</v>
      </c>
    </row>
    <row r="144" spans="1:14" x14ac:dyDescent="0.25">
      <c r="A144" s="130"/>
      <c r="N144" s="196"/>
    </row>
    <row r="145" spans="1:14" x14ac:dyDescent="0.25">
      <c r="A145" s="130"/>
      <c r="N145" s="196"/>
    </row>
    <row r="146" spans="1:14" x14ac:dyDescent="0.25">
      <c r="A146" s="235" t="s">
        <v>189</v>
      </c>
      <c r="N146" s="196"/>
    </row>
    <row r="147" spans="1:14" x14ac:dyDescent="0.25">
      <c r="A147" s="130" t="s">
        <v>88</v>
      </c>
      <c r="B147" s="196">
        <f t="shared" ref="B147:M147" si="44">B46+B56</f>
        <v>126044.556</v>
      </c>
      <c r="C147" s="196">
        <f t="shared" si="44"/>
        <v>121455.628</v>
      </c>
      <c r="D147" s="196">
        <f t="shared" si="44"/>
        <v>125000</v>
      </c>
      <c r="E147" s="196">
        <f t="shared" si="44"/>
        <v>124138</v>
      </c>
      <c r="F147" s="196">
        <f t="shared" si="44"/>
        <v>127528.666</v>
      </c>
      <c r="G147" s="196">
        <f t="shared" si="44"/>
        <v>121720.43</v>
      </c>
      <c r="H147" s="196">
        <f t="shared" si="44"/>
        <v>127474.97199999999</v>
      </c>
      <c r="I147" s="196">
        <f t="shared" si="44"/>
        <v>127471.266</v>
      </c>
      <c r="J147" s="196">
        <f t="shared" si="44"/>
        <v>123229.166</v>
      </c>
      <c r="K147" s="196">
        <f t="shared" si="44"/>
        <v>126023.5</v>
      </c>
      <c r="L147" s="196">
        <f t="shared" si="44"/>
        <v>125747.334</v>
      </c>
      <c r="M147" s="196">
        <f t="shared" si="44"/>
        <v>124791.666</v>
      </c>
      <c r="N147" s="196">
        <f>SUM(B147:M147)</f>
        <v>1500625.1839999999</v>
      </c>
    </row>
    <row r="148" spans="1:14" x14ac:dyDescent="0.25">
      <c r="A148" s="130" t="s">
        <v>89</v>
      </c>
      <c r="B148" s="196">
        <f t="shared" ref="B148:M148" si="45">B47+B57</f>
        <v>126044.005</v>
      </c>
      <c r="C148" s="196">
        <f t="shared" si="45"/>
        <v>121455.628</v>
      </c>
      <c r="D148" s="196">
        <f t="shared" si="45"/>
        <v>125000</v>
      </c>
      <c r="E148" s="196">
        <f t="shared" si="45"/>
        <v>124138</v>
      </c>
      <c r="F148" s="196">
        <f t="shared" si="45"/>
        <v>127528.666</v>
      </c>
      <c r="G148" s="196">
        <f t="shared" si="45"/>
        <v>112863.99</v>
      </c>
      <c r="H148" s="196">
        <f t="shared" si="45"/>
        <v>116478.465</v>
      </c>
      <c r="I148" s="196">
        <f t="shared" si="45"/>
        <v>117538.98299999999</v>
      </c>
      <c r="J148" s="196">
        <f t="shared" si="45"/>
        <v>123229.166</v>
      </c>
      <c r="K148" s="196">
        <f t="shared" si="45"/>
        <v>126023.5</v>
      </c>
      <c r="L148" s="196">
        <f t="shared" si="45"/>
        <v>125747.334</v>
      </c>
      <c r="M148" s="196">
        <f t="shared" si="45"/>
        <v>124791.666</v>
      </c>
      <c r="N148" s="196">
        <f>SUM(B148:M148)</f>
        <v>1470839.4029999999</v>
      </c>
    </row>
    <row r="149" spans="1:14" x14ac:dyDescent="0.25">
      <c r="A149" s="130" t="s">
        <v>99</v>
      </c>
      <c r="B149" s="196">
        <f t="shared" ref="B149:M149" si="46">B48+B58</f>
        <v>252089.111</v>
      </c>
      <c r="C149" s="196">
        <f t="shared" si="46"/>
        <v>242911.25599999999</v>
      </c>
      <c r="D149" s="196">
        <f t="shared" si="46"/>
        <v>250000</v>
      </c>
      <c r="E149" s="196">
        <f t="shared" si="46"/>
        <v>248276</v>
      </c>
      <c r="F149" s="196">
        <f t="shared" si="46"/>
        <v>197462.139</v>
      </c>
      <c r="G149" s="196">
        <f t="shared" si="46"/>
        <v>175211.476</v>
      </c>
      <c r="H149" s="196">
        <f t="shared" si="46"/>
        <v>162170.50099999999</v>
      </c>
      <c r="I149" s="196">
        <f t="shared" si="46"/>
        <v>143109.87599999999</v>
      </c>
      <c r="J149" s="196">
        <f t="shared" si="46"/>
        <v>179104.89199999999</v>
      </c>
      <c r="K149" s="196">
        <f t="shared" si="46"/>
        <v>252047</v>
      </c>
      <c r="L149" s="196">
        <f t="shared" si="46"/>
        <v>251494.666</v>
      </c>
      <c r="M149" s="196">
        <f t="shared" si="46"/>
        <v>249583.334</v>
      </c>
      <c r="N149" s="196">
        <f>SUM(B149:M149)</f>
        <v>2603460.2510000002</v>
      </c>
    </row>
    <row r="150" spans="1:14" x14ac:dyDescent="0.25">
      <c r="A150" s="130" t="s">
        <v>100</v>
      </c>
      <c r="B150" s="196">
        <f t="shared" ref="B150:M150" si="47">B49+B59</f>
        <v>394483.83799999999</v>
      </c>
      <c r="C150" s="196">
        <f t="shared" si="47"/>
        <v>439683.32199999999</v>
      </c>
      <c r="D150" s="196">
        <f t="shared" si="47"/>
        <v>443482.08899999998</v>
      </c>
      <c r="E150" s="196">
        <f t="shared" si="47"/>
        <v>318372.07799999998</v>
      </c>
      <c r="F150" s="196">
        <f t="shared" si="47"/>
        <v>167686.50099999999</v>
      </c>
      <c r="G150" s="196">
        <f t="shared" si="47"/>
        <v>115520.219</v>
      </c>
      <c r="H150" s="196">
        <f t="shared" si="47"/>
        <v>101089.102</v>
      </c>
      <c r="I150" s="196">
        <f t="shared" si="47"/>
        <v>105912.84600000001</v>
      </c>
      <c r="J150" s="196">
        <f t="shared" si="47"/>
        <v>137262.06</v>
      </c>
      <c r="K150" s="196">
        <f t="shared" si="47"/>
        <v>241102.802</v>
      </c>
      <c r="L150" s="196">
        <f t="shared" si="47"/>
        <v>336367.91100000002</v>
      </c>
      <c r="M150" s="196">
        <f t="shared" si="47"/>
        <v>396153.761</v>
      </c>
      <c r="N150" s="196">
        <f>SUM(B150:M150)</f>
        <v>3197116.5289999996</v>
      </c>
    </row>
    <row r="151" spans="1:14" x14ac:dyDescent="0.25">
      <c r="A151" s="130" t="s">
        <v>101</v>
      </c>
      <c r="B151" s="196">
        <f t="shared" ref="B151:M151" si="48">B50+B60</f>
        <v>336549.57699999999</v>
      </c>
      <c r="C151" s="196">
        <f t="shared" si="48"/>
        <v>311044.71799999999</v>
      </c>
      <c r="D151" s="196">
        <f t="shared" si="48"/>
        <v>310532.62800000003</v>
      </c>
      <c r="E151" s="196">
        <f t="shared" si="48"/>
        <v>310431.10800000001</v>
      </c>
      <c r="F151" s="196">
        <f t="shared" si="48"/>
        <v>300000</v>
      </c>
      <c r="G151" s="196">
        <f t="shared" si="48"/>
        <v>300000</v>
      </c>
      <c r="H151" s="196">
        <f t="shared" si="48"/>
        <v>300000</v>
      </c>
      <c r="I151" s="196">
        <f t="shared" si="48"/>
        <v>300000</v>
      </c>
      <c r="J151" s="196">
        <f t="shared" si="48"/>
        <v>300000</v>
      </c>
      <c r="K151" s="196">
        <f t="shared" si="48"/>
        <v>300000</v>
      </c>
      <c r="L151" s="196">
        <f t="shared" si="48"/>
        <v>323394.09700000001</v>
      </c>
      <c r="M151" s="196">
        <f t="shared" si="48"/>
        <v>347184.614</v>
      </c>
      <c r="N151" s="196">
        <f>SUM(B151:M151)</f>
        <v>3739136.7420000001</v>
      </c>
    </row>
    <row r="152" spans="1:14" x14ac:dyDescent="0.25">
      <c r="A152" s="130" t="s">
        <v>174</v>
      </c>
      <c r="B152" s="196">
        <f t="shared" ref="B152:M152" si="49">B51+B61</f>
        <v>1847218.4020472236</v>
      </c>
      <c r="C152" s="196">
        <f t="shared" si="49"/>
        <v>-154459.5858333339</v>
      </c>
      <c r="D152" s="196">
        <f t="shared" si="49"/>
        <v>2908326.1354916673</v>
      </c>
      <c r="E152" s="196">
        <f t="shared" si="49"/>
        <v>-997058.01674444554</v>
      </c>
      <c r="F152" s="196">
        <f t="shared" si="49"/>
        <v>1240469.2634277777</v>
      </c>
      <c r="G152" s="196">
        <f t="shared" si="49"/>
        <v>958369.25324999983</v>
      </c>
      <c r="H152" s="196">
        <f t="shared" si="49"/>
        <v>575140.96725000022</v>
      </c>
      <c r="I152" s="196">
        <f t="shared" si="49"/>
        <v>859321.86974999972</v>
      </c>
      <c r="J152" s="196">
        <f t="shared" si="49"/>
        <v>441632.1379999998</v>
      </c>
      <c r="K152" s="196">
        <f t="shared" si="49"/>
        <v>1234611.9700833336</v>
      </c>
      <c r="L152" s="196">
        <f t="shared" si="49"/>
        <v>951642.177782638</v>
      </c>
      <c r="M152" s="196">
        <f t="shared" si="49"/>
        <v>960649.43499583402</v>
      </c>
      <c r="N152" s="196">
        <f t="shared" ref="N152" si="50">SUM(B152:M152)</f>
        <v>10825864.009500694</v>
      </c>
    </row>
    <row r="153" spans="1:14" x14ac:dyDescent="0.25">
      <c r="A153" s="130" t="s">
        <v>6</v>
      </c>
      <c r="B153" s="196">
        <f>SUM(B147:B152)</f>
        <v>3082429.4890472237</v>
      </c>
      <c r="C153" s="196">
        <f t="shared" ref="C153:N153" si="51">SUM(C147:C152)</f>
        <v>1082090.9661666662</v>
      </c>
      <c r="D153" s="196">
        <f t="shared" si="51"/>
        <v>4162340.8524916675</v>
      </c>
      <c r="E153" s="196">
        <f t="shared" si="51"/>
        <v>128297.16925555444</v>
      </c>
      <c r="F153" s="196">
        <f t="shared" si="51"/>
        <v>2160675.2354277777</v>
      </c>
      <c r="G153" s="196">
        <f t="shared" si="51"/>
        <v>1783685.3682499998</v>
      </c>
      <c r="H153" s="196">
        <f t="shared" si="51"/>
        <v>1382354.0072500003</v>
      </c>
      <c r="I153" s="196">
        <f t="shared" si="51"/>
        <v>1653354.8407499997</v>
      </c>
      <c r="J153" s="196">
        <f t="shared" si="51"/>
        <v>1304457.4219999998</v>
      </c>
      <c r="K153" s="196">
        <f t="shared" si="51"/>
        <v>2279808.7720833337</v>
      </c>
      <c r="L153" s="196">
        <f t="shared" si="51"/>
        <v>2114393.5197826382</v>
      </c>
      <c r="M153" s="196">
        <f t="shared" si="51"/>
        <v>2203154.475995834</v>
      </c>
      <c r="N153" s="196">
        <f t="shared" si="51"/>
        <v>23337042.118500695</v>
      </c>
    </row>
    <row r="154" spans="1:14" x14ac:dyDescent="0.25">
      <c r="A154" s="130"/>
    </row>
    <row r="155" spans="1:14" x14ac:dyDescent="0.25">
      <c r="A155" s="130"/>
      <c r="N155" s="196"/>
    </row>
    <row r="156" spans="1:14" x14ac:dyDescent="0.25">
      <c r="A156" s="130" t="s">
        <v>35</v>
      </c>
      <c r="N156" s="196"/>
    </row>
    <row r="157" spans="1:14" x14ac:dyDescent="0.25">
      <c r="A157" s="130" t="s">
        <v>164</v>
      </c>
      <c r="B157" s="196">
        <f t="shared" ref="B157:M157" si="52">B66+B73</f>
        <v>92790</v>
      </c>
      <c r="C157" s="196">
        <f t="shared" si="52"/>
        <v>94380</v>
      </c>
      <c r="D157" s="196">
        <f t="shared" si="52"/>
        <v>94500</v>
      </c>
      <c r="E157" s="196">
        <f t="shared" si="52"/>
        <v>94500</v>
      </c>
      <c r="F157" s="196">
        <f t="shared" si="52"/>
        <v>91841.99</v>
      </c>
      <c r="G157" s="196">
        <f t="shared" si="52"/>
        <v>94379.11</v>
      </c>
      <c r="H157" s="196">
        <f t="shared" si="52"/>
        <v>93658.62</v>
      </c>
      <c r="I157" s="196">
        <f t="shared" si="52"/>
        <v>93956.930000000008</v>
      </c>
      <c r="J157" s="196">
        <f t="shared" si="52"/>
        <v>94689.709999999992</v>
      </c>
      <c r="K157" s="196">
        <f t="shared" si="52"/>
        <v>96080.6</v>
      </c>
      <c r="L157" s="196">
        <f t="shared" si="52"/>
        <v>94500</v>
      </c>
      <c r="M157" s="196">
        <f t="shared" si="52"/>
        <v>94500</v>
      </c>
      <c r="N157" s="196">
        <f>SUM(B157:M157)</f>
        <v>1129776.96</v>
      </c>
    </row>
    <row r="158" spans="1:14" x14ac:dyDescent="0.25">
      <c r="A158" s="130" t="s">
        <v>165</v>
      </c>
      <c r="B158" s="196">
        <f t="shared" ref="B158:M158" si="53">B67+B74</f>
        <v>384305.32</v>
      </c>
      <c r="C158" s="196">
        <f t="shared" si="53"/>
        <v>389247.94</v>
      </c>
      <c r="D158" s="196">
        <f t="shared" si="53"/>
        <v>384967.23</v>
      </c>
      <c r="E158" s="196">
        <f t="shared" si="53"/>
        <v>364273.51999999996</v>
      </c>
      <c r="F158" s="196">
        <f t="shared" si="53"/>
        <v>328701.23</v>
      </c>
      <c r="G158" s="196">
        <f t="shared" si="53"/>
        <v>326734.64</v>
      </c>
      <c r="H158" s="196">
        <f t="shared" si="53"/>
        <v>314286.61</v>
      </c>
      <c r="I158" s="196">
        <f t="shared" si="53"/>
        <v>315659.51</v>
      </c>
      <c r="J158" s="196">
        <f t="shared" si="53"/>
        <v>325063.38</v>
      </c>
      <c r="K158" s="196">
        <f t="shared" si="53"/>
        <v>365792.24</v>
      </c>
      <c r="L158" s="196">
        <f t="shared" si="53"/>
        <v>376315.68999999994</v>
      </c>
      <c r="M158" s="196">
        <f t="shared" si="53"/>
        <v>398732.03</v>
      </c>
      <c r="N158" s="196">
        <f>SUM(B158:M158)</f>
        <v>4274079.34</v>
      </c>
    </row>
    <row r="159" spans="1:14" x14ac:dyDescent="0.25">
      <c r="A159" s="130" t="s">
        <v>166</v>
      </c>
      <c r="B159" s="196">
        <f t="shared" ref="B159:M159" si="54">B68+B75</f>
        <v>1559860.9158492107</v>
      </c>
      <c r="C159" s="196">
        <f t="shared" si="54"/>
        <v>2440223.878554889</v>
      </c>
      <c r="D159" s="196">
        <f t="shared" si="54"/>
        <v>261606.39715784515</v>
      </c>
      <c r="E159" s="196">
        <f t="shared" si="54"/>
        <v>1235990.0237733326</v>
      </c>
      <c r="F159" s="196">
        <f t="shared" si="54"/>
        <v>1257373.4193041252</v>
      </c>
      <c r="G159" s="196">
        <f t="shared" si="54"/>
        <v>1049290.1099999996</v>
      </c>
      <c r="H159" s="196">
        <f t="shared" si="54"/>
        <v>800728.9700000002</v>
      </c>
      <c r="I159" s="196">
        <f t="shared" si="54"/>
        <v>1474351.7299999997</v>
      </c>
      <c r="J159" s="196">
        <f t="shared" si="54"/>
        <v>1025599.3900000002</v>
      </c>
      <c r="K159" s="196">
        <f t="shared" si="54"/>
        <v>1244861.9938025002</v>
      </c>
      <c r="L159" s="196">
        <f t="shared" si="54"/>
        <v>1577254.777008886</v>
      </c>
      <c r="M159" s="196">
        <f t="shared" si="54"/>
        <v>1161336.5436230663</v>
      </c>
      <c r="N159" s="196">
        <f>SUM(B159:M159)</f>
        <v>15088478.149073856</v>
      </c>
    </row>
    <row r="160" spans="1:14" x14ac:dyDescent="0.25">
      <c r="A160" s="130" t="s">
        <v>6</v>
      </c>
      <c r="B160" s="196">
        <f>SUM(B157:B159)</f>
        <v>2036956.2358492108</v>
      </c>
      <c r="C160" s="196">
        <f t="shared" ref="C160:N160" si="55">SUM(C157:C159)</f>
        <v>2923851.8185548889</v>
      </c>
      <c r="D160" s="196">
        <f t="shared" si="55"/>
        <v>741073.62715784507</v>
      </c>
      <c r="E160" s="196">
        <f t="shared" si="55"/>
        <v>1694763.5437733326</v>
      </c>
      <c r="F160" s="196">
        <f t="shared" si="55"/>
        <v>1677916.6393041252</v>
      </c>
      <c r="G160" s="196">
        <f t="shared" si="55"/>
        <v>1470403.8599999996</v>
      </c>
      <c r="H160" s="196">
        <f t="shared" si="55"/>
        <v>1208674.2000000002</v>
      </c>
      <c r="I160" s="196">
        <f t="shared" si="55"/>
        <v>1883968.1699999997</v>
      </c>
      <c r="J160" s="196">
        <f t="shared" si="55"/>
        <v>1445352.4800000002</v>
      </c>
      <c r="K160" s="196">
        <f t="shared" si="55"/>
        <v>1706734.8338025003</v>
      </c>
      <c r="L160" s="196">
        <f t="shared" si="55"/>
        <v>2048070.4670088859</v>
      </c>
      <c r="M160" s="196">
        <f t="shared" si="55"/>
        <v>1654568.5736230663</v>
      </c>
      <c r="N160" s="196">
        <f t="shared" si="55"/>
        <v>20492334.449073855</v>
      </c>
    </row>
    <row r="161" spans="1:14" x14ac:dyDescent="0.25">
      <c r="A161" s="196"/>
      <c r="N161" s="196"/>
    </row>
    <row r="162" spans="1:14" x14ac:dyDescent="0.25">
      <c r="A162" s="130"/>
      <c r="N162" s="196"/>
    </row>
    <row r="163" spans="1:14" x14ac:dyDescent="0.25">
      <c r="A163" s="130" t="s">
        <v>37</v>
      </c>
      <c r="N163" s="196"/>
    </row>
    <row r="164" spans="1:14" x14ac:dyDescent="0.25">
      <c r="A164" s="130" t="s">
        <v>88</v>
      </c>
      <c r="B164" s="196">
        <f t="shared" ref="B164:M164" si="56">B80+B87</f>
        <v>2257763.54</v>
      </c>
      <c r="C164" s="196">
        <f t="shared" si="56"/>
        <v>2273689.6000000001</v>
      </c>
      <c r="D164" s="196">
        <f t="shared" si="56"/>
        <v>2390713.04</v>
      </c>
      <c r="E164" s="196">
        <f t="shared" si="56"/>
        <v>2373528.6799999997</v>
      </c>
      <c r="F164" s="196">
        <f t="shared" si="56"/>
        <v>2379584.1800000002</v>
      </c>
      <c r="G164" s="196">
        <f t="shared" si="56"/>
        <v>2390162.7599999998</v>
      </c>
      <c r="H164" s="196">
        <f t="shared" si="56"/>
        <v>2370436.04</v>
      </c>
      <c r="I164" s="196">
        <f t="shared" si="56"/>
        <v>2353491.5300000003</v>
      </c>
      <c r="J164" s="196">
        <f t="shared" si="56"/>
        <v>2375603.5299999998</v>
      </c>
      <c r="K164" s="196">
        <f t="shared" si="56"/>
        <v>2430621.15</v>
      </c>
      <c r="L164" s="196">
        <f t="shared" si="56"/>
        <v>2322812.96</v>
      </c>
      <c r="M164" s="196">
        <f t="shared" si="56"/>
        <v>2204656.67</v>
      </c>
      <c r="N164" s="196">
        <f>SUM(B164:M164)</f>
        <v>28123063.68</v>
      </c>
    </row>
    <row r="165" spans="1:14" x14ac:dyDescent="0.25">
      <c r="A165" s="130" t="s">
        <v>89</v>
      </c>
      <c r="B165" s="196">
        <f t="shared" ref="B165:M165" si="57">B81+B88</f>
        <v>1581926.17</v>
      </c>
      <c r="C165" s="196">
        <f t="shared" si="57"/>
        <v>1469267.01</v>
      </c>
      <c r="D165" s="196">
        <f t="shared" si="57"/>
        <v>1651151.94</v>
      </c>
      <c r="E165" s="196">
        <f t="shared" si="57"/>
        <v>1564145.3699999999</v>
      </c>
      <c r="F165" s="196">
        <f t="shared" si="57"/>
        <v>1648965.45</v>
      </c>
      <c r="G165" s="196">
        <f t="shared" si="57"/>
        <v>1566657.23</v>
      </c>
      <c r="H165" s="196">
        <f t="shared" si="57"/>
        <v>1559548.22</v>
      </c>
      <c r="I165" s="196">
        <f t="shared" si="57"/>
        <v>1525780.9100000001</v>
      </c>
      <c r="J165" s="196">
        <f t="shared" si="57"/>
        <v>1552273.58</v>
      </c>
      <c r="K165" s="196">
        <f t="shared" si="57"/>
        <v>1729043.58</v>
      </c>
      <c r="L165" s="196">
        <f t="shared" si="57"/>
        <v>1449584.3</v>
      </c>
      <c r="M165" s="196">
        <f t="shared" si="57"/>
        <v>1433928.96</v>
      </c>
      <c r="N165" s="196">
        <f>SUM(B165:M165)</f>
        <v>18732272.720000003</v>
      </c>
    </row>
    <row r="166" spans="1:14" x14ac:dyDescent="0.25">
      <c r="A166" s="130" t="s">
        <v>169</v>
      </c>
      <c r="B166" s="196">
        <f t="shared" ref="B166:M166" si="58">B82+B89</f>
        <v>2887910.2194236657</v>
      </c>
      <c r="C166" s="196">
        <f t="shared" si="58"/>
        <v>5594657.3902066667</v>
      </c>
      <c r="D166" s="196">
        <f t="shared" si="58"/>
        <v>-373335.62363824854</v>
      </c>
      <c r="E166" s="196">
        <f t="shared" si="58"/>
        <v>1966749.4121941666</v>
      </c>
      <c r="F166" s="196">
        <f t="shared" si="58"/>
        <v>2282468.3941726666</v>
      </c>
      <c r="G166" s="196">
        <f t="shared" si="58"/>
        <v>2020489.8141272503</v>
      </c>
      <c r="H166" s="196">
        <f t="shared" si="58"/>
        <v>1777698.9800000011</v>
      </c>
      <c r="I166" s="196">
        <f t="shared" si="58"/>
        <v>2939182.7199999997</v>
      </c>
      <c r="J166" s="196">
        <f t="shared" si="58"/>
        <v>1215230.3700000001</v>
      </c>
      <c r="K166" s="196">
        <f t="shared" si="58"/>
        <v>2609235.768027083</v>
      </c>
      <c r="L166" s="196">
        <f t="shared" si="58"/>
        <v>2316654.0795335011</v>
      </c>
      <c r="M166" s="196">
        <f t="shared" si="58"/>
        <v>2681259.2109243344</v>
      </c>
      <c r="N166" s="196">
        <f>SUM(B166:M166)</f>
        <v>27918200.734971087</v>
      </c>
    </row>
    <row r="167" spans="1:14" x14ac:dyDescent="0.25">
      <c r="A167" s="130" t="s">
        <v>6</v>
      </c>
      <c r="B167" s="196">
        <f>SUM(B164:B166)</f>
        <v>6727599.9294236656</v>
      </c>
      <c r="C167" s="196">
        <f t="shared" ref="C167:N167" si="59">SUM(C164:C166)</f>
        <v>9337614.0002066679</v>
      </c>
      <c r="D167" s="196">
        <f t="shared" si="59"/>
        <v>3668529.3563617514</v>
      </c>
      <c r="E167" s="196">
        <f t="shared" si="59"/>
        <v>5904423.4621941661</v>
      </c>
      <c r="F167" s="196">
        <f t="shared" si="59"/>
        <v>6311018.0241726665</v>
      </c>
      <c r="G167" s="196">
        <f t="shared" si="59"/>
        <v>5977309.8041272499</v>
      </c>
      <c r="H167" s="196">
        <f t="shared" si="59"/>
        <v>5707683.2400000012</v>
      </c>
      <c r="I167" s="196">
        <f t="shared" si="59"/>
        <v>6818455.1600000001</v>
      </c>
      <c r="J167" s="196">
        <f t="shared" si="59"/>
        <v>5143107.4800000004</v>
      </c>
      <c r="K167" s="196">
        <f t="shared" si="59"/>
        <v>6768900.4980270825</v>
      </c>
      <c r="L167" s="196">
        <f t="shared" si="59"/>
        <v>6089051.3395335004</v>
      </c>
      <c r="M167" s="196">
        <f t="shared" si="59"/>
        <v>6319844.8409243338</v>
      </c>
      <c r="N167" s="196">
        <f t="shared" si="59"/>
        <v>74773537.134971097</v>
      </c>
    </row>
    <row r="168" spans="1:14" x14ac:dyDescent="0.25">
      <c r="A168" s="130"/>
      <c r="N168" s="196"/>
    </row>
    <row r="169" spans="1:14" x14ac:dyDescent="0.25">
      <c r="A169" s="130"/>
      <c r="N169" s="196"/>
    </row>
    <row r="170" spans="1:14" x14ac:dyDescent="0.25">
      <c r="A170" s="196" t="s">
        <v>39</v>
      </c>
      <c r="N170" s="196"/>
    </row>
    <row r="171" spans="1:14" x14ac:dyDescent="0.25">
      <c r="A171" s="130" t="s">
        <v>94</v>
      </c>
      <c r="B171" s="196">
        <f t="shared" ref="B171:M171" si="60">B94</f>
        <v>2000</v>
      </c>
      <c r="C171" s="196">
        <f t="shared" si="60"/>
        <v>2000</v>
      </c>
      <c r="D171" s="196">
        <f t="shared" si="60"/>
        <v>2000</v>
      </c>
      <c r="E171" s="196">
        <f t="shared" si="60"/>
        <v>2000</v>
      </c>
      <c r="F171" s="196">
        <f t="shared" si="60"/>
        <v>2000</v>
      </c>
      <c r="G171" s="196">
        <f t="shared" si="60"/>
        <v>1930.91</v>
      </c>
      <c r="H171" s="196">
        <f t="shared" si="60"/>
        <v>1405.28</v>
      </c>
      <c r="I171" s="196">
        <f t="shared" si="60"/>
        <v>2000</v>
      </c>
      <c r="J171" s="196">
        <f t="shared" si="60"/>
        <v>1675.55</v>
      </c>
      <c r="K171" s="196">
        <f t="shared" si="60"/>
        <v>2000</v>
      </c>
      <c r="L171" s="196">
        <f t="shared" si="60"/>
        <v>2000</v>
      </c>
      <c r="M171" s="196">
        <f t="shared" si="60"/>
        <v>2000</v>
      </c>
      <c r="N171" s="196">
        <f>SUM(B171:M171)</f>
        <v>23011.74</v>
      </c>
    </row>
    <row r="172" spans="1:14" x14ac:dyDescent="0.25">
      <c r="A172" s="130" t="s">
        <v>172</v>
      </c>
      <c r="B172" s="196">
        <f t="shared" ref="B172:M172" si="61">B95</f>
        <v>47343.94</v>
      </c>
      <c r="C172" s="196">
        <f t="shared" si="61"/>
        <v>41260.89</v>
      </c>
      <c r="D172" s="196">
        <f t="shared" si="61"/>
        <v>45997.709999999992</v>
      </c>
      <c r="E172" s="196">
        <f t="shared" si="61"/>
        <v>18571.19000000001</v>
      </c>
      <c r="F172" s="196">
        <f t="shared" si="61"/>
        <v>26894.409999999993</v>
      </c>
      <c r="G172" s="196">
        <f t="shared" si="61"/>
        <v>14865.7</v>
      </c>
      <c r="H172" s="196">
        <f t="shared" si="61"/>
        <v>14950.530000000002</v>
      </c>
      <c r="I172" s="196">
        <f t="shared" si="61"/>
        <v>11575.84</v>
      </c>
      <c r="J172" s="196">
        <f t="shared" si="61"/>
        <v>17245.48</v>
      </c>
      <c r="K172" s="196">
        <f t="shared" si="61"/>
        <v>34888.018333333326</v>
      </c>
      <c r="L172" s="196">
        <f t="shared" si="61"/>
        <v>28447.391666666674</v>
      </c>
      <c r="M172" s="196">
        <f t="shared" si="61"/>
        <v>26235.309999999998</v>
      </c>
      <c r="N172" s="196">
        <f>SUM(B172:M172)</f>
        <v>328276.40999999997</v>
      </c>
    </row>
    <row r="173" spans="1:14" x14ac:dyDescent="0.25">
      <c r="A173" s="130" t="s">
        <v>6</v>
      </c>
      <c r="B173" s="196">
        <f>SUM(B171:B172)</f>
        <v>49343.94</v>
      </c>
      <c r="C173" s="196">
        <f t="shared" ref="C173:N173" si="62">SUM(C171:C172)</f>
        <v>43260.89</v>
      </c>
      <c r="D173" s="196">
        <f t="shared" si="62"/>
        <v>47997.709999999992</v>
      </c>
      <c r="E173" s="196">
        <f t="shared" si="62"/>
        <v>20571.19000000001</v>
      </c>
      <c r="F173" s="196">
        <f t="shared" si="62"/>
        <v>28894.409999999993</v>
      </c>
      <c r="G173" s="196">
        <f t="shared" si="62"/>
        <v>16796.61</v>
      </c>
      <c r="H173" s="196">
        <f t="shared" si="62"/>
        <v>16355.810000000003</v>
      </c>
      <c r="I173" s="196">
        <f t="shared" si="62"/>
        <v>13575.84</v>
      </c>
      <c r="J173" s="196">
        <f t="shared" si="62"/>
        <v>18921.03</v>
      </c>
      <c r="K173" s="196">
        <f t="shared" si="62"/>
        <v>36888.018333333326</v>
      </c>
      <c r="L173" s="196">
        <f t="shared" si="62"/>
        <v>30447.391666666674</v>
      </c>
      <c r="M173" s="196">
        <f t="shared" si="62"/>
        <v>28235.309999999998</v>
      </c>
      <c r="N173" s="196">
        <f t="shared" si="62"/>
        <v>351288.14999999997</v>
      </c>
    </row>
    <row r="174" spans="1:14" x14ac:dyDescent="0.25">
      <c r="A174" s="130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196"/>
      <c r="N174" s="196"/>
    </row>
    <row r="175" spans="1:14" x14ac:dyDescent="0.25">
      <c r="A175" s="130"/>
      <c r="N175" s="196"/>
    </row>
    <row r="176" spans="1:14" x14ac:dyDescent="0.25">
      <c r="A176" s="130" t="s">
        <v>41</v>
      </c>
      <c r="N176" s="196"/>
    </row>
    <row r="177" spans="1:14" x14ac:dyDescent="0.25">
      <c r="A177" s="130" t="s">
        <v>88</v>
      </c>
      <c r="B177" s="196">
        <f t="shared" ref="B177:M177" si="63">B100+B110</f>
        <v>250000</v>
      </c>
      <c r="C177" s="196">
        <f t="shared" si="63"/>
        <v>250000</v>
      </c>
      <c r="D177" s="196">
        <f t="shared" si="63"/>
        <v>250000</v>
      </c>
      <c r="E177" s="196">
        <f t="shared" si="63"/>
        <v>250000</v>
      </c>
      <c r="F177" s="196">
        <f t="shared" si="63"/>
        <v>250000</v>
      </c>
      <c r="G177" s="196">
        <f t="shared" si="63"/>
        <v>250000</v>
      </c>
      <c r="H177" s="196">
        <f t="shared" si="63"/>
        <v>250000</v>
      </c>
      <c r="I177" s="196">
        <f t="shared" si="63"/>
        <v>250000</v>
      </c>
      <c r="J177" s="196">
        <f t="shared" si="63"/>
        <v>250000</v>
      </c>
      <c r="K177" s="196">
        <f t="shared" si="63"/>
        <v>250000</v>
      </c>
      <c r="L177" s="196">
        <f t="shared" si="63"/>
        <v>250000</v>
      </c>
      <c r="M177" s="196">
        <f t="shared" si="63"/>
        <v>250000</v>
      </c>
      <c r="N177" s="196">
        <f t="shared" ref="N177:N182" si="64">SUM(B177:M177)</f>
        <v>3000000</v>
      </c>
    </row>
    <row r="178" spans="1:14" x14ac:dyDescent="0.25">
      <c r="A178" s="130" t="s">
        <v>89</v>
      </c>
      <c r="B178" s="196">
        <f t="shared" ref="B178:M178" si="65">B101+B111</f>
        <v>250000</v>
      </c>
      <c r="C178" s="196">
        <f t="shared" si="65"/>
        <v>250000</v>
      </c>
      <c r="D178" s="196">
        <f t="shared" si="65"/>
        <v>250000</v>
      </c>
      <c r="E178" s="196">
        <f t="shared" si="65"/>
        <v>250000</v>
      </c>
      <c r="F178" s="196">
        <f t="shared" si="65"/>
        <v>250000</v>
      </c>
      <c r="G178" s="196">
        <f t="shared" si="65"/>
        <v>250000</v>
      </c>
      <c r="H178" s="196">
        <f t="shared" si="65"/>
        <v>250000</v>
      </c>
      <c r="I178" s="196">
        <f t="shared" si="65"/>
        <v>250000</v>
      </c>
      <c r="J178" s="196">
        <f t="shared" si="65"/>
        <v>250000</v>
      </c>
      <c r="K178" s="196">
        <f t="shared" si="65"/>
        <v>250000</v>
      </c>
      <c r="L178" s="196">
        <f t="shared" si="65"/>
        <v>250000</v>
      </c>
      <c r="M178" s="196">
        <f t="shared" si="65"/>
        <v>250000</v>
      </c>
      <c r="N178" s="196">
        <f t="shared" si="64"/>
        <v>3000000</v>
      </c>
    </row>
    <row r="179" spans="1:14" x14ac:dyDescent="0.25">
      <c r="A179" s="130" t="s">
        <v>99</v>
      </c>
      <c r="B179" s="196">
        <f t="shared" ref="B179:M179" si="66">B102+B112</f>
        <v>500000</v>
      </c>
      <c r="C179" s="196">
        <f t="shared" si="66"/>
        <v>500000</v>
      </c>
      <c r="D179" s="196">
        <f t="shared" si="66"/>
        <v>500000</v>
      </c>
      <c r="E179" s="196">
        <f t="shared" si="66"/>
        <v>500000</v>
      </c>
      <c r="F179" s="196">
        <f t="shared" si="66"/>
        <v>500000</v>
      </c>
      <c r="G179" s="196">
        <f t="shared" si="66"/>
        <v>500000</v>
      </c>
      <c r="H179" s="196">
        <f t="shared" si="66"/>
        <v>484439.38</v>
      </c>
      <c r="I179" s="196">
        <f t="shared" si="66"/>
        <v>500000</v>
      </c>
      <c r="J179" s="196">
        <f t="shared" si="66"/>
        <v>500000</v>
      </c>
      <c r="K179" s="196">
        <f t="shared" si="66"/>
        <v>499316.1</v>
      </c>
      <c r="L179" s="196">
        <f t="shared" si="66"/>
        <v>500000</v>
      </c>
      <c r="M179" s="196">
        <f t="shared" si="66"/>
        <v>500000</v>
      </c>
      <c r="N179" s="196">
        <f t="shared" si="64"/>
        <v>5983755.4799999995</v>
      </c>
    </row>
    <row r="180" spans="1:14" x14ac:dyDescent="0.25">
      <c r="A180" s="130" t="s">
        <v>100</v>
      </c>
      <c r="B180" s="196">
        <f t="shared" ref="B180:M180" si="67">B103+B113</f>
        <v>1000000</v>
      </c>
      <c r="C180" s="196">
        <f t="shared" si="67"/>
        <v>985133.58000000007</v>
      </c>
      <c r="D180" s="196">
        <f t="shared" si="67"/>
        <v>1000000</v>
      </c>
      <c r="E180" s="196">
        <f t="shared" si="67"/>
        <v>998043.53</v>
      </c>
      <c r="F180" s="196">
        <f t="shared" si="67"/>
        <v>996265.65999999992</v>
      </c>
      <c r="G180" s="196">
        <f t="shared" si="67"/>
        <v>973725.57000000007</v>
      </c>
      <c r="H180" s="196">
        <f t="shared" si="67"/>
        <v>900000</v>
      </c>
      <c r="I180" s="196">
        <f t="shared" si="67"/>
        <v>945505.38</v>
      </c>
      <c r="J180" s="196">
        <f t="shared" si="67"/>
        <v>953531.85000000009</v>
      </c>
      <c r="K180" s="196">
        <f t="shared" si="67"/>
        <v>989888.06</v>
      </c>
      <c r="L180" s="196">
        <f t="shared" si="67"/>
        <v>998480</v>
      </c>
      <c r="M180" s="196">
        <f t="shared" si="67"/>
        <v>996939.22</v>
      </c>
      <c r="N180" s="196">
        <f t="shared" si="64"/>
        <v>11737512.850000001</v>
      </c>
    </row>
    <row r="181" spans="1:14" x14ac:dyDescent="0.25">
      <c r="A181" s="130" t="s">
        <v>101</v>
      </c>
      <c r="B181" s="196">
        <f t="shared" ref="B181:M181" si="68">B104+B114</f>
        <v>2271239.0499999998</v>
      </c>
      <c r="C181" s="196">
        <f t="shared" si="68"/>
        <v>2252069.77</v>
      </c>
      <c r="D181" s="196">
        <f t="shared" si="68"/>
        <v>2256120.16</v>
      </c>
      <c r="E181" s="196">
        <f t="shared" si="68"/>
        <v>2203003.6</v>
      </c>
      <c r="F181" s="196">
        <f t="shared" si="68"/>
        <v>2147919.81</v>
      </c>
      <c r="G181" s="196">
        <f t="shared" si="68"/>
        <v>2135013.5500000003</v>
      </c>
      <c r="H181" s="196">
        <f t="shared" si="68"/>
        <v>2158820.83</v>
      </c>
      <c r="I181" s="196">
        <f t="shared" si="68"/>
        <v>2162522.86</v>
      </c>
      <c r="J181" s="196">
        <f t="shared" si="68"/>
        <v>2104155.96</v>
      </c>
      <c r="K181" s="196">
        <f t="shared" si="68"/>
        <v>2118755.2399999998</v>
      </c>
      <c r="L181" s="196">
        <f t="shared" si="68"/>
        <v>2188613.4500000002</v>
      </c>
      <c r="M181" s="196">
        <f t="shared" si="68"/>
        <v>2255372.73</v>
      </c>
      <c r="N181" s="196">
        <f t="shared" si="64"/>
        <v>26253607.010000002</v>
      </c>
    </row>
    <row r="182" spans="1:14" x14ac:dyDescent="0.25">
      <c r="A182" s="130" t="s">
        <v>174</v>
      </c>
      <c r="B182" s="196">
        <f t="shared" ref="B182:M182" si="69">B105+B115</f>
        <v>4349783.3382449998</v>
      </c>
      <c r="C182" s="196">
        <f t="shared" si="69"/>
        <v>7865150.4499916658</v>
      </c>
      <c r="D182" s="196">
        <f t="shared" si="69"/>
        <v>1986220.436623336</v>
      </c>
      <c r="E182" s="196">
        <f t="shared" si="69"/>
        <v>4047150.1947583323</v>
      </c>
      <c r="F182" s="196">
        <f t="shared" si="69"/>
        <v>4221253.6657483317</v>
      </c>
      <c r="G182" s="196">
        <f t="shared" si="69"/>
        <v>3567893.9365600022</v>
      </c>
      <c r="H182" s="196">
        <f t="shared" si="69"/>
        <v>4575213.1399999987</v>
      </c>
      <c r="I182" s="196">
        <f t="shared" si="69"/>
        <v>4584783.3199999994</v>
      </c>
      <c r="J182" s="196">
        <f t="shared" si="69"/>
        <v>3627320.790000001</v>
      </c>
      <c r="K182" s="196">
        <f t="shared" si="69"/>
        <v>4768776.2437499994</v>
      </c>
      <c r="L182" s="196">
        <f t="shared" si="69"/>
        <v>2081416.9813054157</v>
      </c>
      <c r="M182" s="196">
        <f t="shared" si="69"/>
        <v>4791290.5377191668</v>
      </c>
      <c r="N182" s="196">
        <f t="shared" si="64"/>
        <v>50466253.034701243</v>
      </c>
    </row>
    <row r="183" spans="1:14" x14ac:dyDescent="0.25">
      <c r="A183" s="130" t="s">
        <v>6</v>
      </c>
      <c r="B183" s="196">
        <f>SUM(B177:B182)</f>
        <v>8621022.3882449996</v>
      </c>
      <c r="C183" s="196">
        <f t="shared" ref="C183:N183" si="70">SUM(C177:C182)</f>
        <v>12102353.799991665</v>
      </c>
      <c r="D183" s="196">
        <f t="shared" si="70"/>
        <v>6242340.596623336</v>
      </c>
      <c r="E183" s="196">
        <f t="shared" si="70"/>
        <v>8248197.3247583322</v>
      </c>
      <c r="F183" s="196">
        <f t="shared" si="70"/>
        <v>8365439.1357483314</v>
      </c>
      <c r="G183" s="196">
        <f t="shared" si="70"/>
        <v>7676633.0565600023</v>
      </c>
      <c r="H183" s="196">
        <f t="shared" si="70"/>
        <v>8618473.3499999978</v>
      </c>
      <c r="I183" s="196">
        <f t="shared" si="70"/>
        <v>8692811.5599999987</v>
      </c>
      <c r="J183" s="196">
        <f t="shared" si="70"/>
        <v>7685008.6000000015</v>
      </c>
      <c r="K183" s="196">
        <f t="shared" si="70"/>
        <v>8876735.6437499989</v>
      </c>
      <c r="L183" s="196">
        <f t="shared" si="70"/>
        <v>6268510.4313054159</v>
      </c>
      <c r="M183" s="196">
        <f t="shared" si="70"/>
        <v>9043602.487719167</v>
      </c>
      <c r="N183" s="196">
        <f t="shared" si="70"/>
        <v>100441128.37470125</v>
      </c>
    </row>
    <row r="184" spans="1:14" x14ac:dyDescent="0.25">
      <c r="N184" s="196"/>
    </row>
    <row r="185" spans="1:14" x14ac:dyDescent="0.25">
      <c r="A185" s="235" t="s">
        <v>6</v>
      </c>
      <c r="B185" s="196">
        <f t="shared" ref="B185:N185" si="71">SUM(B130,B137,B143,B153,B160,B167,B173,B183)</f>
        <v>32339550.162034042</v>
      </c>
      <c r="C185" s="196">
        <f t="shared" si="71"/>
        <v>34076769.729856648</v>
      </c>
      <c r="D185" s="196">
        <f t="shared" si="71"/>
        <v>24831527.917287465</v>
      </c>
      <c r="E185" s="196">
        <f t="shared" si="71"/>
        <v>23767747.539825559</v>
      </c>
      <c r="F185" s="196">
        <f t="shared" si="71"/>
        <v>24355502.295837391</v>
      </c>
      <c r="G185" s="196">
        <f t="shared" si="71"/>
        <v>23477684.186782613</v>
      </c>
      <c r="H185" s="196">
        <f t="shared" si="71"/>
        <v>18732709.272601962</v>
      </c>
      <c r="I185" s="196">
        <f t="shared" si="71"/>
        <v>25698773.682884946</v>
      </c>
      <c r="J185" s="196">
        <f t="shared" si="71"/>
        <v>20060504.008921303</v>
      </c>
      <c r="K185" s="196">
        <f t="shared" si="71"/>
        <v>26745539.29206568</v>
      </c>
      <c r="L185" s="196">
        <f t="shared" si="71"/>
        <v>25774234.883750428</v>
      </c>
      <c r="M185" s="196">
        <f t="shared" si="71"/>
        <v>30953079.060439773</v>
      </c>
      <c r="N185" s="196">
        <f t="shared" si="71"/>
        <v>310813622.03228784</v>
      </c>
    </row>
    <row r="186" spans="1:14" x14ac:dyDescent="0.25">
      <c r="A186" s="130" t="s">
        <v>49</v>
      </c>
      <c r="B186" s="196">
        <f t="shared" ref="B186:N186" si="72">B185-B118</f>
        <v>0</v>
      </c>
      <c r="C186" s="196">
        <f t="shared" si="72"/>
        <v>0</v>
      </c>
      <c r="D186" s="196">
        <f t="shared" si="72"/>
        <v>0</v>
      </c>
      <c r="E186" s="196">
        <f t="shared" si="72"/>
        <v>0</v>
      </c>
      <c r="F186" s="196">
        <f t="shared" si="72"/>
        <v>0</v>
      </c>
      <c r="G186" s="196">
        <f t="shared" si="72"/>
        <v>0</v>
      </c>
      <c r="H186" s="196">
        <f t="shared" si="72"/>
        <v>0</v>
      </c>
      <c r="I186" s="196">
        <f t="shared" si="72"/>
        <v>0</v>
      </c>
      <c r="J186" s="196">
        <f t="shared" si="72"/>
        <v>0</v>
      </c>
      <c r="K186" s="196">
        <f t="shared" si="72"/>
        <v>0</v>
      </c>
      <c r="L186" s="196">
        <f t="shared" si="72"/>
        <v>0</v>
      </c>
      <c r="M186" s="196">
        <f t="shared" si="72"/>
        <v>0</v>
      </c>
      <c r="N186" s="196">
        <f t="shared" si="72"/>
        <v>0</v>
      </c>
    </row>
  </sheetData>
  <printOptions horizontalCentered="1"/>
  <pageMargins left="0.25" right="0.25" top="1" bottom="1" header="0.5" footer="0.5"/>
  <pageSetup scale="67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3" manualBreakCount="3">
    <brk id="54" max="13" man="1"/>
    <brk id="106" max="13" man="1"/>
    <brk id="173" max="1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6"/>
  <sheetViews>
    <sheetView topLeftCell="A94" zoomScaleNormal="100" workbookViewId="0">
      <selection activeCell="M124" sqref="M124"/>
    </sheetView>
  </sheetViews>
  <sheetFormatPr defaultColWidth="9.1796875" defaultRowHeight="12.5" x14ac:dyDescent="0.25"/>
  <cols>
    <col min="1" max="1" width="25.7265625" style="203" customWidth="1"/>
    <col min="2" max="13" width="12.81640625" style="203" customWidth="1"/>
    <col min="14" max="14" width="14.1796875" style="203" customWidth="1"/>
    <col min="15" max="15" width="1.54296875" style="203" customWidth="1"/>
    <col min="16" max="16" width="11.26953125" style="203" bestFit="1" customWidth="1"/>
    <col min="17" max="16384" width="9.1796875" style="203"/>
  </cols>
  <sheetData>
    <row r="1" spans="1:14" s="235" customFormat="1" x14ac:dyDescent="0.25">
      <c r="A1" s="235" t="s">
        <v>0</v>
      </c>
    </row>
    <row r="2" spans="1:14" x14ac:dyDescent="0.25">
      <c r="A2" s="203" t="s">
        <v>330</v>
      </c>
    </row>
    <row r="3" spans="1:14" ht="13" x14ac:dyDescent="0.3">
      <c r="N3" s="219"/>
    </row>
    <row r="4" spans="1:14" x14ac:dyDescent="0.25">
      <c r="A4" s="220" t="s">
        <v>162</v>
      </c>
      <c r="B4" s="223">
        <v>43101</v>
      </c>
      <c r="C4" s="223">
        <f>EDATE(B4,1)</f>
        <v>43132</v>
      </c>
      <c r="D4" s="223">
        <f t="shared" ref="D4:M4" si="0">EDATE(C4,1)</f>
        <v>43160</v>
      </c>
      <c r="E4" s="223">
        <f t="shared" si="0"/>
        <v>43191</v>
      </c>
      <c r="F4" s="223">
        <f t="shared" si="0"/>
        <v>43221</v>
      </c>
      <c r="G4" s="223">
        <f t="shared" si="0"/>
        <v>43252</v>
      </c>
      <c r="H4" s="223">
        <f t="shared" si="0"/>
        <v>43282</v>
      </c>
      <c r="I4" s="223">
        <f t="shared" si="0"/>
        <v>43313</v>
      </c>
      <c r="J4" s="223">
        <f t="shared" si="0"/>
        <v>43344</v>
      </c>
      <c r="K4" s="223">
        <f t="shared" si="0"/>
        <v>43374</v>
      </c>
      <c r="L4" s="223">
        <f t="shared" si="0"/>
        <v>43405</v>
      </c>
      <c r="M4" s="223">
        <f t="shared" si="0"/>
        <v>43435</v>
      </c>
      <c r="N4" s="204" t="s">
        <v>190</v>
      </c>
    </row>
    <row r="5" spans="1:14" ht="14.5" x14ac:dyDescent="0.35">
      <c r="A5" s="133" t="s">
        <v>176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96"/>
    </row>
    <row r="6" spans="1:14" x14ac:dyDescent="0.25">
      <c r="A6" s="130" t="s">
        <v>177</v>
      </c>
      <c r="B6" s="222">
        <f>'[64](C) Actual Therms By Block'!B9</f>
        <v>1157860.787</v>
      </c>
      <c r="C6" s="222">
        <f>'[64](C) Actual Therms By Block'!C9</f>
        <v>1062897.169</v>
      </c>
      <c r="D6" s="222">
        <f>'[64](C) Actual Therms By Block'!D9</f>
        <v>1190628.3959999999</v>
      </c>
      <c r="E6" s="222">
        <f>'[64](C) Actual Therms By Block'!E9</f>
        <v>1151419.365</v>
      </c>
      <c r="F6" s="222">
        <f>'[64](C) Actual Therms By Block'!F9</f>
        <v>1077430.378</v>
      </c>
      <c r="G6" s="222">
        <f>'[64](C) Actual Therms By Block'!G9</f>
        <v>966074.72600000002</v>
      </c>
      <c r="H6" s="222">
        <f>'[64](C) Actual Therms By Block'!H9</f>
        <v>863644.65399999998</v>
      </c>
      <c r="I6" s="222">
        <f>'[64](C) Actual Therms By Block'!I9</f>
        <v>850144.36899999995</v>
      </c>
      <c r="J6" s="222">
        <f>'[64](C) Actual Therms By Block'!J9</f>
        <v>967051.33</v>
      </c>
      <c r="K6" s="222">
        <f>'[64](C) Actual Therms By Block'!K9</f>
        <v>1134151.9990000001</v>
      </c>
      <c r="L6" s="222">
        <f>'[64](C) Actual Therms By Block'!L9</f>
        <v>1072971.0560000001</v>
      </c>
      <c r="M6" s="222">
        <f>'[64](C) Actual Therms By Block'!M9</f>
        <v>1130552.78</v>
      </c>
      <c r="N6" s="196">
        <f t="shared" ref="N6:N9" si="1">SUM(B6:M6)</f>
        <v>12624827.009</v>
      </c>
    </row>
    <row r="7" spans="1:14" x14ac:dyDescent="0.25">
      <c r="A7" s="130" t="s">
        <v>165</v>
      </c>
      <c r="B7" s="222">
        <f>'[64](C) Actual Therms By Block'!B10</f>
        <v>3303141.4559999998</v>
      </c>
      <c r="C7" s="222">
        <f>'[64](C) Actual Therms By Block'!C10</f>
        <v>3137631.9730000002</v>
      </c>
      <c r="D7" s="222">
        <f>'[64](C) Actual Therms By Block'!D10</f>
        <v>3158410.909</v>
      </c>
      <c r="E7" s="222">
        <f>'[64](C) Actual Therms By Block'!E10</f>
        <v>2445868.233</v>
      </c>
      <c r="F7" s="222">
        <f>'[64](C) Actual Therms By Block'!F10</f>
        <v>1638537.1980000001</v>
      </c>
      <c r="G7" s="222">
        <f>'[64](C) Actual Therms By Block'!G10</f>
        <v>1355732.45</v>
      </c>
      <c r="H7" s="222">
        <f>'[64](C) Actual Therms By Block'!H10</f>
        <v>1033411.358</v>
      </c>
      <c r="I7" s="222">
        <f>'[64](C) Actual Therms By Block'!I10</f>
        <v>1082181.5919999999</v>
      </c>
      <c r="J7" s="222">
        <f>'[64](C) Actual Therms By Block'!J10</f>
        <v>1409827.925</v>
      </c>
      <c r="K7" s="222">
        <f>'[64](C) Actual Therms By Block'!K10</f>
        <v>2190772.8220000002</v>
      </c>
      <c r="L7" s="222">
        <f>'[64](C) Actual Therms By Block'!L10</f>
        <v>2820768.46</v>
      </c>
      <c r="M7" s="222">
        <f>'[64](C) Actual Therms By Block'!M10</f>
        <v>3282874.6510000001</v>
      </c>
      <c r="N7" s="196">
        <f t="shared" si="1"/>
        <v>26859159.027000003</v>
      </c>
    </row>
    <row r="8" spans="1:14" x14ac:dyDescent="0.25">
      <c r="A8" s="130" t="s">
        <v>166</v>
      </c>
      <c r="B8" s="222">
        <f>'[64](C) Actual Therms By Block'!B11</f>
        <v>2138653.3724791175</v>
      </c>
      <c r="C8" s="222">
        <f>'[64](C) Actual Therms By Block'!C11</f>
        <v>2271409.9447280699</v>
      </c>
      <c r="D8" s="222">
        <f>'[64](C) Actual Therms By Block'!D11</f>
        <v>1736758.5747423153</v>
      </c>
      <c r="E8" s="222">
        <f>'[64](C) Actual Therms By Block'!E11</f>
        <v>1321449.657181114</v>
      </c>
      <c r="F8" s="222">
        <f>'[64](C) Actual Therms By Block'!F11</f>
        <v>368191.58437554073</v>
      </c>
      <c r="G8" s="222">
        <f>'[64](C) Actual Therms By Block'!G11</f>
        <v>1119831.2786159753</v>
      </c>
      <c r="H8" s="222">
        <f>'[64](C) Actual Therms By Block'!H11</f>
        <v>-1313923.7375925758</v>
      </c>
      <c r="I8" s="222">
        <f>'[64](C) Actual Therms By Block'!I11</f>
        <v>2154190.2371115973</v>
      </c>
      <c r="J8" s="222">
        <f>'[64](C) Actual Therms By Block'!J11</f>
        <v>309807.62644091295</v>
      </c>
      <c r="K8" s="222">
        <f>'[64](C) Actual Therms By Block'!K11</f>
        <v>649551.94653006364</v>
      </c>
      <c r="L8" s="222">
        <f>'[64](C) Actual Therms By Block'!L11</f>
        <v>1091028.9237078894</v>
      </c>
      <c r="M8" s="222">
        <f>'[64](C) Actual Therms By Block'!M11</f>
        <v>2806027.6621526228</v>
      </c>
      <c r="N8" s="196">
        <f t="shared" si="1"/>
        <v>14652977.070472643</v>
      </c>
    </row>
    <row r="9" spans="1:14" s="196" customFormat="1" ht="14.5" x14ac:dyDescent="0.35">
      <c r="A9" s="130" t="s">
        <v>6</v>
      </c>
      <c r="B9" s="153">
        <f t="shared" ref="B9:M9" si="2">SUM(B6:B8)</f>
        <v>6599655.6154791173</v>
      </c>
      <c r="C9" s="153">
        <f t="shared" si="2"/>
        <v>6471939.0867280699</v>
      </c>
      <c r="D9" s="153">
        <f t="shared" si="2"/>
        <v>6085797.879742315</v>
      </c>
      <c r="E9" s="153">
        <f t="shared" si="2"/>
        <v>4918737.2551811142</v>
      </c>
      <c r="F9" s="153">
        <f t="shared" si="2"/>
        <v>3084159.1603755411</v>
      </c>
      <c r="G9" s="153">
        <f t="shared" si="2"/>
        <v>3441638.4546159753</v>
      </c>
      <c r="H9" s="153">
        <f t="shared" si="2"/>
        <v>583132.27440742427</v>
      </c>
      <c r="I9" s="153">
        <f t="shared" si="2"/>
        <v>4086516.1981115974</v>
      </c>
      <c r="J9" s="153">
        <f t="shared" si="2"/>
        <v>2686686.8814409128</v>
      </c>
      <c r="K9" s="153">
        <f t="shared" si="2"/>
        <v>3974476.7675300641</v>
      </c>
      <c r="L9" s="153">
        <f t="shared" si="2"/>
        <v>4984768.4397078892</v>
      </c>
      <c r="M9" s="153">
        <f t="shared" si="2"/>
        <v>7219455.0931526227</v>
      </c>
      <c r="N9" s="196">
        <f t="shared" si="1"/>
        <v>54136963.106472641</v>
      </c>
    </row>
    <row r="10" spans="1:14" ht="14.5" x14ac:dyDescent="0.35">
      <c r="A10" s="130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96"/>
    </row>
    <row r="11" spans="1:14" ht="14.5" x14ac:dyDescent="0.35">
      <c r="A11" s="130"/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96"/>
    </row>
    <row r="12" spans="1:14" ht="14.5" x14ac:dyDescent="0.35">
      <c r="A12" s="133" t="s">
        <v>178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96"/>
    </row>
    <row r="13" spans="1:14" x14ac:dyDescent="0.25">
      <c r="A13" s="130" t="s">
        <v>177</v>
      </c>
      <c r="B13" s="222">
        <f>'[64](C) Actual Therms By Block'!B16</f>
        <v>65669.274000000005</v>
      </c>
      <c r="C13" s="222">
        <f>'[64](C) Actual Therms By Block'!C16</f>
        <v>62094.766000000003</v>
      </c>
      <c r="D13" s="222">
        <f>'[64](C) Actual Therms By Block'!D16</f>
        <v>67369.051000000007</v>
      </c>
      <c r="E13" s="222">
        <f>'[64](C) Actual Therms By Block'!E16</f>
        <v>65894.456000000006</v>
      </c>
      <c r="F13" s="222">
        <f>'[64](C) Actual Therms By Block'!F16</f>
        <v>64675.387999999999</v>
      </c>
      <c r="G13" s="222">
        <f>'[64](C) Actual Therms By Block'!G16</f>
        <v>61151.807999999997</v>
      </c>
      <c r="H13" s="222">
        <f>'[64](C) Actual Therms By Block'!H16</f>
        <v>61940.180999999997</v>
      </c>
      <c r="I13" s="222">
        <f>'[64](C) Actual Therms By Block'!I16</f>
        <v>59770.63</v>
      </c>
      <c r="J13" s="222">
        <f>'[64](C) Actual Therms By Block'!J16</f>
        <v>60770.59</v>
      </c>
      <c r="K13" s="222">
        <f>'[64](C) Actual Therms By Block'!K16</f>
        <v>65126.904000000002</v>
      </c>
      <c r="L13" s="222">
        <f>'[64](C) Actual Therms By Block'!L16</f>
        <v>63637.646999999997</v>
      </c>
      <c r="M13" s="222">
        <f>'[64](C) Actual Therms By Block'!M16</f>
        <v>64926.135000000002</v>
      </c>
      <c r="N13" s="196">
        <f t="shared" ref="N13:N16" si="3">SUM(B13:M13)</f>
        <v>763026.83</v>
      </c>
    </row>
    <row r="14" spans="1:14" x14ac:dyDescent="0.25">
      <c r="A14" s="130" t="s">
        <v>165</v>
      </c>
      <c r="B14" s="222">
        <f>'[64](C) Actual Therms By Block'!B17</f>
        <v>251095.27799999999</v>
      </c>
      <c r="C14" s="222">
        <f>'[64](C) Actual Therms By Block'!C17</f>
        <v>239327.72</v>
      </c>
      <c r="D14" s="222">
        <f>'[64](C) Actual Therms By Block'!D17</f>
        <v>254583.26</v>
      </c>
      <c r="E14" s="222">
        <f>'[64](C) Actual Therms By Block'!E17</f>
        <v>240732.26</v>
      </c>
      <c r="F14" s="222">
        <f>'[64](C) Actual Therms By Block'!F17</f>
        <v>216649.454</v>
      </c>
      <c r="G14" s="222">
        <f>'[64](C) Actual Therms By Block'!G17</f>
        <v>200600.78700000001</v>
      </c>
      <c r="H14" s="222">
        <f>'[64](C) Actual Therms By Block'!H17</f>
        <v>197316.31099999999</v>
      </c>
      <c r="I14" s="222">
        <f>'[64](C) Actual Therms By Block'!I17</f>
        <v>198654.87700000001</v>
      </c>
      <c r="J14" s="222">
        <f>'[64](C) Actual Therms By Block'!J17</f>
        <v>200092.91099999999</v>
      </c>
      <c r="K14" s="222">
        <f>'[64](C) Actual Therms By Block'!K17</f>
        <v>226034.67800000001</v>
      </c>
      <c r="L14" s="222">
        <f>'[64](C) Actual Therms By Block'!L17</f>
        <v>240614.43299999999</v>
      </c>
      <c r="M14" s="222">
        <f>'[64](C) Actual Therms By Block'!M17</f>
        <v>247202.34099999999</v>
      </c>
      <c r="N14" s="196">
        <f t="shared" si="3"/>
        <v>2712904.3100000005</v>
      </c>
    </row>
    <row r="15" spans="1:14" x14ac:dyDescent="0.25">
      <c r="A15" s="130" t="s">
        <v>166</v>
      </c>
      <c r="B15" s="222">
        <f>'[64](C) Actual Therms By Block'!B18</f>
        <v>721111.91931869742</v>
      </c>
      <c r="C15" s="222">
        <f>'[64](C) Actual Therms By Block'!C18</f>
        <v>748507.73900000006</v>
      </c>
      <c r="D15" s="222">
        <f>'[64](C) Actual Therms By Block'!D18</f>
        <v>389784.49800000014</v>
      </c>
      <c r="E15" s="222">
        <f>'[64](C) Actual Therms By Block'!E18</f>
        <v>434328.647</v>
      </c>
      <c r="F15" s="222">
        <f>'[64](C) Actual Therms By Block'!F18</f>
        <v>172537.92699999985</v>
      </c>
      <c r="G15" s="222">
        <f>'[64](C) Actual Therms By Block'!G18</f>
        <v>766163.01296690747</v>
      </c>
      <c r="H15" s="222">
        <f>'[64](C) Actual Therms By Block'!H18</f>
        <v>-219746.57479102738</v>
      </c>
      <c r="I15" s="222">
        <f>'[64](C) Actual Therms By Block'!I18</f>
        <v>972433.89982411987</v>
      </c>
      <c r="J15" s="222">
        <f>'[64](C) Actual Therms By Block'!J18</f>
        <v>407890.90300000011</v>
      </c>
      <c r="K15" s="222">
        <f>'[64](C) Actual Therms By Block'!K18</f>
        <v>477679.51699999993</v>
      </c>
      <c r="L15" s="222">
        <f>'[64](C) Actual Therms By Block'!L18</f>
        <v>564297.28200000024</v>
      </c>
      <c r="M15" s="222">
        <f>'[64](C) Actual Therms By Block'!M18</f>
        <v>589228.62699999986</v>
      </c>
      <c r="N15" s="196">
        <f t="shared" si="3"/>
        <v>6024217.3973186985</v>
      </c>
    </row>
    <row r="16" spans="1:14" s="196" customFormat="1" ht="14.5" x14ac:dyDescent="0.35">
      <c r="A16" s="130" t="s">
        <v>6</v>
      </c>
      <c r="B16" s="153">
        <f t="shared" ref="B16:M16" si="4">SUM(B13:B15)</f>
        <v>1037876.4713186974</v>
      </c>
      <c r="C16" s="153">
        <f t="shared" si="4"/>
        <v>1049930.2250000001</v>
      </c>
      <c r="D16" s="153">
        <f t="shared" si="4"/>
        <v>711736.80900000012</v>
      </c>
      <c r="E16" s="153">
        <f t="shared" si="4"/>
        <v>740955.36300000001</v>
      </c>
      <c r="F16" s="153">
        <f t="shared" si="4"/>
        <v>453862.76899999985</v>
      </c>
      <c r="G16" s="153">
        <f t="shared" si="4"/>
        <v>1027915.6079669074</v>
      </c>
      <c r="H16" s="153">
        <f t="shared" si="4"/>
        <v>39509.917208972591</v>
      </c>
      <c r="I16" s="153">
        <f t="shared" si="4"/>
        <v>1230859.4068241199</v>
      </c>
      <c r="J16" s="153">
        <f t="shared" si="4"/>
        <v>668754.4040000001</v>
      </c>
      <c r="K16" s="153">
        <f t="shared" si="4"/>
        <v>768841.09899999993</v>
      </c>
      <c r="L16" s="153">
        <f t="shared" si="4"/>
        <v>868549.3620000002</v>
      </c>
      <c r="M16" s="153">
        <f t="shared" si="4"/>
        <v>901357.10299999989</v>
      </c>
      <c r="N16" s="196">
        <f t="shared" si="3"/>
        <v>9500148.5373186972</v>
      </c>
    </row>
    <row r="17" spans="1:16" ht="14.5" x14ac:dyDescent="0.35">
      <c r="A17" s="130"/>
      <c r="B17" s="153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96"/>
    </row>
    <row r="18" spans="1:16" ht="14.5" x14ac:dyDescent="0.35">
      <c r="A18" s="130"/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96"/>
    </row>
    <row r="19" spans="1:16" x14ac:dyDescent="0.25">
      <c r="A19" s="130" t="s">
        <v>163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P19" s="196"/>
    </row>
    <row r="20" spans="1:16" x14ac:dyDescent="0.25">
      <c r="A20" s="130" t="s">
        <v>164</v>
      </c>
      <c r="B20" s="222">
        <f>'[64](C) Actual Therms By Block'!B23</f>
        <v>69360</v>
      </c>
      <c r="C20" s="222">
        <f>'[64](C) Actual Therms By Block'!C23</f>
        <v>70980</v>
      </c>
      <c r="D20" s="222">
        <f>'[64](C) Actual Therms By Block'!D23</f>
        <v>71100</v>
      </c>
      <c r="E20" s="222">
        <f>'[64](C) Actual Therms By Block'!E23</f>
        <v>72000</v>
      </c>
      <c r="F20" s="222">
        <f>'[64](C) Actual Therms By Block'!F23</f>
        <v>71141.990000000005</v>
      </c>
      <c r="G20" s="222">
        <f>'[64](C) Actual Therms By Block'!G23</f>
        <v>73679.11</v>
      </c>
      <c r="H20" s="222">
        <f>'[64](C) Actual Therms By Block'!H23</f>
        <v>73057.41</v>
      </c>
      <c r="I20" s="222">
        <f>'[64](C) Actual Therms By Block'!I23</f>
        <v>73251.44</v>
      </c>
      <c r="J20" s="222">
        <f>'[64](C) Actual Therms By Block'!J23</f>
        <v>73935.649999999994</v>
      </c>
      <c r="K20" s="222">
        <f>'[64](C) Actual Therms By Block'!K23</f>
        <v>74550.95</v>
      </c>
      <c r="L20" s="222">
        <f>'[64](C) Actual Therms By Block'!L23</f>
        <v>73800</v>
      </c>
      <c r="M20" s="222">
        <f>'[64](C) Actual Therms By Block'!M23</f>
        <v>73800</v>
      </c>
      <c r="N20" s="196">
        <f>SUM(B20:M20)</f>
        <v>870656.54999999993</v>
      </c>
      <c r="P20" s="196"/>
    </row>
    <row r="21" spans="1:16" x14ac:dyDescent="0.25">
      <c r="A21" s="130" t="s">
        <v>165</v>
      </c>
      <c r="B21" s="222">
        <f>'[64](C) Actual Therms By Block'!B24</f>
        <v>278423.61</v>
      </c>
      <c r="C21" s="222">
        <f>'[64](C) Actual Therms By Block'!C24</f>
        <v>284808.07</v>
      </c>
      <c r="D21" s="222">
        <f>'[64](C) Actual Therms By Block'!D24</f>
        <v>280728.15999999997</v>
      </c>
      <c r="E21" s="222">
        <f>'[64](C) Actual Therms By Block'!E24</f>
        <v>264094.78999999998</v>
      </c>
      <c r="F21" s="222">
        <f>'[64](C) Actual Therms By Block'!F24</f>
        <v>236993.8</v>
      </c>
      <c r="G21" s="222">
        <f>'[64](C) Actual Therms By Block'!G24</f>
        <v>237154.84</v>
      </c>
      <c r="H21" s="222">
        <f>'[64](C) Actual Therms By Block'!H24</f>
        <v>224856.92</v>
      </c>
      <c r="I21" s="222">
        <f>'[64](C) Actual Therms By Block'!I24</f>
        <v>224420.98</v>
      </c>
      <c r="J21" s="222">
        <f>'[64](C) Actual Therms By Block'!J24</f>
        <v>234124.08</v>
      </c>
      <c r="K21" s="222">
        <f>'[64](C) Actual Therms By Block'!K24</f>
        <v>272736.33</v>
      </c>
      <c r="L21" s="222">
        <f>'[64](C) Actual Therms By Block'!L24</f>
        <v>284495.09999999998</v>
      </c>
      <c r="M21" s="222">
        <f>'[64](C) Actual Therms By Block'!M24</f>
        <v>305615.93</v>
      </c>
      <c r="N21" s="196">
        <f t="shared" ref="N21:N23" si="5">SUM(B21:M21)</f>
        <v>3128452.6100000003</v>
      </c>
      <c r="P21" s="196"/>
    </row>
    <row r="22" spans="1:16" x14ac:dyDescent="0.25">
      <c r="A22" s="130" t="s">
        <v>166</v>
      </c>
      <c r="B22" s="222">
        <f>'[64](C) Actual Therms By Block'!B25</f>
        <v>1124062.7099999995</v>
      </c>
      <c r="C22" s="222">
        <f>'[64](C) Actual Therms By Block'!C25</f>
        <v>1845207.34</v>
      </c>
      <c r="D22" s="222">
        <f>'[64](C) Actual Therms By Block'!D25</f>
        <v>-86629.779999999679</v>
      </c>
      <c r="E22" s="222">
        <f>'[64](C) Actual Therms By Block'!E25</f>
        <v>770592.11999999965</v>
      </c>
      <c r="F22" s="222">
        <f>'[64](C) Actual Therms By Block'!F25</f>
        <v>772569.03</v>
      </c>
      <c r="G22" s="222">
        <f>'[64](C) Actual Therms By Block'!G25</f>
        <v>698269.17999999993</v>
      </c>
      <c r="H22" s="222">
        <f>'[64](C) Actual Therms By Block'!H25</f>
        <v>495677.02000000019</v>
      </c>
      <c r="I22" s="222">
        <f>'[64](C) Actual Therms By Block'!I25</f>
        <v>921084.45999999961</v>
      </c>
      <c r="J22" s="222">
        <f>'[64](C) Actual Therms By Block'!J25</f>
        <v>663953.42000000027</v>
      </c>
      <c r="K22" s="222">
        <f>'[64](C) Actual Therms By Block'!K25</f>
        <v>812119.60499999998</v>
      </c>
      <c r="L22" s="222">
        <f>'[64](C) Actual Therms By Block'!L25</f>
        <v>1106477.6750000003</v>
      </c>
      <c r="M22" s="222">
        <f>'[64](C) Actual Therms By Block'!M25</f>
        <v>736785.26999999932</v>
      </c>
      <c r="N22" s="196">
        <f t="shared" si="5"/>
        <v>9860168.0500000007</v>
      </c>
      <c r="P22" s="196"/>
    </row>
    <row r="23" spans="1:16" ht="14.5" x14ac:dyDescent="0.35">
      <c r="A23" s="130" t="s">
        <v>6</v>
      </c>
      <c r="B23" s="153">
        <f t="shared" ref="B23:M23" si="6">SUM(B20:B22)</f>
        <v>1471846.3199999994</v>
      </c>
      <c r="C23" s="153">
        <f t="shared" si="6"/>
        <v>2200995.41</v>
      </c>
      <c r="D23" s="153">
        <f t="shared" si="6"/>
        <v>265198.3800000003</v>
      </c>
      <c r="E23" s="153">
        <f t="shared" si="6"/>
        <v>1106686.9099999997</v>
      </c>
      <c r="F23" s="153">
        <f t="shared" si="6"/>
        <v>1080704.82</v>
      </c>
      <c r="G23" s="153">
        <f t="shared" si="6"/>
        <v>1009103.1299999999</v>
      </c>
      <c r="H23" s="153">
        <f t="shared" si="6"/>
        <v>793591.35000000021</v>
      </c>
      <c r="I23" s="153">
        <f t="shared" si="6"/>
        <v>1218756.8799999997</v>
      </c>
      <c r="J23" s="153">
        <f t="shared" si="6"/>
        <v>972013.15000000026</v>
      </c>
      <c r="K23" s="153">
        <f t="shared" si="6"/>
        <v>1159406.885</v>
      </c>
      <c r="L23" s="153">
        <f t="shared" si="6"/>
        <v>1464772.7750000004</v>
      </c>
      <c r="M23" s="153">
        <f t="shared" si="6"/>
        <v>1116201.1999999993</v>
      </c>
      <c r="N23" s="196">
        <f t="shared" si="5"/>
        <v>13859277.209999999</v>
      </c>
      <c r="P23" s="196"/>
    </row>
    <row r="24" spans="1:16" ht="14.5" x14ac:dyDescent="0.35">
      <c r="A24" s="196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96"/>
      <c r="P24" s="196"/>
    </row>
    <row r="25" spans="1:16" ht="14.5" x14ac:dyDescent="0.35">
      <c r="A25" s="130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96"/>
      <c r="P25" s="196"/>
    </row>
    <row r="26" spans="1:16" ht="14.5" x14ac:dyDescent="0.35">
      <c r="A26" s="130" t="s">
        <v>167</v>
      </c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96"/>
      <c r="P26" s="196"/>
    </row>
    <row r="27" spans="1:16" x14ac:dyDescent="0.25">
      <c r="A27" s="130" t="s">
        <v>164</v>
      </c>
      <c r="B27" s="222">
        <f>'[64](C) Actual Therms By Block'!B30</f>
        <v>23430</v>
      </c>
      <c r="C27" s="222">
        <f>'[64](C) Actual Therms By Block'!C30</f>
        <v>23400</v>
      </c>
      <c r="D27" s="222">
        <f>'[64](C) Actual Therms By Block'!D30</f>
        <v>23400</v>
      </c>
      <c r="E27" s="222">
        <f>'[64](C) Actual Therms By Block'!E30</f>
        <v>22500</v>
      </c>
      <c r="F27" s="222">
        <f>'[64](C) Actual Therms By Block'!F30</f>
        <v>20700</v>
      </c>
      <c r="G27" s="222">
        <f>'[64](C) Actual Therms By Block'!G30</f>
        <v>20700</v>
      </c>
      <c r="H27" s="222">
        <f>'[64](C) Actual Therms By Block'!H30</f>
        <v>20601.21</v>
      </c>
      <c r="I27" s="222">
        <f>'[64](C) Actual Therms By Block'!I30</f>
        <v>20705.490000000002</v>
      </c>
      <c r="J27" s="222">
        <f>'[64](C) Actual Therms By Block'!J30</f>
        <v>20754.060000000001</v>
      </c>
      <c r="K27" s="222">
        <f>'[64](C) Actual Therms By Block'!K30</f>
        <v>21529.65</v>
      </c>
      <c r="L27" s="222">
        <f>'[64](C) Actual Therms By Block'!L30</f>
        <v>20700</v>
      </c>
      <c r="M27" s="222">
        <f>'[64](C) Actual Therms By Block'!M30</f>
        <v>20700</v>
      </c>
      <c r="N27" s="196">
        <f>SUM(B27:M27)</f>
        <v>259120.40999999997</v>
      </c>
      <c r="P27" s="196"/>
    </row>
    <row r="28" spans="1:16" x14ac:dyDescent="0.25">
      <c r="A28" s="130" t="s">
        <v>165</v>
      </c>
      <c r="B28" s="222">
        <f>'[64](C) Actual Therms By Block'!B31</f>
        <v>105881.71</v>
      </c>
      <c r="C28" s="222">
        <f>'[64](C) Actual Therms By Block'!C31</f>
        <v>104439.87</v>
      </c>
      <c r="D28" s="222">
        <f>'[64](C) Actual Therms By Block'!D31</f>
        <v>104239.07</v>
      </c>
      <c r="E28" s="222">
        <f>'[64](C) Actual Therms By Block'!E31</f>
        <v>100178.73</v>
      </c>
      <c r="F28" s="222">
        <f>'[64](C) Actual Therms By Block'!F31</f>
        <v>91707.43</v>
      </c>
      <c r="G28" s="222">
        <f>'[64](C) Actual Therms By Block'!G31</f>
        <v>89579.8</v>
      </c>
      <c r="H28" s="222">
        <f>'[64](C) Actual Therms By Block'!H31</f>
        <v>89429.69</v>
      </c>
      <c r="I28" s="222">
        <f>'[64](C) Actual Therms By Block'!I31</f>
        <v>91238.53</v>
      </c>
      <c r="J28" s="222">
        <f>'[64](C) Actual Therms By Block'!J31</f>
        <v>90939.3</v>
      </c>
      <c r="K28" s="222">
        <f>'[64](C) Actual Therms By Block'!K31</f>
        <v>93055.91</v>
      </c>
      <c r="L28" s="222">
        <f>'[64](C) Actual Therms By Block'!L31</f>
        <v>91820.59</v>
      </c>
      <c r="M28" s="222">
        <f>'[64](C) Actual Therms By Block'!M31</f>
        <v>93116.1</v>
      </c>
      <c r="N28" s="196">
        <f t="shared" ref="N28:N30" si="7">SUM(B28:M28)</f>
        <v>1145626.7300000002</v>
      </c>
      <c r="P28" s="196"/>
    </row>
    <row r="29" spans="1:16" x14ac:dyDescent="0.25">
      <c r="A29" s="130" t="s">
        <v>166</v>
      </c>
      <c r="B29" s="222">
        <f>'[64](C) Actual Therms By Block'!B32</f>
        <v>390353.69000000006</v>
      </c>
      <c r="C29" s="222">
        <f>'[64](C) Actual Therms By Block'!C32</f>
        <v>937322.81999999972</v>
      </c>
      <c r="D29" s="222">
        <f>'[64](C) Actual Therms By Block'!D32</f>
        <v>28815.750000000349</v>
      </c>
      <c r="E29" s="222">
        <f>'[64](C) Actual Therms By Block'!E32</f>
        <v>454374.06999999983</v>
      </c>
      <c r="F29" s="222">
        <f>'[64](C) Actual Therms By Block'!F32</f>
        <v>453212.19000000024</v>
      </c>
      <c r="G29" s="222">
        <f>'[64](C) Actual Therms By Block'!G32</f>
        <v>351020.92999999976</v>
      </c>
      <c r="H29" s="222">
        <f>'[64](C) Actual Therms By Block'!H32</f>
        <v>305051.94999999995</v>
      </c>
      <c r="I29" s="222">
        <f>'[64](C) Actual Therms By Block'!I32</f>
        <v>553267.27000000014</v>
      </c>
      <c r="J29" s="222">
        <f>'[64](C) Actual Therms By Block'!J32</f>
        <v>361645.97</v>
      </c>
      <c r="K29" s="222">
        <f>'[64](C) Actual Therms By Block'!K32</f>
        <v>424641.71166666673</v>
      </c>
      <c r="L29" s="222">
        <f>'[64](C) Actual Therms By Block'!L32</f>
        <v>433179.75833333342</v>
      </c>
      <c r="M29" s="222">
        <f>'[64](C) Actual Therms By Block'!M32</f>
        <v>378128.75</v>
      </c>
      <c r="N29" s="196">
        <f t="shared" si="7"/>
        <v>5071014.8600000013</v>
      </c>
      <c r="P29" s="196"/>
    </row>
    <row r="30" spans="1:16" ht="14.5" x14ac:dyDescent="0.35">
      <c r="A30" s="130" t="s">
        <v>6</v>
      </c>
      <c r="B30" s="153">
        <f t="shared" ref="B30:M30" si="8">SUM(B27:B29)</f>
        <v>519665.40000000008</v>
      </c>
      <c r="C30" s="153">
        <f t="shared" si="8"/>
        <v>1065162.6899999997</v>
      </c>
      <c r="D30" s="153">
        <f t="shared" si="8"/>
        <v>156454.82000000036</v>
      </c>
      <c r="E30" s="153">
        <f t="shared" si="8"/>
        <v>577052.79999999981</v>
      </c>
      <c r="F30" s="153">
        <f t="shared" si="8"/>
        <v>565619.62000000023</v>
      </c>
      <c r="G30" s="153">
        <f t="shared" si="8"/>
        <v>461300.72999999975</v>
      </c>
      <c r="H30" s="153">
        <f t="shared" si="8"/>
        <v>415082.85</v>
      </c>
      <c r="I30" s="153">
        <f t="shared" si="8"/>
        <v>665211.29000000015</v>
      </c>
      <c r="J30" s="153">
        <f t="shared" si="8"/>
        <v>473339.32999999996</v>
      </c>
      <c r="K30" s="153">
        <f t="shared" si="8"/>
        <v>539227.27166666673</v>
      </c>
      <c r="L30" s="153">
        <f t="shared" si="8"/>
        <v>545700.34833333339</v>
      </c>
      <c r="M30" s="153">
        <f t="shared" si="8"/>
        <v>491944.85</v>
      </c>
      <c r="N30" s="196">
        <f t="shared" si="7"/>
        <v>6475762</v>
      </c>
      <c r="P30" s="196"/>
    </row>
    <row r="31" spans="1:16" ht="14.5" x14ac:dyDescent="0.35">
      <c r="A31" s="130"/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96"/>
      <c r="P31" s="196"/>
    </row>
    <row r="32" spans="1:16" x14ac:dyDescent="0.25">
      <c r="P32" s="196"/>
    </row>
    <row r="33" spans="1:16" ht="14.5" x14ac:dyDescent="0.35">
      <c r="A33" s="203" t="s">
        <v>179</v>
      </c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96"/>
      <c r="P33" s="196"/>
    </row>
    <row r="34" spans="1:16" x14ac:dyDescent="0.25">
      <c r="A34" s="130" t="s">
        <v>88</v>
      </c>
      <c r="B34" s="222">
        <f>'[64](C) Actual Therms By Block'!B37</f>
        <v>619196.05900000001</v>
      </c>
      <c r="C34" s="222">
        <f>'[64](C) Actual Therms By Block'!C37</f>
        <v>596871.32700000005</v>
      </c>
      <c r="D34" s="222">
        <f>'[64](C) Actual Therms By Block'!D37</f>
        <v>628194.80700000003</v>
      </c>
      <c r="E34" s="222">
        <f>'[64](C) Actual Therms By Block'!E37</f>
        <v>590443.04700000002</v>
      </c>
      <c r="F34" s="222">
        <f>'[64](C) Actual Therms By Block'!F37</f>
        <v>535177.755</v>
      </c>
      <c r="G34" s="222">
        <f>'[64](C) Actual Therms By Block'!G37</f>
        <v>468885.17200000002</v>
      </c>
      <c r="H34" s="222">
        <f>'[64](C) Actual Therms By Block'!H37</f>
        <v>443831.57</v>
      </c>
      <c r="I34" s="222">
        <f>'[64](C) Actual Therms By Block'!I37</f>
        <v>428218.26799999998</v>
      </c>
      <c r="J34" s="222">
        <f>'[64](C) Actual Therms By Block'!J37</f>
        <v>466664.57299999997</v>
      </c>
      <c r="K34" s="222">
        <f>'[64](C) Actual Therms By Block'!K37</f>
        <v>542784.20499999996</v>
      </c>
      <c r="L34" s="222">
        <f>'[64](C) Actual Therms By Block'!L37</f>
        <v>569972.35800000001</v>
      </c>
      <c r="M34" s="222">
        <f>'[64](C) Actual Therms By Block'!M37</f>
        <v>596222.05000000005</v>
      </c>
      <c r="N34" s="196">
        <f t="shared" ref="N34:N37" si="9">SUM(B34:M34)</f>
        <v>6486461.1909999996</v>
      </c>
      <c r="P34" s="196"/>
    </row>
    <row r="35" spans="1:16" x14ac:dyDescent="0.25">
      <c r="A35" s="130" t="s">
        <v>89</v>
      </c>
      <c r="B35" s="222">
        <f>'[64](C) Actual Therms By Block'!B38</f>
        <v>453670.63400000002</v>
      </c>
      <c r="C35" s="222">
        <f>'[64](C) Actual Therms By Block'!C38</f>
        <v>395277.45</v>
      </c>
      <c r="D35" s="222">
        <f>'[64](C) Actual Therms By Block'!D38</f>
        <v>414001.36099999998</v>
      </c>
      <c r="E35" s="222">
        <f>'[64](C) Actual Therms By Block'!E38</f>
        <v>295900.73800000001</v>
      </c>
      <c r="F35" s="222">
        <f>'[64](C) Actual Therms By Block'!F38</f>
        <v>251734.97399999999</v>
      </c>
      <c r="G35" s="222">
        <f>'[64](C) Actual Therms By Block'!G38</f>
        <v>216769.435</v>
      </c>
      <c r="H35" s="222">
        <f>'[64](C) Actual Therms By Block'!H38</f>
        <v>175131.28700000001</v>
      </c>
      <c r="I35" s="222">
        <f>'[64](C) Actual Therms By Block'!I38</f>
        <v>190024.038</v>
      </c>
      <c r="J35" s="222">
        <f>'[64](C) Actual Therms By Block'!J38</f>
        <v>225308.853</v>
      </c>
      <c r="K35" s="222">
        <f>'[64](C) Actual Therms By Block'!K38</f>
        <v>283762.011</v>
      </c>
      <c r="L35" s="222">
        <f>'[64](C) Actual Therms By Block'!L38</f>
        <v>326194.69799999997</v>
      </c>
      <c r="M35" s="222">
        <f>'[64](C) Actual Therms By Block'!M38</f>
        <v>385924.52899999998</v>
      </c>
      <c r="N35" s="196">
        <f t="shared" si="9"/>
        <v>3613700.0080000004</v>
      </c>
      <c r="P35" s="196"/>
    </row>
    <row r="36" spans="1:16" x14ac:dyDescent="0.25">
      <c r="A36" s="130" t="s">
        <v>169</v>
      </c>
      <c r="B36" s="222">
        <f>'[64](C) Actual Therms By Block'!B39</f>
        <v>950074.20700000017</v>
      </c>
      <c r="C36" s="222">
        <f>'[64](C) Actual Therms By Block'!C39</f>
        <v>-678113.18750000023</v>
      </c>
      <c r="D36" s="222">
        <f>'[64](C) Actual Therms By Block'!D39</f>
        <v>837946.82799999975</v>
      </c>
      <c r="E36" s="222">
        <f>'[64](C) Actual Therms By Block'!E39</f>
        <v>-5998.7155000001658</v>
      </c>
      <c r="F36" s="222">
        <f>'[64](C) Actual Therms By Block'!F39</f>
        <v>78890.988000000012</v>
      </c>
      <c r="G36" s="222">
        <f>'[64](C) Actual Therms By Block'!G39</f>
        <v>643620.07349999994</v>
      </c>
      <c r="H36" s="222">
        <f>'[64](C) Actual Therms By Block'!H39</f>
        <v>194063.79799999995</v>
      </c>
      <c r="I36" s="222">
        <f>'[64](C) Actual Therms By Block'!I39</f>
        <v>339692.821</v>
      </c>
      <c r="J36" s="222">
        <f>'[64](C) Actual Therms By Block'!J39</f>
        <v>-45680.535499999998</v>
      </c>
      <c r="K36" s="222">
        <f>'[64](C) Actual Therms By Block'!K39</f>
        <v>552120.125</v>
      </c>
      <c r="L36" s="222">
        <f>'[64](C) Actual Therms By Block'!L39</f>
        <v>866818.95699999982</v>
      </c>
      <c r="M36" s="222">
        <f>'[64](C) Actual Therms By Block'!M39</f>
        <v>327616.15399999998</v>
      </c>
      <c r="N36" s="196">
        <f t="shared" si="9"/>
        <v>4061051.5129999998</v>
      </c>
      <c r="P36" s="196"/>
    </row>
    <row r="37" spans="1:16" ht="14.5" x14ac:dyDescent="0.35">
      <c r="A37" s="130" t="s">
        <v>6</v>
      </c>
      <c r="B37" s="153">
        <f t="shared" ref="B37:M37" si="10">SUM(B34:B36)</f>
        <v>2022940.9000000001</v>
      </c>
      <c r="C37" s="153">
        <f t="shared" si="10"/>
        <v>314035.58949999977</v>
      </c>
      <c r="D37" s="153">
        <f t="shared" si="10"/>
        <v>1880142.9959999998</v>
      </c>
      <c r="E37" s="153">
        <f t="shared" si="10"/>
        <v>880345.06949999987</v>
      </c>
      <c r="F37" s="153">
        <f t="shared" si="10"/>
        <v>865803.71700000006</v>
      </c>
      <c r="G37" s="153">
        <f t="shared" si="10"/>
        <v>1329274.6805</v>
      </c>
      <c r="H37" s="153">
        <f t="shared" si="10"/>
        <v>813026.65500000003</v>
      </c>
      <c r="I37" s="153">
        <f t="shared" si="10"/>
        <v>957935.12699999998</v>
      </c>
      <c r="J37" s="153">
        <f t="shared" si="10"/>
        <v>646292.89049999998</v>
      </c>
      <c r="K37" s="153">
        <f t="shared" si="10"/>
        <v>1378666.341</v>
      </c>
      <c r="L37" s="153">
        <f t="shared" si="10"/>
        <v>1762986.0129999998</v>
      </c>
      <c r="M37" s="153">
        <f t="shared" si="10"/>
        <v>1309762.733</v>
      </c>
      <c r="N37" s="196">
        <f t="shared" si="9"/>
        <v>14161212.712000001</v>
      </c>
      <c r="P37" s="196"/>
    </row>
    <row r="38" spans="1:16" ht="14.5" x14ac:dyDescent="0.35">
      <c r="A38" s="130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96"/>
      <c r="P38" s="196"/>
    </row>
    <row r="39" spans="1:16" ht="14.5" x14ac:dyDescent="0.35">
      <c r="A39" s="130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96"/>
      <c r="P39" s="196"/>
    </row>
    <row r="40" spans="1:16" ht="14.5" x14ac:dyDescent="0.35">
      <c r="A40" s="203" t="s">
        <v>180</v>
      </c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96"/>
      <c r="P40" s="196"/>
    </row>
    <row r="41" spans="1:16" x14ac:dyDescent="0.25">
      <c r="A41" s="130" t="s">
        <v>88</v>
      </c>
      <c r="B41" s="222">
        <f>'[64](C) Actual Therms By Block'!B44</f>
        <v>100694.553</v>
      </c>
      <c r="C41" s="222">
        <f>'[64](C) Actual Therms By Block'!C44</f>
        <v>95970.812999999995</v>
      </c>
      <c r="D41" s="222">
        <f>'[64](C) Actual Therms By Block'!D44</f>
        <v>99781.682000000001</v>
      </c>
      <c r="E41" s="222">
        <f>'[64](C) Actual Therms By Block'!E44</f>
        <v>100107.56</v>
      </c>
      <c r="F41" s="222">
        <f>'[64](C) Actual Therms By Block'!F44</f>
        <v>91522.342999999993</v>
      </c>
      <c r="G41" s="222">
        <f>'[64](C) Actual Therms By Block'!G44</f>
        <v>87325.294999999998</v>
      </c>
      <c r="H41" s="222">
        <f>'[64](C) Actual Therms By Block'!H44</f>
        <v>87420.232999999993</v>
      </c>
      <c r="I41" s="222">
        <f>'[64](C) Actual Therms By Block'!I44</f>
        <v>84955.983999999997</v>
      </c>
      <c r="J41" s="222">
        <f>'[64](C) Actual Therms By Block'!J44</f>
        <v>87181.396999999997</v>
      </c>
      <c r="K41" s="222">
        <f>'[64](C) Actual Therms By Block'!K44</f>
        <v>97589.463000000003</v>
      </c>
      <c r="L41" s="222">
        <f>'[64](C) Actual Therms By Block'!L44</f>
        <v>99931.167000000001</v>
      </c>
      <c r="M41" s="222">
        <f>'[64](C) Actual Therms By Block'!M44</f>
        <v>98679.991999999998</v>
      </c>
      <c r="N41" s="196">
        <f t="shared" ref="N41:N44" si="11">SUM(B41:M41)</f>
        <v>1131160.4820000001</v>
      </c>
      <c r="P41" s="196"/>
    </row>
    <row r="42" spans="1:16" x14ac:dyDescent="0.25">
      <c r="A42" s="130" t="s">
        <v>89</v>
      </c>
      <c r="B42" s="222">
        <f>'[64](C) Actual Therms By Block'!B45</f>
        <v>47232.860999999997</v>
      </c>
      <c r="C42" s="222">
        <f>'[64](C) Actual Therms By Block'!C45</f>
        <v>41418.798999999999</v>
      </c>
      <c r="D42" s="222">
        <f>'[64](C) Actual Therms By Block'!D45</f>
        <v>37198.016000000003</v>
      </c>
      <c r="E42" s="222">
        <f>'[64](C) Actual Therms By Block'!E45</f>
        <v>47052.500999999997</v>
      </c>
      <c r="F42" s="222">
        <f>'[64](C) Actual Therms By Block'!F45</f>
        <v>35115.035000000003</v>
      </c>
      <c r="G42" s="222">
        <f>'[64](C) Actual Therms By Block'!G45</f>
        <v>26116.065999999999</v>
      </c>
      <c r="H42" s="222">
        <f>'[64](C) Actual Therms By Block'!H45</f>
        <v>17378.296999999999</v>
      </c>
      <c r="I42" s="222">
        <f>'[64](C) Actual Therms By Block'!I45</f>
        <v>27399.663</v>
      </c>
      <c r="J42" s="222">
        <f>'[64](C) Actual Therms By Block'!J45</f>
        <v>23531.300999999999</v>
      </c>
      <c r="K42" s="222">
        <f>'[64](C) Actual Therms By Block'!K45</f>
        <v>30406.374</v>
      </c>
      <c r="L42" s="222">
        <f>'[64](C) Actual Therms By Block'!L45</f>
        <v>32106.988000000001</v>
      </c>
      <c r="M42" s="222">
        <f>'[64](C) Actual Therms By Block'!M45</f>
        <v>42625.913999999997</v>
      </c>
      <c r="N42" s="196">
        <f t="shared" si="11"/>
        <v>407581.815</v>
      </c>
      <c r="P42" s="196"/>
    </row>
    <row r="43" spans="1:16" x14ac:dyDescent="0.25">
      <c r="A43" s="130" t="s">
        <v>169</v>
      </c>
      <c r="B43" s="222">
        <f>'[64](C) Actual Therms By Block'!B46</f>
        <v>-14033.147999999986</v>
      </c>
      <c r="C43" s="222">
        <f>'[64](C) Actual Therms By Block'!C46</f>
        <v>19961.430500000017</v>
      </c>
      <c r="D43" s="222">
        <f>'[64](C) Actual Therms By Block'!D46</f>
        <v>-32160.568499999994</v>
      </c>
      <c r="E43" s="222">
        <f>'[64](C) Actual Therms By Block'!E46</f>
        <v>-59471.893749999988</v>
      </c>
      <c r="F43" s="222">
        <f>'[64](C) Actual Therms By Block'!F46</f>
        <v>-42100.774750000011</v>
      </c>
      <c r="G43" s="222">
        <f>'[64](C) Actual Therms By Block'!G46</f>
        <v>63134.720499999996</v>
      </c>
      <c r="H43" s="222">
        <f>'[64](C) Actual Therms By Block'!H46</f>
        <v>29631.902750000008</v>
      </c>
      <c r="I43" s="222">
        <f>'[64](C) Actual Therms By Block'!I46</f>
        <v>38316.401249999995</v>
      </c>
      <c r="J43" s="222">
        <f>'[64](C) Actual Therms By Block'!J46</f>
        <v>-8982.794000000009</v>
      </c>
      <c r="K43" s="222">
        <f>'[64](C) Actual Therms By Block'!K46</f>
        <v>19495.140000000014</v>
      </c>
      <c r="L43" s="222">
        <f>'[64](C) Actual Therms By Block'!L46</f>
        <v>-29872.228000000003</v>
      </c>
      <c r="M43" s="222">
        <f>'[64](C) Actual Therms By Block'!M46</f>
        <v>34588.859000000026</v>
      </c>
      <c r="N43" s="196">
        <f t="shared" si="11"/>
        <v>18507.047000000064</v>
      </c>
      <c r="P43" s="196"/>
    </row>
    <row r="44" spans="1:16" ht="14.5" x14ac:dyDescent="0.35">
      <c r="A44" s="130" t="s">
        <v>6</v>
      </c>
      <c r="B44" s="153">
        <f t="shared" ref="B44:M44" si="12">SUM(B41:B43)</f>
        <v>133894.266</v>
      </c>
      <c r="C44" s="153">
        <f t="shared" si="12"/>
        <v>157351.04250000001</v>
      </c>
      <c r="D44" s="153">
        <f t="shared" si="12"/>
        <v>104819.12950000001</v>
      </c>
      <c r="E44" s="153">
        <f t="shared" si="12"/>
        <v>87688.167249999999</v>
      </c>
      <c r="F44" s="153">
        <f t="shared" si="12"/>
        <v>84536.603249999986</v>
      </c>
      <c r="G44" s="153">
        <f t="shared" si="12"/>
        <v>176576.0815</v>
      </c>
      <c r="H44" s="153">
        <f t="shared" si="12"/>
        <v>134430.43275000001</v>
      </c>
      <c r="I44" s="153">
        <f t="shared" si="12"/>
        <v>150672.04824999999</v>
      </c>
      <c r="J44" s="153">
        <f t="shared" si="12"/>
        <v>101729.90399999999</v>
      </c>
      <c r="K44" s="153">
        <f t="shared" si="12"/>
        <v>147490.97700000001</v>
      </c>
      <c r="L44" s="153">
        <f t="shared" si="12"/>
        <v>102165.927</v>
      </c>
      <c r="M44" s="153">
        <f t="shared" si="12"/>
        <v>175894.76500000001</v>
      </c>
      <c r="N44" s="196">
        <f t="shared" si="11"/>
        <v>1557249.344</v>
      </c>
      <c r="P44" s="196"/>
    </row>
    <row r="45" spans="1:16" ht="14.5" x14ac:dyDescent="0.35">
      <c r="A45" s="130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96"/>
      <c r="P45" s="196"/>
    </row>
    <row r="46" spans="1:16" x14ac:dyDescent="0.25">
      <c r="P46" s="196"/>
    </row>
    <row r="47" spans="1:16" ht="14.5" x14ac:dyDescent="0.35">
      <c r="A47" s="130" t="s">
        <v>168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96"/>
      <c r="P47" s="196"/>
    </row>
    <row r="48" spans="1:16" x14ac:dyDescent="0.25">
      <c r="A48" s="130" t="s">
        <v>88</v>
      </c>
      <c r="B48" s="222">
        <f>'[64](C) Actual Therms By Block'!B51</f>
        <v>795648.58</v>
      </c>
      <c r="C48" s="222">
        <f>'[64](C) Actual Therms By Block'!C51</f>
        <v>769515.8</v>
      </c>
      <c r="D48" s="222">
        <f>'[64](C) Actual Therms By Block'!D51</f>
        <v>788760.82</v>
      </c>
      <c r="E48" s="222">
        <f>'[64](C) Actual Therms By Block'!E51</f>
        <v>775878.28</v>
      </c>
      <c r="F48" s="222">
        <f>'[64](C) Actual Therms By Block'!F51</f>
        <v>779542.12</v>
      </c>
      <c r="G48" s="222">
        <f>'[64](C) Actual Therms By Block'!G51</f>
        <v>782090.09</v>
      </c>
      <c r="H48" s="222">
        <f>'[64](C) Actual Therms By Block'!H51</f>
        <v>768423.58</v>
      </c>
      <c r="I48" s="222">
        <f>'[64](C) Actual Therms By Block'!I51</f>
        <v>763186.72</v>
      </c>
      <c r="J48" s="222">
        <f>'[64](C) Actual Therms By Block'!J51</f>
        <v>764600.1</v>
      </c>
      <c r="K48" s="222">
        <f>'[64](C) Actual Therms By Block'!K51</f>
        <v>785087.26</v>
      </c>
      <c r="L48" s="222">
        <f>'[64](C) Actual Therms By Block'!L51</f>
        <v>780276.71</v>
      </c>
      <c r="M48" s="222">
        <f>'[64](C) Actual Therms By Block'!M51</f>
        <v>776596.75</v>
      </c>
      <c r="N48" s="196">
        <f t="shared" ref="N48:N51" si="13">SUM(B48:M48)</f>
        <v>9329606.8099999987</v>
      </c>
      <c r="P48" s="196"/>
    </row>
    <row r="49" spans="1:16" x14ac:dyDescent="0.25">
      <c r="A49" s="130" t="s">
        <v>89</v>
      </c>
      <c r="B49" s="222">
        <f>'[64](C) Actual Therms By Block'!B52</f>
        <v>542927.29</v>
      </c>
      <c r="C49" s="222">
        <f>'[64](C) Actual Therms By Block'!C52</f>
        <v>521896.28</v>
      </c>
      <c r="D49" s="222">
        <f>'[64](C) Actual Therms By Block'!D52</f>
        <v>553130.56999999995</v>
      </c>
      <c r="E49" s="222">
        <f>'[64](C) Actual Therms By Block'!E52</f>
        <v>502540.24</v>
      </c>
      <c r="F49" s="222">
        <f>'[64](C) Actual Therms By Block'!F52</f>
        <v>489533.2</v>
      </c>
      <c r="G49" s="222">
        <f>'[64](C) Actual Therms By Block'!G52</f>
        <v>495352.57</v>
      </c>
      <c r="H49" s="222">
        <f>'[64](C) Actual Therms By Block'!H52</f>
        <v>471637.41</v>
      </c>
      <c r="I49" s="222">
        <f>'[64](C) Actual Therms By Block'!I52</f>
        <v>481182</v>
      </c>
      <c r="J49" s="222">
        <f>'[64](C) Actual Therms By Block'!J52</f>
        <v>478999.1</v>
      </c>
      <c r="K49" s="222">
        <f>'[64](C) Actual Therms By Block'!K52</f>
        <v>520849.77</v>
      </c>
      <c r="L49" s="222">
        <f>'[64](C) Actual Therms By Block'!L52</f>
        <v>539999.15</v>
      </c>
      <c r="M49" s="222">
        <f>'[64](C) Actual Therms By Block'!M52</f>
        <v>559676.5</v>
      </c>
      <c r="N49" s="196">
        <f t="shared" si="13"/>
        <v>6157724.0800000001</v>
      </c>
      <c r="P49" s="196"/>
    </row>
    <row r="50" spans="1:16" x14ac:dyDescent="0.25">
      <c r="A50" s="130" t="s">
        <v>169</v>
      </c>
      <c r="B50" s="222">
        <f>'[64](C) Actual Therms By Block'!B53</f>
        <v>779536.90999999968</v>
      </c>
      <c r="C50" s="222">
        <f>'[64](C) Actual Therms By Block'!C53</f>
        <v>2713442.95</v>
      </c>
      <c r="D50" s="222">
        <f>'[64](C) Actual Therms By Block'!D53</f>
        <v>-1234606.0700000003</v>
      </c>
      <c r="E50" s="222">
        <f>'[64](C) Actual Therms By Block'!E53</f>
        <v>655498.62000000011</v>
      </c>
      <c r="F50" s="222">
        <f>'[64](C) Actual Therms By Block'!F53</f>
        <v>425289.20999999973</v>
      </c>
      <c r="G50" s="222">
        <f>'[64](C) Actual Therms By Block'!G53</f>
        <v>467882.45000000042</v>
      </c>
      <c r="H50" s="222">
        <f>'[64](C) Actual Therms By Block'!H53</f>
        <v>441177.76</v>
      </c>
      <c r="I50" s="222">
        <f>'[64](C) Actual Therms By Block'!I53</f>
        <v>1284494.0600000003</v>
      </c>
      <c r="J50" s="222">
        <f>'[64](C) Actual Therms By Block'!J53</f>
        <v>-444680.25999999966</v>
      </c>
      <c r="K50" s="222">
        <f>'[64](C) Actual Therms By Block'!K53</f>
        <v>760091.7033333329</v>
      </c>
      <c r="L50" s="222">
        <f>'[64](C) Actual Therms By Block'!L53</f>
        <v>547991.87666666717</v>
      </c>
      <c r="M50" s="222">
        <f>'[64](C) Actual Therms By Block'!M53</f>
        <v>819450.29999999981</v>
      </c>
      <c r="N50" s="196">
        <f t="shared" si="13"/>
        <v>7215569.5099999998</v>
      </c>
      <c r="P50" s="196"/>
    </row>
    <row r="51" spans="1:16" ht="14.5" x14ac:dyDescent="0.35">
      <c r="A51" s="130" t="s">
        <v>6</v>
      </c>
      <c r="B51" s="153">
        <f t="shared" ref="B51:M51" si="14">SUM(B48:B50)</f>
        <v>2118112.7799999998</v>
      </c>
      <c r="C51" s="153">
        <f t="shared" si="14"/>
        <v>4004855.0300000003</v>
      </c>
      <c r="D51" s="153">
        <f t="shared" si="14"/>
        <v>107285.3199999996</v>
      </c>
      <c r="E51" s="153">
        <f t="shared" si="14"/>
        <v>1933917.1400000001</v>
      </c>
      <c r="F51" s="153">
        <f t="shared" si="14"/>
        <v>1694364.5299999998</v>
      </c>
      <c r="G51" s="153">
        <f t="shared" si="14"/>
        <v>1745325.1100000003</v>
      </c>
      <c r="H51" s="153">
        <f t="shared" si="14"/>
        <v>1681238.75</v>
      </c>
      <c r="I51" s="153">
        <f t="shared" si="14"/>
        <v>2528862.7800000003</v>
      </c>
      <c r="J51" s="153">
        <f t="shared" si="14"/>
        <v>798918.94000000029</v>
      </c>
      <c r="K51" s="153">
        <f t="shared" si="14"/>
        <v>2066028.7333333329</v>
      </c>
      <c r="L51" s="153">
        <f t="shared" si="14"/>
        <v>1868267.736666667</v>
      </c>
      <c r="M51" s="153">
        <f t="shared" si="14"/>
        <v>2155723.5499999998</v>
      </c>
      <c r="N51" s="196">
        <f t="shared" si="13"/>
        <v>22702900.400000002</v>
      </c>
      <c r="P51" s="196"/>
    </row>
    <row r="52" spans="1:16" ht="14.5" x14ac:dyDescent="0.35">
      <c r="A52" s="130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96"/>
      <c r="P52" s="196"/>
    </row>
    <row r="53" spans="1:16" ht="14.5" x14ac:dyDescent="0.35">
      <c r="A53" s="130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96"/>
      <c r="P53" s="196"/>
    </row>
    <row r="54" spans="1:16" ht="14.5" x14ac:dyDescent="0.35">
      <c r="A54" s="130" t="s">
        <v>170</v>
      </c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96"/>
      <c r="P54" s="196"/>
    </row>
    <row r="55" spans="1:16" x14ac:dyDescent="0.25">
      <c r="A55" s="130" t="s">
        <v>88</v>
      </c>
      <c r="B55" s="222">
        <f>'[64](C) Actual Therms By Block'!B58</f>
        <v>1462114.96</v>
      </c>
      <c r="C55" s="222">
        <f>'[64](C) Actual Therms By Block'!C58</f>
        <v>1504173.8</v>
      </c>
      <c r="D55" s="222">
        <f>'[64](C) Actual Therms By Block'!D58</f>
        <v>1601952.22</v>
      </c>
      <c r="E55" s="222">
        <f>'[64](C) Actual Therms By Block'!E58</f>
        <v>1597650.4</v>
      </c>
      <c r="F55" s="222">
        <f>'[64](C) Actual Therms By Block'!F58</f>
        <v>1600042.06</v>
      </c>
      <c r="G55" s="222">
        <f>'[64](C) Actual Therms By Block'!G58</f>
        <v>1608072.67</v>
      </c>
      <c r="H55" s="222">
        <f>'[64](C) Actual Therms By Block'!H58</f>
        <v>1602012.46</v>
      </c>
      <c r="I55" s="222">
        <f>'[64](C) Actual Therms By Block'!I58</f>
        <v>1590304.81</v>
      </c>
      <c r="J55" s="222">
        <f>'[64](C) Actual Therms By Block'!J58</f>
        <v>1611003.43</v>
      </c>
      <c r="K55" s="222">
        <f>'[64](C) Actual Therms By Block'!K58</f>
        <v>1645533.89</v>
      </c>
      <c r="L55" s="222">
        <f>'[64](C) Actual Therms By Block'!L58</f>
        <v>1542536.25</v>
      </c>
      <c r="M55" s="222">
        <f>'[64](C) Actual Therms By Block'!M58</f>
        <v>1428059.92</v>
      </c>
      <c r="N55" s="196">
        <f t="shared" ref="N55:N58" si="15">SUM(B55:M55)</f>
        <v>18793456.870000005</v>
      </c>
      <c r="P55" s="196"/>
    </row>
    <row r="56" spans="1:16" x14ac:dyDescent="0.25">
      <c r="A56" s="130" t="s">
        <v>89</v>
      </c>
      <c r="B56" s="222">
        <f>'[64](C) Actual Therms By Block'!B59</f>
        <v>1038998.88</v>
      </c>
      <c r="C56" s="222">
        <f>'[64](C) Actual Therms By Block'!C59</f>
        <v>947370.73</v>
      </c>
      <c r="D56" s="222">
        <f>'[64](C) Actual Therms By Block'!D59</f>
        <v>1098021.3700000001</v>
      </c>
      <c r="E56" s="222">
        <f>'[64](C) Actual Therms By Block'!E59</f>
        <v>1061605.1299999999</v>
      </c>
      <c r="F56" s="222">
        <f>'[64](C) Actual Therms By Block'!F59</f>
        <v>1159432.25</v>
      </c>
      <c r="G56" s="222">
        <f>'[64](C) Actual Therms By Block'!G59</f>
        <v>1071304.6599999999</v>
      </c>
      <c r="H56" s="222">
        <f>'[64](C) Actual Therms By Block'!H59</f>
        <v>1087910.81</v>
      </c>
      <c r="I56" s="222">
        <f>'[64](C) Actual Therms By Block'!I59</f>
        <v>1044598.91</v>
      </c>
      <c r="J56" s="222">
        <f>'[64](C) Actual Therms By Block'!J59</f>
        <v>1073274.48</v>
      </c>
      <c r="K56" s="222">
        <f>'[64](C) Actual Therms By Block'!K59</f>
        <v>1208193.81</v>
      </c>
      <c r="L56" s="222">
        <f>'[64](C) Actual Therms By Block'!L59</f>
        <v>909585.15</v>
      </c>
      <c r="M56" s="222">
        <f>'[64](C) Actual Therms By Block'!M59</f>
        <v>874252.46</v>
      </c>
      <c r="N56" s="196">
        <f t="shared" si="15"/>
        <v>12574548.640000001</v>
      </c>
      <c r="P56" s="196"/>
    </row>
    <row r="57" spans="1:16" x14ac:dyDescent="0.25">
      <c r="A57" s="130" t="s">
        <v>169</v>
      </c>
      <c r="B57" s="222">
        <f>'[64](C) Actual Therms By Block'!B60</f>
        <v>2027714.7399999993</v>
      </c>
      <c r="C57" s="222">
        <f>'[64](C) Actual Therms By Block'!C60</f>
        <v>5479875.7699999986</v>
      </c>
      <c r="D57" s="222">
        <f>'[64](C) Actual Therms By Block'!D60</f>
        <v>-1708584.6899999995</v>
      </c>
      <c r="E57" s="222">
        <f>'[64](C) Actual Therms By Block'!E60</f>
        <v>1292846.1000000001</v>
      </c>
      <c r="F57" s="222">
        <f>'[64](C) Actual Therms By Block'!F60</f>
        <v>1781398.31</v>
      </c>
      <c r="G57" s="222">
        <f>'[64](C) Actual Therms By Block'!G60</f>
        <v>1533124.7599999998</v>
      </c>
      <c r="H57" s="222">
        <f>'[64](C) Actual Therms By Block'!H60</f>
        <v>1336521.2200000002</v>
      </c>
      <c r="I57" s="222">
        <f>'[64](C) Actual Therms By Block'!I60</f>
        <v>1654688.6599999988</v>
      </c>
      <c r="J57" s="222">
        <f>'[64](C) Actual Therms By Block'!J60</f>
        <v>1659910.63</v>
      </c>
      <c r="K57" s="222">
        <f>'[64](C) Actual Therms By Block'!K60</f>
        <v>1836548.211666666</v>
      </c>
      <c r="L57" s="222">
        <f>'[64](C) Actual Therms By Block'!L60</f>
        <v>1707629.0983333341</v>
      </c>
      <c r="M57" s="222">
        <f>'[64](C) Actual Therms By Block'!M60</f>
        <v>1783494.3400000008</v>
      </c>
      <c r="N57" s="196">
        <f t="shared" si="15"/>
        <v>20385167.149999995</v>
      </c>
      <c r="P57" s="196"/>
    </row>
    <row r="58" spans="1:16" s="196" customFormat="1" ht="14.5" x14ac:dyDescent="0.35">
      <c r="A58" s="130" t="s">
        <v>6</v>
      </c>
      <c r="B58" s="153">
        <f t="shared" ref="B58:M58" si="16">SUM(B55:B57)</f>
        <v>4528828.5799999991</v>
      </c>
      <c r="C58" s="153">
        <f t="shared" si="16"/>
        <v>7931420.2999999989</v>
      </c>
      <c r="D58" s="153">
        <f t="shared" si="16"/>
        <v>991388.90000000037</v>
      </c>
      <c r="E58" s="153">
        <f t="shared" si="16"/>
        <v>3952101.63</v>
      </c>
      <c r="F58" s="153">
        <f t="shared" si="16"/>
        <v>4540872.62</v>
      </c>
      <c r="G58" s="153">
        <f t="shared" si="16"/>
        <v>4212502.09</v>
      </c>
      <c r="H58" s="153">
        <f t="shared" si="16"/>
        <v>4026444.49</v>
      </c>
      <c r="I58" s="153">
        <f t="shared" si="16"/>
        <v>4289592.379999999</v>
      </c>
      <c r="J58" s="153">
        <f t="shared" si="16"/>
        <v>4344188.54</v>
      </c>
      <c r="K58" s="153">
        <f t="shared" si="16"/>
        <v>4690275.9116666662</v>
      </c>
      <c r="L58" s="153">
        <f t="shared" si="16"/>
        <v>4159750.498333334</v>
      </c>
      <c r="M58" s="153">
        <f t="shared" si="16"/>
        <v>4085806.7200000007</v>
      </c>
      <c r="N58" s="196">
        <f t="shared" si="15"/>
        <v>51753172.659999996</v>
      </c>
    </row>
    <row r="59" spans="1:16" ht="14.5" x14ac:dyDescent="0.35">
      <c r="A59" s="130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96"/>
      <c r="P59" s="196"/>
    </row>
    <row r="60" spans="1:16" x14ac:dyDescent="0.25">
      <c r="A60" s="130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P60" s="196"/>
    </row>
    <row r="61" spans="1:16" ht="14.5" x14ac:dyDescent="0.35">
      <c r="A61" s="130" t="s">
        <v>181</v>
      </c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96"/>
      <c r="P61" s="196"/>
    </row>
    <row r="62" spans="1:16" x14ac:dyDescent="0.25">
      <c r="A62" s="130" t="s">
        <v>94</v>
      </c>
      <c r="B62" s="222">
        <f>'[64](C) Actual Therms By Block'!B65</f>
        <v>210017.342</v>
      </c>
      <c r="C62" s="222">
        <f>'[64](C) Actual Therms By Block'!C65</f>
        <v>192508.152</v>
      </c>
      <c r="D62" s="222">
        <f>'[64](C) Actual Therms By Block'!D65</f>
        <v>216360.37599999999</v>
      </c>
      <c r="E62" s="222">
        <f>'[64](C) Actual Therms By Block'!E65</f>
        <v>203132.302</v>
      </c>
      <c r="F62" s="222">
        <f>'[64](C) Actual Therms By Block'!F65</f>
        <v>162482.503</v>
      </c>
      <c r="G62" s="222">
        <f>'[64](C) Actual Therms By Block'!G65</f>
        <v>123157.363</v>
      </c>
      <c r="H62" s="222">
        <f>'[64](C) Actual Therms By Block'!H65</f>
        <v>86435.752999999997</v>
      </c>
      <c r="I62" s="222">
        <f>'[64](C) Actual Therms By Block'!I65</f>
        <v>87632.289000000004</v>
      </c>
      <c r="J62" s="222">
        <f>'[64](C) Actual Therms By Block'!J65</f>
        <v>136355.29800000001</v>
      </c>
      <c r="K62" s="222">
        <f>'[64](C) Actual Therms By Block'!K65</f>
        <v>193894.08100000001</v>
      </c>
      <c r="L62" s="222">
        <f>'[64](C) Actual Therms By Block'!L65</f>
        <v>191672.98499999999</v>
      </c>
      <c r="M62" s="222">
        <f>'[64](C) Actual Therms By Block'!M65</f>
        <v>203239.495</v>
      </c>
      <c r="N62" s="196">
        <f t="shared" ref="N62:N64" si="17">SUM(B62:M62)</f>
        <v>2006887.9390000002</v>
      </c>
      <c r="P62" s="196"/>
    </row>
    <row r="63" spans="1:16" x14ac:dyDescent="0.25">
      <c r="A63" s="130" t="s">
        <v>172</v>
      </c>
      <c r="B63" s="222">
        <f>'[64](C) Actual Therms By Block'!B66</f>
        <v>966523.05529071973</v>
      </c>
      <c r="C63" s="222">
        <f>'[64](C) Actual Therms By Block'!C66</f>
        <v>941429.29643429443</v>
      </c>
      <c r="D63" s="222">
        <f>'[64](C) Actual Therms By Block'!D66</f>
        <v>827123.09455167665</v>
      </c>
      <c r="E63" s="222">
        <f>'[64](C) Actual Therms By Block'!E66</f>
        <v>699128.98146046291</v>
      </c>
      <c r="F63" s="222">
        <f>'[64](C) Actual Therms By Block'!F66</f>
        <v>350864.62448385498</v>
      </c>
      <c r="G63" s="222">
        <f>'[64](C) Actual Therms By Block'!G66</f>
        <v>296235.95729915646</v>
      </c>
      <c r="H63" s="222">
        <f>'[64](C) Actual Therms By Block'!H66</f>
        <v>134587.5569855627</v>
      </c>
      <c r="I63" s="222">
        <f>'[64](C) Actual Therms By Block'!I66</f>
        <v>115498.27794923259</v>
      </c>
      <c r="J63" s="222">
        <f>'[64](C) Actual Therms By Block'!J66</f>
        <v>150290.62607680407</v>
      </c>
      <c r="K63" s="222">
        <f>'[64](C) Actual Therms By Block'!K66</f>
        <v>452263.67991755926</v>
      </c>
      <c r="L63" s="222">
        <f>'[64](C) Actual Therms By Block'!L66</f>
        <v>603965.29648673371</v>
      </c>
      <c r="M63" s="222">
        <f>'[64](C) Actual Therms By Block'!M66</f>
        <v>817872.75892851583</v>
      </c>
      <c r="N63" s="196">
        <f t="shared" si="17"/>
        <v>6355783.2058645738</v>
      </c>
      <c r="P63" s="196"/>
    </row>
    <row r="64" spans="1:16" ht="14.5" x14ac:dyDescent="0.35">
      <c r="A64" s="130" t="s">
        <v>6</v>
      </c>
      <c r="B64" s="153">
        <f t="shared" ref="B64:M64" si="18">SUM(B62:B63)</f>
        <v>1176540.3972907197</v>
      </c>
      <c r="C64" s="153">
        <f t="shared" si="18"/>
        <v>1133937.4484342944</v>
      </c>
      <c r="D64" s="153">
        <f t="shared" si="18"/>
        <v>1043483.4705516766</v>
      </c>
      <c r="E64" s="153">
        <f t="shared" si="18"/>
        <v>902261.28346046293</v>
      </c>
      <c r="F64" s="153">
        <f t="shared" si="18"/>
        <v>513347.127483855</v>
      </c>
      <c r="G64" s="153">
        <f t="shared" si="18"/>
        <v>419393.32029915648</v>
      </c>
      <c r="H64" s="153">
        <f t="shared" si="18"/>
        <v>221023.30998556269</v>
      </c>
      <c r="I64" s="153">
        <f t="shared" si="18"/>
        <v>203130.5669492326</v>
      </c>
      <c r="J64" s="153">
        <f t="shared" si="18"/>
        <v>286645.92407680408</v>
      </c>
      <c r="K64" s="153">
        <f t="shared" si="18"/>
        <v>646157.76091755927</v>
      </c>
      <c r="L64" s="153">
        <f t="shared" si="18"/>
        <v>795638.2814867337</v>
      </c>
      <c r="M64" s="153">
        <f t="shared" si="18"/>
        <v>1021112.2539285158</v>
      </c>
      <c r="N64" s="196">
        <f t="shared" si="17"/>
        <v>8362671.1448645731</v>
      </c>
      <c r="P64" s="196"/>
    </row>
    <row r="65" spans="1:16" s="196" customFormat="1" ht="14.5" x14ac:dyDescent="0.35">
      <c r="A65" s="130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</row>
    <row r="66" spans="1:16" ht="14.5" x14ac:dyDescent="0.35">
      <c r="A66" s="130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96"/>
      <c r="P66" s="196"/>
    </row>
    <row r="67" spans="1:16" ht="14.5" x14ac:dyDescent="0.35">
      <c r="A67" s="196" t="s">
        <v>182</v>
      </c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96"/>
      <c r="P67" s="196"/>
    </row>
    <row r="68" spans="1:16" x14ac:dyDescent="0.25">
      <c r="A68" s="130" t="s">
        <v>94</v>
      </c>
      <c r="B68" s="222">
        <f>'[64](C) Actual Therms By Block'!B71</f>
        <v>4058.5680000000002</v>
      </c>
      <c r="C68" s="222">
        <f>'[64](C) Actual Therms By Block'!C71</f>
        <v>4688.7169999999996</v>
      </c>
      <c r="D68" s="222">
        <f>'[64](C) Actual Therms By Block'!D71</f>
        <v>5155.1409999999996</v>
      </c>
      <c r="E68" s="222">
        <f>'[64](C) Actual Therms By Block'!E71</f>
        <v>5215.2560000000003</v>
      </c>
      <c r="F68" s="222">
        <f>'[64](C) Actual Therms By Block'!F71</f>
        <v>3869.3560000000002</v>
      </c>
      <c r="G68" s="222">
        <f>'[64](C) Actual Therms By Block'!G71</f>
        <v>3194.134</v>
      </c>
      <c r="H68" s="222">
        <f>'[64](C) Actual Therms By Block'!H71</f>
        <v>2335.8000000000002</v>
      </c>
      <c r="I68" s="222">
        <f>'[64](C) Actual Therms By Block'!I71</f>
        <v>2776.384</v>
      </c>
      <c r="J68" s="222">
        <f>'[64](C) Actual Therms By Block'!J71</f>
        <v>3057.7080000000001</v>
      </c>
      <c r="K68" s="222">
        <f>'[64](C) Actual Therms By Block'!K71</f>
        <v>4160.5870000000004</v>
      </c>
      <c r="L68" s="222">
        <f>'[64](C) Actual Therms By Block'!L71</f>
        <v>4757.6880000000001</v>
      </c>
      <c r="M68" s="222">
        <f>'[64](C) Actual Therms By Block'!M71</f>
        <v>4093.989</v>
      </c>
      <c r="N68" s="196">
        <f t="shared" ref="N68:N70" si="19">SUM(B68:M68)</f>
        <v>47363.328000000001</v>
      </c>
      <c r="P68" s="196"/>
    </row>
    <row r="69" spans="1:16" x14ac:dyDescent="0.25">
      <c r="A69" s="130" t="s">
        <v>172</v>
      </c>
      <c r="B69" s="222">
        <f>'[64](C) Actual Therms By Block'!B72</f>
        <v>14012.472000000002</v>
      </c>
      <c r="C69" s="222">
        <f>'[64](C) Actual Therms By Block'!C72</f>
        <v>13843.429</v>
      </c>
      <c r="D69" s="222">
        <f>'[64](C) Actual Therms By Block'!D72</f>
        <v>10298.576000000001</v>
      </c>
      <c r="E69" s="222">
        <f>'[64](C) Actual Therms By Block'!E72</f>
        <v>18950.543999999998</v>
      </c>
      <c r="F69" s="222">
        <f>'[64](C) Actual Therms By Block'!F72</f>
        <v>7447.8389999999999</v>
      </c>
      <c r="G69" s="222">
        <f>'[64](C) Actual Therms By Block'!G72</f>
        <v>6612.6219999999994</v>
      </c>
      <c r="H69" s="222">
        <f>'[64](C) Actual Therms By Block'!H72</f>
        <v>5710.2759999999998</v>
      </c>
      <c r="I69" s="222">
        <f>'[64](C) Actual Therms By Block'!I72</f>
        <v>4718.3810000000012</v>
      </c>
      <c r="J69" s="222">
        <f>'[64](C) Actual Therms By Block'!J72</f>
        <v>6957.5399999999991</v>
      </c>
      <c r="K69" s="222">
        <f>'[64](C) Actual Therms By Block'!K72</f>
        <v>24913.016</v>
      </c>
      <c r="L69" s="222">
        <f>'[64](C) Actual Therms By Block'!L72</f>
        <v>14875.689</v>
      </c>
      <c r="M69" s="222">
        <f>'[64](C) Actual Therms By Block'!M72</f>
        <v>299904.88000000006</v>
      </c>
      <c r="N69" s="196">
        <f t="shared" si="19"/>
        <v>428245.26400000008</v>
      </c>
      <c r="P69" s="196"/>
    </row>
    <row r="70" spans="1:16" ht="14.5" x14ac:dyDescent="0.35">
      <c r="A70" s="130" t="s">
        <v>6</v>
      </c>
      <c r="B70" s="153">
        <f t="shared" ref="B70:M70" si="20">SUM(B68:B69)</f>
        <v>18071.04</v>
      </c>
      <c r="C70" s="153">
        <f t="shared" si="20"/>
        <v>18532.146000000001</v>
      </c>
      <c r="D70" s="153">
        <f t="shared" si="20"/>
        <v>15453.717000000001</v>
      </c>
      <c r="E70" s="153">
        <f t="shared" si="20"/>
        <v>24165.8</v>
      </c>
      <c r="F70" s="153">
        <f t="shared" si="20"/>
        <v>11317.195</v>
      </c>
      <c r="G70" s="153">
        <f t="shared" si="20"/>
        <v>9806.7559999999994</v>
      </c>
      <c r="H70" s="153">
        <f t="shared" si="20"/>
        <v>8046.076</v>
      </c>
      <c r="I70" s="153">
        <f t="shared" si="20"/>
        <v>7494.7650000000012</v>
      </c>
      <c r="J70" s="153">
        <f t="shared" si="20"/>
        <v>10015.248</v>
      </c>
      <c r="K70" s="153">
        <f t="shared" si="20"/>
        <v>29073.602999999999</v>
      </c>
      <c r="L70" s="153">
        <f t="shared" si="20"/>
        <v>19633.377</v>
      </c>
      <c r="M70" s="153">
        <f t="shared" si="20"/>
        <v>303998.86900000006</v>
      </c>
      <c r="N70" s="196">
        <f t="shared" si="19"/>
        <v>475608.59200000006</v>
      </c>
      <c r="P70" s="196"/>
    </row>
    <row r="71" spans="1:16" ht="14.5" x14ac:dyDescent="0.35">
      <c r="A71" s="130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96"/>
      <c r="P71" s="196"/>
    </row>
    <row r="72" spans="1:16" s="196" customFormat="1" x14ac:dyDescent="0.25"/>
    <row r="73" spans="1:16" ht="14.5" x14ac:dyDescent="0.35">
      <c r="A73" s="196" t="s">
        <v>171</v>
      </c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96"/>
      <c r="P73" s="196"/>
    </row>
    <row r="74" spans="1:16" x14ac:dyDescent="0.25">
      <c r="A74" s="130" t="s">
        <v>94</v>
      </c>
      <c r="B74" s="222">
        <f>'[64](C) Actual Therms By Block'!B77</f>
        <v>2000</v>
      </c>
      <c r="C74" s="222">
        <f>'[64](C) Actual Therms By Block'!C77</f>
        <v>2000</v>
      </c>
      <c r="D74" s="222">
        <f>'[64](C) Actual Therms By Block'!D77</f>
        <v>2000</v>
      </c>
      <c r="E74" s="222">
        <f>'[64](C) Actual Therms By Block'!E77</f>
        <v>2000</v>
      </c>
      <c r="F74" s="222">
        <f>'[64](C) Actual Therms By Block'!F77</f>
        <v>2000</v>
      </c>
      <c r="G74" s="222">
        <f>'[64](C) Actual Therms By Block'!G77</f>
        <v>1930.91</v>
      </c>
      <c r="H74" s="222">
        <f>'[64](C) Actual Therms By Block'!H77</f>
        <v>1405.28</v>
      </c>
      <c r="I74" s="222">
        <f>'[64](C) Actual Therms By Block'!I77</f>
        <v>2000</v>
      </c>
      <c r="J74" s="222">
        <f>'[64](C) Actual Therms By Block'!J77</f>
        <v>1675.55</v>
      </c>
      <c r="K74" s="222">
        <f>'[64](C) Actual Therms By Block'!K77</f>
        <v>2000</v>
      </c>
      <c r="L74" s="222">
        <f>'[64](C) Actual Therms By Block'!L77</f>
        <v>2000</v>
      </c>
      <c r="M74" s="222">
        <f>'[64](C) Actual Therms By Block'!M77</f>
        <v>2000</v>
      </c>
      <c r="N74" s="196">
        <f t="shared" ref="N74:N76" si="21">SUM(B74:M74)</f>
        <v>23011.74</v>
      </c>
      <c r="P74" s="196"/>
    </row>
    <row r="75" spans="1:16" x14ac:dyDescent="0.25">
      <c r="A75" s="130" t="s">
        <v>172</v>
      </c>
      <c r="B75" s="222">
        <f>'[64](C) Actual Therms By Block'!B78</f>
        <v>47343.94</v>
      </c>
      <c r="C75" s="222">
        <f>'[64](C) Actual Therms By Block'!C78</f>
        <v>93864.76</v>
      </c>
      <c r="D75" s="222">
        <f>'[64](C) Actual Therms By Block'!D78</f>
        <v>-6606.1600000000035</v>
      </c>
      <c r="E75" s="222">
        <f>'[64](C) Actual Therms By Block'!E78</f>
        <v>18571.190000000006</v>
      </c>
      <c r="F75" s="222">
        <f>'[64](C) Actual Therms By Block'!F78</f>
        <v>26894.409999999993</v>
      </c>
      <c r="G75" s="222">
        <f>'[64](C) Actual Therms By Block'!G78</f>
        <v>14865.7</v>
      </c>
      <c r="H75" s="222">
        <f>'[64](C) Actual Therms By Block'!H78</f>
        <v>14950.530000000002</v>
      </c>
      <c r="I75" s="222">
        <f>'[64](C) Actual Therms By Block'!I78</f>
        <v>11575.840000000002</v>
      </c>
      <c r="J75" s="222">
        <f>'[64](C) Actual Therms By Block'!J78</f>
        <v>17245.48</v>
      </c>
      <c r="K75" s="222">
        <f>'[64](C) Actual Therms By Block'!K78</f>
        <v>34888.018333333326</v>
      </c>
      <c r="L75" s="222">
        <f>'[64](C) Actual Therms By Block'!L78</f>
        <v>28447.391666666674</v>
      </c>
      <c r="M75" s="222">
        <f>'[64](C) Actual Therms By Block'!M78</f>
        <v>26235.309999999998</v>
      </c>
      <c r="N75" s="196">
        <f t="shared" si="21"/>
        <v>328276.41000000003</v>
      </c>
      <c r="P75" s="196"/>
    </row>
    <row r="76" spans="1:16" ht="14.5" x14ac:dyDescent="0.35">
      <c r="A76" s="130" t="s">
        <v>6</v>
      </c>
      <c r="B76" s="153">
        <f t="shared" ref="B76:M76" si="22">SUM(B74:B75)</f>
        <v>49343.94</v>
      </c>
      <c r="C76" s="153">
        <f t="shared" si="22"/>
        <v>95864.76</v>
      </c>
      <c r="D76" s="153">
        <f t="shared" si="22"/>
        <v>-4606.1600000000035</v>
      </c>
      <c r="E76" s="153">
        <f t="shared" si="22"/>
        <v>20571.190000000006</v>
      </c>
      <c r="F76" s="153">
        <f t="shared" si="22"/>
        <v>28894.409999999993</v>
      </c>
      <c r="G76" s="153">
        <f t="shared" si="22"/>
        <v>16796.61</v>
      </c>
      <c r="H76" s="153">
        <f t="shared" si="22"/>
        <v>16355.810000000003</v>
      </c>
      <c r="I76" s="153">
        <f t="shared" si="22"/>
        <v>13575.840000000002</v>
      </c>
      <c r="J76" s="153">
        <f t="shared" si="22"/>
        <v>18921.03</v>
      </c>
      <c r="K76" s="153">
        <f t="shared" si="22"/>
        <v>36888.018333333326</v>
      </c>
      <c r="L76" s="153">
        <f t="shared" si="22"/>
        <v>30447.391666666674</v>
      </c>
      <c r="M76" s="153">
        <f t="shared" si="22"/>
        <v>28235.309999999998</v>
      </c>
      <c r="N76" s="196">
        <f t="shared" si="21"/>
        <v>351288.14999999997</v>
      </c>
      <c r="P76" s="196"/>
    </row>
    <row r="77" spans="1:16" ht="14.5" x14ac:dyDescent="0.35">
      <c r="A77" s="130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96"/>
    </row>
    <row r="78" spans="1:16" x14ac:dyDescent="0.25">
      <c r="P78" s="196"/>
    </row>
    <row r="79" spans="1:16" ht="14.5" x14ac:dyDescent="0.35">
      <c r="A79" s="203" t="s">
        <v>183</v>
      </c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96"/>
      <c r="P79" s="196"/>
    </row>
    <row r="80" spans="1:16" x14ac:dyDescent="0.25">
      <c r="A80" s="130" t="s">
        <v>88</v>
      </c>
      <c r="B80" s="222">
        <f>'[64](C) Actual Therms By Block'!B83</f>
        <v>126044.556</v>
      </c>
      <c r="C80" s="222">
        <f>'[64](C) Actual Therms By Block'!C83</f>
        <v>121455.628</v>
      </c>
      <c r="D80" s="222">
        <f>'[64](C) Actual Therms By Block'!D83</f>
        <v>125000</v>
      </c>
      <c r="E80" s="222">
        <f>'[64](C) Actual Therms By Block'!E83</f>
        <v>124138</v>
      </c>
      <c r="F80" s="222">
        <f>'[64](C) Actual Therms By Block'!F83</f>
        <v>127528.666</v>
      </c>
      <c r="G80" s="222">
        <f>'[64](C) Actual Therms By Block'!G83</f>
        <v>121720.43</v>
      </c>
      <c r="H80" s="222">
        <f>'[64](C) Actual Therms By Block'!H83</f>
        <v>127474.97199999999</v>
      </c>
      <c r="I80" s="222">
        <f>'[64](C) Actual Therms By Block'!I83</f>
        <v>127471.266</v>
      </c>
      <c r="J80" s="222">
        <f>'[64](C) Actual Therms By Block'!J83</f>
        <v>123229.166</v>
      </c>
      <c r="K80" s="222">
        <f>'[64](C) Actual Therms By Block'!K83</f>
        <v>126023.5</v>
      </c>
      <c r="L80" s="222">
        <f>'[64](C) Actual Therms By Block'!L83</f>
        <v>125747.334</v>
      </c>
      <c r="M80" s="222">
        <f>'[64](C) Actual Therms By Block'!M83</f>
        <v>124791.666</v>
      </c>
      <c r="N80" s="196">
        <f t="shared" ref="N80:N86" si="23">SUM(B80:M80)</f>
        <v>1500625.1839999999</v>
      </c>
      <c r="P80" s="196"/>
    </row>
    <row r="81" spans="1:16" x14ac:dyDescent="0.25">
      <c r="A81" s="130" t="s">
        <v>89</v>
      </c>
      <c r="B81" s="222">
        <f>'[64](C) Actual Therms By Block'!B84</f>
        <v>126044.005</v>
      </c>
      <c r="C81" s="222">
        <f>'[64](C) Actual Therms By Block'!C84</f>
        <v>121455.628</v>
      </c>
      <c r="D81" s="222">
        <f>'[64](C) Actual Therms By Block'!D84</f>
        <v>125000</v>
      </c>
      <c r="E81" s="222">
        <f>'[64](C) Actual Therms By Block'!E84</f>
        <v>124138</v>
      </c>
      <c r="F81" s="222">
        <f>'[64](C) Actual Therms By Block'!F84</f>
        <v>127528.666</v>
      </c>
      <c r="G81" s="222">
        <f>'[64](C) Actual Therms By Block'!G84</f>
        <v>112863.99</v>
      </c>
      <c r="H81" s="222">
        <f>'[64](C) Actual Therms By Block'!H84</f>
        <v>116478.465</v>
      </c>
      <c r="I81" s="222">
        <f>'[64](C) Actual Therms By Block'!I84</f>
        <v>117538.98299999999</v>
      </c>
      <c r="J81" s="222">
        <f>'[64](C) Actual Therms By Block'!J84</f>
        <v>123229.166</v>
      </c>
      <c r="K81" s="222">
        <f>'[64](C) Actual Therms By Block'!K84</f>
        <v>126023.5</v>
      </c>
      <c r="L81" s="222">
        <f>'[64](C) Actual Therms By Block'!L84</f>
        <v>125747.334</v>
      </c>
      <c r="M81" s="222">
        <f>'[64](C) Actual Therms By Block'!M84</f>
        <v>124791.666</v>
      </c>
      <c r="N81" s="196">
        <f t="shared" si="23"/>
        <v>1470839.4029999999</v>
      </c>
      <c r="P81" s="196"/>
    </row>
    <row r="82" spans="1:16" s="196" customFormat="1" x14ac:dyDescent="0.25">
      <c r="A82" s="130" t="s">
        <v>99</v>
      </c>
      <c r="B82" s="222">
        <f>'[64](C) Actual Therms By Block'!B85</f>
        <v>252089.111</v>
      </c>
      <c r="C82" s="222">
        <f>'[64](C) Actual Therms By Block'!C85</f>
        <v>242911.25599999999</v>
      </c>
      <c r="D82" s="222">
        <f>'[64](C) Actual Therms By Block'!D85</f>
        <v>250000</v>
      </c>
      <c r="E82" s="222">
        <f>'[64](C) Actual Therms By Block'!E85</f>
        <v>248276</v>
      </c>
      <c r="F82" s="222">
        <f>'[64](C) Actual Therms By Block'!F85</f>
        <v>197462.139</v>
      </c>
      <c r="G82" s="222">
        <f>'[64](C) Actual Therms By Block'!G85</f>
        <v>175211.476</v>
      </c>
      <c r="H82" s="222">
        <f>'[64](C) Actual Therms By Block'!H85</f>
        <v>162170.50099999999</v>
      </c>
      <c r="I82" s="222">
        <f>'[64](C) Actual Therms By Block'!I85</f>
        <v>143109.87599999999</v>
      </c>
      <c r="J82" s="222">
        <f>'[64](C) Actual Therms By Block'!J85</f>
        <v>179104.89199999999</v>
      </c>
      <c r="K82" s="222">
        <f>'[64](C) Actual Therms By Block'!K85</f>
        <v>252047</v>
      </c>
      <c r="L82" s="222">
        <f>'[64](C) Actual Therms By Block'!L85</f>
        <v>251494.666</v>
      </c>
      <c r="M82" s="222">
        <f>'[64](C) Actual Therms By Block'!M85</f>
        <v>249583.334</v>
      </c>
      <c r="N82" s="196">
        <f t="shared" si="23"/>
        <v>2603460.2510000002</v>
      </c>
    </row>
    <row r="83" spans="1:16" x14ac:dyDescent="0.25">
      <c r="A83" s="130" t="s">
        <v>100</v>
      </c>
      <c r="B83" s="222">
        <f>'[64](C) Actual Therms By Block'!B86</f>
        <v>394483.83799999999</v>
      </c>
      <c r="C83" s="222">
        <f>'[64](C) Actual Therms By Block'!C86</f>
        <v>439683.32199999999</v>
      </c>
      <c r="D83" s="222">
        <f>'[64](C) Actual Therms By Block'!D86</f>
        <v>443482.08899999998</v>
      </c>
      <c r="E83" s="222">
        <f>'[64](C) Actual Therms By Block'!E86</f>
        <v>318372.07799999998</v>
      </c>
      <c r="F83" s="222">
        <f>'[64](C) Actual Therms By Block'!F86</f>
        <v>167686.50099999999</v>
      </c>
      <c r="G83" s="222">
        <f>'[64](C) Actual Therms By Block'!G86</f>
        <v>115520.219</v>
      </c>
      <c r="H83" s="222">
        <f>'[64](C) Actual Therms By Block'!H86</f>
        <v>101089.102</v>
      </c>
      <c r="I83" s="222">
        <f>'[64](C) Actual Therms By Block'!I86</f>
        <v>105912.84600000001</v>
      </c>
      <c r="J83" s="222">
        <f>'[64](C) Actual Therms By Block'!J86</f>
        <v>137262.06</v>
      </c>
      <c r="K83" s="222">
        <f>'[64](C) Actual Therms By Block'!K86</f>
        <v>241102.802</v>
      </c>
      <c r="L83" s="222">
        <f>'[64](C) Actual Therms By Block'!L86</f>
        <v>336367.91100000002</v>
      </c>
      <c r="M83" s="222">
        <f>'[64](C) Actual Therms By Block'!M86</f>
        <v>396153.761</v>
      </c>
      <c r="N83" s="196">
        <f t="shared" si="23"/>
        <v>3197116.5289999996</v>
      </c>
      <c r="P83" s="196"/>
    </row>
    <row r="84" spans="1:16" x14ac:dyDescent="0.25">
      <c r="A84" s="130" t="s">
        <v>101</v>
      </c>
      <c r="B84" s="222">
        <f>'[64](C) Actual Therms By Block'!B87</f>
        <v>336549.57699999999</v>
      </c>
      <c r="C84" s="222">
        <f>'[64](C) Actual Therms By Block'!C87</f>
        <v>311044.71799999999</v>
      </c>
      <c r="D84" s="222">
        <f>'[64](C) Actual Therms By Block'!D87</f>
        <v>310532.62800000003</v>
      </c>
      <c r="E84" s="222">
        <f>'[64](C) Actual Therms By Block'!E87</f>
        <v>310431.10800000001</v>
      </c>
      <c r="F84" s="222">
        <f>'[64](C) Actual Therms By Block'!F87</f>
        <v>300000</v>
      </c>
      <c r="G84" s="222">
        <f>'[64](C) Actual Therms By Block'!G87</f>
        <v>300000</v>
      </c>
      <c r="H84" s="222">
        <f>'[64](C) Actual Therms By Block'!H87</f>
        <v>300000</v>
      </c>
      <c r="I84" s="222">
        <f>'[64](C) Actual Therms By Block'!I87</f>
        <v>300000</v>
      </c>
      <c r="J84" s="222">
        <f>'[64](C) Actual Therms By Block'!J87</f>
        <v>300000</v>
      </c>
      <c r="K84" s="222">
        <f>'[64](C) Actual Therms By Block'!K87</f>
        <v>300000</v>
      </c>
      <c r="L84" s="222">
        <f>'[64](C) Actual Therms By Block'!L87</f>
        <v>323394.09700000001</v>
      </c>
      <c r="M84" s="222">
        <f>'[64](C) Actual Therms By Block'!M87</f>
        <v>347184.614</v>
      </c>
      <c r="N84" s="196">
        <f t="shared" si="23"/>
        <v>3739136.7420000001</v>
      </c>
      <c r="P84" s="196"/>
    </row>
    <row r="85" spans="1:16" x14ac:dyDescent="0.25">
      <c r="A85" s="130" t="s">
        <v>174</v>
      </c>
      <c r="B85" s="222">
        <f>'[64](C) Actual Therms By Block'!B88</f>
        <v>1674398.5970000008</v>
      </c>
      <c r="C85" s="222">
        <f>'[64](C) Actual Therms By Block'!C88</f>
        <v>1701771.9609999992</v>
      </c>
      <c r="D85" s="222">
        <f>'[64](C) Actual Therms By Block'!D88</f>
        <v>1133673.1035000004</v>
      </c>
      <c r="E85" s="222">
        <f>'[64](C) Actual Therms By Block'!E88</f>
        <v>-1041181.52725</v>
      </c>
      <c r="F85" s="222">
        <f>'[64](C) Actual Therms By Block'!F88</f>
        <v>1090218.9275</v>
      </c>
      <c r="G85" s="222">
        <f>'[64](C) Actual Therms By Block'!G88</f>
        <v>958369.25324999983</v>
      </c>
      <c r="H85" s="222">
        <f>'[64](C) Actual Therms By Block'!H88</f>
        <v>575140.96725000022</v>
      </c>
      <c r="I85" s="222">
        <f>'[64](C) Actual Therms By Block'!I88</f>
        <v>859321.86974999995</v>
      </c>
      <c r="J85" s="222">
        <f>'[64](C) Actual Therms By Block'!J88</f>
        <v>441632.13800000004</v>
      </c>
      <c r="K85" s="222">
        <f>'[64](C) Actual Therms By Block'!K88</f>
        <v>1208840.693</v>
      </c>
      <c r="L85" s="222">
        <f>'[64](C) Actual Therms By Block'!L88</f>
        <v>811127.15099999984</v>
      </c>
      <c r="M85" s="222">
        <f>'[64](C) Actual Therms By Block'!M88</f>
        <v>794068.06699999981</v>
      </c>
      <c r="N85" s="196">
        <f t="shared" si="23"/>
        <v>10207381.200999999</v>
      </c>
      <c r="P85" s="196"/>
    </row>
    <row r="86" spans="1:16" ht="14.5" x14ac:dyDescent="0.35">
      <c r="A86" s="130" t="s">
        <v>6</v>
      </c>
      <c r="B86" s="153">
        <f t="shared" ref="B86:M86" si="24">SUM(B80:B85)</f>
        <v>2909609.6840000008</v>
      </c>
      <c r="C86" s="153">
        <f t="shared" si="24"/>
        <v>2938322.5129999993</v>
      </c>
      <c r="D86" s="153">
        <f t="shared" si="24"/>
        <v>2387687.8205000004</v>
      </c>
      <c r="E86" s="153">
        <f t="shared" si="24"/>
        <v>84173.658749999944</v>
      </c>
      <c r="F86" s="153">
        <f t="shared" si="24"/>
        <v>2010424.8995000001</v>
      </c>
      <c r="G86" s="153">
        <f t="shared" si="24"/>
        <v>1783685.3682499998</v>
      </c>
      <c r="H86" s="153">
        <f t="shared" si="24"/>
        <v>1382354.0072500003</v>
      </c>
      <c r="I86" s="153">
        <f t="shared" si="24"/>
        <v>1653354.84075</v>
      </c>
      <c r="J86" s="153">
        <f t="shared" si="24"/>
        <v>1304457.422</v>
      </c>
      <c r="K86" s="153">
        <f t="shared" si="24"/>
        <v>2254037.4950000001</v>
      </c>
      <c r="L86" s="153">
        <f t="shared" si="24"/>
        <v>1973878.493</v>
      </c>
      <c r="M86" s="153">
        <f t="shared" si="24"/>
        <v>2036573.1079999998</v>
      </c>
      <c r="N86" s="196">
        <f t="shared" si="23"/>
        <v>22718559.309999999</v>
      </c>
      <c r="P86" s="196"/>
    </row>
    <row r="87" spans="1:16" ht="14.5" x14ac:dyDescent="0.35">
      <c r="A87" s="130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P87" s="196"/>
    </row>
    <row r="88" spans="1:16" ht="14.5" x14ac:dyDescent="0.35">
      <c r="A88" s="130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96"/>
      <c r="P88" s="196"/>
    </row>
    <row r="89" spans="1:16" ht="14.5" x14ac:dyDescent="0.35">
      <c r="A89" s="203" t="s">
        <v>184</v>
      </c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96"/>
      <c r="P89" s="196"/>
    </row>
    <row r="90" spans="1:16" x14ac:dyDescent="0.25">
      <c r="A90" s="130" t="s">
        <v>88</v>
      </c>
      <c r="B90" s="221">
        <v>0</v>
      </c>
      <c r="C90" s="221">
        <v>0</v>
      </c>
      <c r="D90" s="221">
        <v>0</v>
      </c>
      <c r="E90" s="221">
        <v>0</v>
      </c>
      <c r="F90" s="221">
        <v>0</v>
      </c>
      <c r="G90" s="221">
        <v>0</v>
      </c>
      <c r="H90" s="221">
        <v>0</v>
      </c>
      <c r="I90" s="221">
        <v>0</v>
      </c>
      <c r="J90" s="221">
        <v>0</v>
      </c>
      <c r="K90" s="221">
        <v>0</v>
      </c>
      <c r="L90" s="221">
        <v>0</v>
      </c>
      <c r="M90" s="221">
        <v>0</v>
      </c>
      <c r="N90" s="196">
        <f t="shared" ref="N90:N95" si="25">SUM(B90:J90)</f>
        <v>0</v>
      </c>
      <c r="P90" s="196"/>
    </row>
    <row r="91" spans="1:16" x14ac:dyDescent="0.25">
      <c r="A91" s="130" t="s">
        <v>89</v>
      </c>
      <c r="B91" s="221">
        <v>0</v>
      </c>
      <c r="C91" s="221">
        <v>0</v>
      </c>
      <c r="D91" s="221">
        <v>0</v>
      </c>
      <c r="E91" s="221">
        <v>0</v>
      </c>
      <c r="F91" s="221">
        <v>0</v>
      </c>
      <c r="G91" s="221">
        <v>0</v>
      </c>
      <c r="H91" s="221">
        <v>0</v>
      </c>
      <c r="I91" s="221">
        <v>0</v>
      </c>
      <c r="J91" s="221">
        <v>0</v>
      </c>
      <c r="K91" s="221">
        <v>0</v>
      </c>
      <c r="L91" s="221">
        <v>0</v>
      </c>
      <c r="M91" s="221">
        <v>0</v>
      </c>
      <c r="N91" s="196">
        <f t="shared" si="25"/>
        <v>0</v>
      </c>
      <c r="P91" s="196"/>
    </row>
    <row r="92" spans="1:16" x14ac:dyDescent="0.25">
      <c r="A92" s="130" t="s">
        <v>99</v>
      </c>
      <c r="B92" s="221">
        <v>0</v>
      </c>
      <c r="C92" s="221">
        <v>0</v>
      </c>
      <c r="D92" s="221">
        <v>0</v>
      </c>
      <c r="E92" s="221">
        <v>0</v>
      </c>
      <c r="F92" s="221">
        <v>0</v>
      </c>
      <c r="G92" s="221">
        <v>0</v>
      </c>
      <c r="H92" s="221">
        <v>0</v>
      </c>
      <c r="I92" s="221">
        <v>0</v>
      </c>
      <c r="J92" s="221">
        <v>0</v>
      </c>
      <c r="K92" s="221">
        <v>0</v>
      </c>
      <c r="L92" s="221">
        <v>0</v>
      </c>
      <c r="M92" s="221">
        <v>0</v>
      </c>
      <c r="N92" s="196">
        <f t="shared" si="25"/>
        <v>0</v>
      </c>
      <c r="P92" s="196"/>
    </row>
    <row r="93" spans="1:16" x14ac:dyDescent="0.25">
      <c r="A93" s="130" t="s">
        <v>100</v>
      </c>
      <c r="B93" s="221">
        <v>0</v>
      </c>
      <c r="C93" s="221">
        <v>0</v>
      </c>
      <c r="D93" s="221">
        <v>0</v>
      </c>
      <c r="E93" s="221">
        <v>0</v>
      </c>
      <c r="F93" s="221">
        <v>0</v>
      </c>
      <c r="G93" s="221">
        <v>0</v>
      </c>
      <c r="H93" s="221">
        <v>0</v>
      </c>
      <c r="I93" s="221">
        <v>0</v>
      </c>
      <c r="J93" s="221">
        <v>0</v>
      </c>
      <c r="K93" s="221">
        <v>0</v>
      </c>
      <c r="L93" s="221">
        <v>0</v>
      </c>
      <c r="M93" s="221">
        <v>0</v>
      </c>
      <c r="N93" s="196">
        <f t="shared" si="25"/>
        <v>0</v>
      </c>
      <c r="P93" s="196"/>
    </row>
    <row r="94" spans="1:16" x14ac:dyDescent="0.25">
      <c r="A94" s="130" t="s">
        <v>101</v>
      </c>
      <c r="B94" s="221">
        <v>0</v>
      </c>
      <c r="C94" s="221">
        <v>0</v>
      </c>
      <c r="D94" s="221">
        <v>0</v>
      </c>
      <c r="E94" s="221">
        <v>0</v>
      </c>
      <c r="F94" s="221">
        <v>0</v>
      </c>
      <c r="G94" s="221">
        <v>0</v>
      </c>
      <c r="H94" s="221">
        <v>0</v>
      </c>
      <c r="I94" s="221">
        <v>0</v>
      </c>
      <c r="J94" s="221">
        <v>0</v>
      </c>
      <c r="K94" s="221">
        <v>0</v>
      </c>
      <c r="L94" s="221">
        <v>0</v>
      </c>
      <c r="M94" s="221">
        <v>0</v>
      </c>
      <c r="N94" s="196">
        <f t="shared" si="25"/>
        <v>0</v>
      </c>
      <c r="P94" s="196"/>
    </row>
    <row r="95" spans="1:16" x14ac:dyDescent="0.25">
      <c r="A95" s="130" t="s">
        <v>174</v>
      </c>
      <c r="B95" s="221">
        <v>0</v>
      </c>
      <c r="C95" s="221">
        <v>0</v>
      </c>
      <c r="D95" s="221">
        <v>0</v>
      </c>
      <c r="E95" s="221">
        <v>0</v>
      </c>
      <c r="F95" s="221">
        <v>0</v>
      </c>
      <c r="G95" s="221">
        <v>0</v>
      </c>
      <c r="H95" s="221">
        <v>0</v>
      </c>
      <c r="I95" s="221">
        <v>0</v>
      </c>
      <c r="J95" s="221">
        <v>0</v>
      </c>
      <c r="K95" s="221">
        <v>0</v>
      </c>
      <c r="L95" s="221">
        <v>0</v>
      </c>
      <c r="M95" s="221">
        <v>0</v>
      </c>
      <c r="N95" s="196">
        <f t="shared" si="25"/>
        <v>0</v>
      </c>
      <c r="P95" s="196"/>
    </row>
    <row r="96" spans="1:16" ht="14.5" x14ac:dyDescent="0.35">
      <c r="A96" s="130" t="s">
        <v>6</v>
      </c>
      <c r="B96" s="153">
        <f t="shared" ref="B96:M96" si="26">SUM(B90:B95)</f>
        <v>0</v>
      </c>
      <c r="C96" s="153">
        <f t="shared" si="26"/>
        <v>0</v>
      </c>
      <c r="D96" s="153">
        <f t="shared" si="26"/>
        <v>0</v>
      </c>
      <c r="E96" s="153">
        <f t="shared" si="26"/>
        <v>0</v>
      </c>
      <c r="F96" s="153">
        <f t="shared" si="26"/>
        <v>0</v>
      </c>
      <c r="G96" s="153">
        <f t="shared" si="26"/>
        <v>0</v>
      </c>
      <c r="H96" s="153">
        <f t="shared" si="26"/>
        <v>0</v>
      </c>
      <c r="I96" s="153">
        <f t="shared" si="26"/>
        <v>0</v>
      </c>
      <c r="J96" s="153">
        <f t="shared" si="26"/>
        <v>0</v>
      </c>
      <c r="K96" s="153">
        <f t="shared" si="26"/>
        <v>0</v>
      </c>
      <c r="L96" s="153">
        <f t="shared" si="26"/>
        <v>0</v>
      </c>
      <c r="M96" s="153">
        <f t="shared" si="26"/>
        <v>0</v>
      </c>
      <c r="N96" s="196">
        <f>SUM(N90:N95)</f>
        <v>0</v>
      </c>
      <c r="P96" s="196"/>
    </row>
    <row r="97" spans="1:16" s="235" customFormat="1" ht="12.75" customHeight="1" x14ac:dyDescent="0.35">
      <c r="A97" s="130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96"/>
      <c r="P97" s="196"/>
    </row>
    <row r="98" spans="1:16" x14ac:dyDescent="0.25">
      <c r="P98" s="196"/>
    </row>
    <row r="99" spans="1:16" ht="14.5" x14ac:dyDescent="0.35">
      <c r="A99" s="130" t="s">
        <v>173</v>
      </c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96"/>
      <c r="P99" s="196"/>
    </row>
    <row r="100" spans="1:16" x14ac:dyDescent="0.25">
      <c r="A100" s="130" t="s">
        <v>88</v>
      </c>
      <c r="B100" s="222">
        <f>'[64](C) Actual Therms By Block'!B103</f>
        <v>75000</v>
      </c>
      <c r="C100" s="222">
        <f>'[64](C) Actual Therms By Block'!C103</f>
        <v>75000</v>
      </c>
      <c r="D100" s="222">
        <f>'[64](C) Actual Therms By Block'!D103</f>
        <v>75000</v>
      </c>
      <c r="E100" s="222">
        <f>'[64](C) Actual Therms By Block'!E103</f>
        <v>75000</v>
      </c>
      <c r="F100" s="222">
        <f>'[64](C) Actual Therms By Block'!F103</f>
        <v>75000</v>
      </c>
      <c r="G100" s="222">
        <f>'[64](C) Actual Therms By Block'!G103</f>
        <v>75000</v>
      </c>
      <c r="H100" s="222">
        <f>'[64](C) Actual Therms By Block'!H103</f>
        <v>75000</v>
      </c>
      <c r="I100" s="222">
        <f>'[64](C) Actual Therms By Block'!I103</f>
        <v>75000</v>
      </c>
      <c r="J100" s="222">
        <f>'[64](C) Actual Therms By Block'!J103</f>
        <v>75000</v>
      </c>
      <c r="K100" s="222">
        <f>'[64](C) Actual Therms By Block'!K103</f>
        <v>75000</v>
      </c>
      <c r="L100" s="222">
        <f>'[64](C) Actual Therms By Block'!L103</f>
        <v>75000</v>
      </c>
      <c r="M100" s="222">
        <f>'[64](C) Actual Therms By Block'!M103</f>
        <v>75000</v>
      </c>
      <c r="N100" s="196">
        <f t="shared" ref="N100:N106" si="27">SUM(B100:M100)</f>
        <v>900000</v>
      </c>
      <c r="P100" s="196"/>
    </row>
    <row r="101" spans="1:16" x14ac:dyDescent="0.25">
      <c r="A101" s="130" t="s">
        <v>89</v>
      </c>
      <c r="B101" s="222">
        <f>'[64](C) Actual Therms By Block'!B104</f>
        <v>75000</v>
      </c>
      <c r="C101" s="222">
        <f>'[64](C) Actual Therms By Block'!C104</f>
        <v>75000</v>
      </c>
      <c r="D101" s="222">
        <f>'[64](C) Actual Therms By Block'!D104</f>
        <v>75000</v>
      </c>
      <c r="E101" s="222">
        <f>'[64](C) Actual Therms By Block'!E104</f>
        <v>75000</v>
      </c>
      <c r="F101" s="222">
        <f>'[64](C) Actual Therms By Block'!F104</f>
        <v>75000</v>
      </c>
      <c r="G101" s="222">
        <f>'[64](C) Actual Therms By Block'!G104</f>
        <v>75000</v>
      </c>
      <c r="H101" s="222">
        <f>'[64](C) Actual Therms By Block'!H104</f>
        <v>75000</v>
      </c>
      <c r="I101" s="222">
        <f>'[64](C) Actual Therms By Block'!I104</f>
        <v>75000</v>
      </c>
      <c r="J101" s="222">
        <f>'[64](C) Actual Therms By Block'!J104</f>
        <v>75000</v>
      </c>
      <c r="K101" s="222">
        <f>'[64](C) Actual Therms By Block'!K104</f>
        <v>75000</v>
      </c>
      <c r="L101" s="222">
        <f>'[64](C) Actual Therms By Block'!L104</f>
        <v>75000</v>
      </c>
      <c r="M101" s="222">
        <f>'[64](C) Actual Therms By Block'!M104</f>
        <v>75000</v>
      </c>
      <c r="N101" s="196">
        <f t="shared" si="27"/>
        <v>900000</v>
      </c>
      <c r="P101" s="196"/>
    </row>
    <row r="102" spans="1:16" x14ac:dyDescent="0.25">
      <c r="A102" s="130" t="s">
        <v>99</v>
      </c>
      <c r="B102" s="222">
        <f>'[64](C) Actual Therms By Block'!B105</f>
        <v>150000</v>
      </c>
      <c r="C102" s="222">
        <f>'[64](C) Actual Therms By Block'!C105</f>
        <v>150000</v>
      </c>
      <c r="D102" s="222">
        <f>'[64](C) Actual Therms By Block'!D105</f>
        <v>150000</v>
      </c>
      <c r="E102" s="222">
        <f>'[64](C) Actual Therms By Block'!E105</f>
        <v>150000</v>
      </c>
      <c r="F102" s="222">
        <f>'[64](C) Actual Therms By Block'!F105</f>
        <v>150000</v>
      </c>
      <c r="G102" s="222">
        <f>'[64](C) Actual Therms By Block'!G105</f>
        <v>150000</v>
      </c>
      <c r="H102" s="222">
        <f>'[64](C) Actual Therms By Block'!H105</f>
        <v>134439.38</v>
      </c>
      <c r="I102" s="222">
        <f>'[64](C) Actual Therms By Block'!I105</f>
        <v>150000</v>
      </c>
      <c r="J102" s="222">
        <f>'[64](C) Actual Therms By Block'!J105</f>
        <v>150000</v>
      </c>
      <c r="K102" s="222">
        <f>'[64](C) Actual Therms By Block'!K105</f>
        <v>150000</v>
      </c>
      <c r="L102" s="222">
        <f>'[64](C) Actual Therms By Block'!L105</f>
        <v>150000</v>
      </c>
      <c r="M102" s="222">
        <f>'[64](C) Actual Therms By Block'!M105</f>
        <v>150000</v>
      </c>
      <c r="N102" s="196">
        <f t="shared" si="27"/>
        <v>1784439.38</v>
      </c>
      <c r="P102" s="196"/>
    </row>
    <row r="103" spans="1:16" x14ac:dyDescent="0.25">
      <c r="A103" s="130" t="s">
        <v>100</v>
      </c>
      <c r="B103" s="222">
        <f>'[64](C) Actual Therms By Block'!B106</f>
        <v>300000</v>
      </c>
      <c r="C103" s="222">
        <f>'[64](C) Actual Therms By Block'!C106</f>
        <v>285133.58</v>
      </c>
      <c r="D103" s="222">
        <f>'[64](C) Actual Therms By Block'!D106</f>
        <v>300000</v>
      </c>
      <c r="E103" s="222">
        <f>'[64](C) Actual Therms By Block'!E106</f>
        <v>298043.53000000003</v>
      </c>
      <c r="F103" s="222">
        <f>'[64](C) Actual Therms By Block'!F106</f>
        <v>296265.65999999997</v>
      </c>
      <c r="G103" s="222">
        <f>'[64](C) Actual Therms By Block'!G106</f>
        <v>273725.57</v>
      </c>
      <c r="H103" s="222">
        <f>'[64](C) Actual Therms By Block'!H106</f>
        <v>200000</v>
      </c>
      <c r="I103" s="222">
        <f>'[64](C) Actual Therms By Block'!I106</f>
        <v>245505.38</v>
      </c>
      <c r="J103" s="222">
        <f>'[64](C) Actual Therms By Block'!J106</f>
        <v>262469.55</v>
      </c>
      <c r="K103" s="222">
        <f>'[64](C) Actual Therms By Block'!K106</f>
        <v>299566.06</v>
      </c>
      <c r="L103" s="222">
        <f>'[64](C) Actual Therms By Block'!L106</f>
        <v>298480</v>
      </c>
      <c r="M103" s="222">
        <f>'[64](C) Actual Therms By Block'!M106</f>
        <v>296939.21999999997</v>
      </c>
      <c r="N103" s="196">
        <f t="shared" si="27"/>
        <v>3356128.55</v>
      </c>
      <c r="P103" s="196"/>
    </row>
    <row r="104" spans="1:16" x14ac:dyDescent="0.25">
      <c r="A104" s="130" t="s">
        <v>101</v>
      </c>
      <c r="B104" s="222">
        <f>'[64](C) Actual Therms By Block'!B107</f>
        <v>400382.23</v>
      </c>
      <c r="C104" s="222">
        <f>'[64](C) Actual Therms By Block'!C107</f>
        <v>416073.24</v>
      </c>
      <c r="D104" s="222">
        <f>'[64](C) Actual Therms By Block'!D107</f>
        <v>403591.12</v>
      </c>
      <c r="E104" s="222">
        <f>'[64](C) Actual Therms By Block'!E107</f>
        <v>353892.31</v>
      </c>
      <c r="F104" s="222">
        <f>'[64](C) Actual Therms By Block'!F107</f>
        <v>308957.49</v>
      </c>
      <c r="G104" s="222">
        <f>'[64](C) Actual Therms By Block'!G107</f>
        <v>305164.2</v>
      </c>
      <c r="H104" s="222">
        <f>'[64](C) Actual Therms By Block'!H107</f>
        <v>316718.03999999998</v>
      </c>
      <c r="I104" s="222">
        <f>'[64](C) Actual Therms By Block'!I107</f>
        <v>333070.31</v>
      </c>
      <c r="J104" s="222">
        <f>'[64](C) Actual Therms By Block'!J107</f>
        <v>304155.96000000002</v>
      </c>
      <c r="K104" s="222">
        <f>'[64](C) Actual Therms By Block'!K107</f>
        <v>320324.31</v>
      </c>
      <c r="L104" s="222">
        <f>'[64](C) Actual Therms By Block'!L107</f>
        <v>366069.63</v>
      </c>
      <c r="M104" s="222">
        <f>'[64](C) Actual Therms By Block'!M107</f>
        <v>430873.36</v>
      </c>
      <c r="N104" s="196">
        <f t="shared" si="27"/>
        <v>4259272.2</v>
      </c>
      <c r="P104" s="196"/>
    </row>
    <row r="105" spans="1:16" x14ac:dyDescent="0.25">
      <c r="A105" s="130" t="s">
        <v>174</v>
      </c>
      <c r="B105" s="222">
        <f>'[64](C) Actual Therms By Block'!B108</f>
        <v>951077.64000000013</v>
      </c>
      <c r="C105" s="222">
        <f>'[64](C) Actual Therms By Block'!C108</f>
        <v>2911951.6799999988</v>
      </c>
      <c r="D105" s="222">
        <f>'[64](C) Actual Therms By Block'!D108</f>
        <v>-1098213.0199999991</v>
      </c>
      <c r="E105" s="222">
        <f>'[64](C) Actual Therms By Block'!E108</f>
        <v>647925.03999999957</v>
      </c>
      <c r="F105" s="222">
        <f>'[64](C) Actual Therms By Block'!F108</f>
        <v>373466.69999999995</v>
      </c>
      <c r="G105" s="222">
        <f>'[64](C) Actual Therms By Block'!G108</f>
        <v>289151.18000000017</v>
      </c>
      <c r="H105" s="222">
        <f>'[64](C) Actual Therms By Block'!H108</f>
        <v>213370.09999999998</v>
      </c>
      <c r="I105" s="222">
        <f>'[64](C) Actual Therms By Block'!I108</f>
        <v>214868.37999999989</v>
      </c>
      <c r="J105" s="222">
        <f>'[64](C) Actual Therms By Block'!J108</f>
        <v>260456.12000000011</v>
      </c>
      <c r="K105" s="222">
        <f>'[64](C) Actual Therms By Block'!K108</f>
        <v>943862.96</v>
      </c>
      <c r="L105" s="222">
        <f>'[64](C) Actual Therms By Block'!L108</f>
        <v>149214.07999999996</v>
      </c>
      <c r="M105" s="222">
        <f>'[64](C) Actual Therms By Block'!M108</f>
        <v>885604.89000000071</v>
      </c>
      <c r="N105" s="196">
        <f t="shared" si="27"/>
        <v>6742735.75</v>
      </c>
      <c r="P105" s="196"/>
    </row>
    <row r="106" spans="1:16" ht="14.5" x14ac:dyDescent="0.35">
      <c r="A106" s="130" t="s">
        <v>6</v>
      </c>
      <c r="B106" s="153">
        <f t="shared" ref="B106:M106" si="28">SUM(B100:B105)</f>
        <v>1951459.87</v>
      </c>
      <c r="C106" s="153">
        <f t="shared" si="28"/>
        <v>3913158.4999999991</v>
      </c>
      <c r="D106" s="153">
        <f t="shared" si="28"/>
        <v>-94621.899999999092</v>
      </c>
      <c r="E106" s="153">
        <f t="shared" si="28"/>
        <v>1599860.8799999997</v>
      </c>
      <c r="F106" s="153">
        <f t="shared" si="28"/>
        <v>1278689.8499999999</v>
      </c>
      <c r="G106" s="153">
        <f t="shared" si="28"/>
        <v>1168040.9500000002</v>
      </c>
      <c r="H106" s="153">
        <f t="shared" si="28"/>
        <v>1014527.5199999999</v>
      </c>
      <c r="I106" s="153">
        <f t="shared" si="28"/>
        <v>1093444.0699999998</v>
      </c>
      <c r="J106" s="153">
        <f t="shared" si="28"/>
        <v>1127081.6300000001</v>
      </c>
      <c r="K106" s="153">
        <f t="shared" si="28"/>
        <v>1863753.33</v>
      </c>
      <c r="L106" s="153">
        <f t="shared" si="28"/>
        <v>1113763.71</v>
      </c>
      <c r="M106" s="153">
        <f t="shared" si="28"/>
        <v>1913417.4700000007</v>
      </c>
      <c r="N106" s="196">
        <f t="shared" si="27"/>
        <v>17942575.880000003</v>
      </c>
      <c r="P106" s="196"/>
    </row>
    <row r="107" spans="1:16" ht="14.5" x14ac:dyDescent="0.35">
      <c r="A107" s="130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96"/>
      <c r="P107" s="196"/>
    </row>
    <row r="108" spans="1:16" ht="14.5" x14ac:dyDescent="0.35">
      <c r="A108" s="130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96"/>
      <c r="P108" s="196"/>
    </row>
    <row r="109" spans="1:16" ht="14.5" x14ac:dyDescent="0.35">
      <c r="A109" s="130" t="s">
        <v>175</v>
      </c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96"/>
      <c r="P109" s="196"/>
    </row>
    <row r="110" spans="1:16" x14ac:dyDescent="0.25">
      <c r="A110" s="130" t="s">
        <v>88</v>
      </c>
      <c r="B110" s="222">
        <f>'[64](C) Actual Therms By Block'!B113</f>
        <v>175000</v>
      </c>
      <c r="C110" s="222">
        <f>'[64](C) Actual Therms By Block'!C113</f>
        <v>175000</v>
      </c>
      <c r="D110" s="222">
        <f>'[64](C) Actual Therms By Block'!D113</f>
        <v>175000</v>
      </c>
      <c r="E110" s="222">
        <f>'[64](C) Actual Therms By Block'!E113</f>
        <v>175000</v>
      </c>
      <c r="F110" s="222">
        <f>'[64](C) Actual Therms By Block'!F113</f>
        <v>175000</v>
      </c>
      <c r="G110" s="222">
        <f>'[64](C) Actual Therms By Block'!G113</f>
        <v>175000</v>
      </c>
      <c r="H110" s="222">
        <f>'[64](C) Actual Therms By Block'!H113</f>
        <v>175000</v>
      </c>
      <c r="I110" s="222">
        <f>'[64](C) Actual Therms By Block'!I113</f>
        <v>175000</v>
      </c>
      <c r="J110" s="222">
        <f>'[64](C) Actual Therms By Block'!J113</f>
        <v>175000</v>
      </c>
      <c r="K110" s="222">
        <f>'[64](C) Actual Therms By Block'!K113</f>
        <v>175000</v>
      </c>
      <c r="L110" s="222">
        <f>'[64](C) Actual Therms By Block'!L113</f>
        <v>175000</v>
      </c>
      <c r="M110" s="222">
        <f>'[64](C) Actual Therms By Block'!M113</f>
        <v>175000</v>
      </c>
      <c r="N110" s="196">
        <f t="shared" ref="N110:N116" si="29">SUM(B110:M110)</f>
        <v>2100000</v>
      </c>
      <c r="P110" s="196"/>
    </row>
    <row r="111" spans="1:16" x14ac:dyDescent="0.25">
      <c r="A111" s="130" t="s">
        <v>89</v>
      </c>
      <c r="B111" s="222">
        <f>'[64](C) Actual Therms By Block'!B114</f>
        <v>175000</v>
      </c>
      <c r="C111" s="222">
        <f>'[64](C) Actual Therms By Block'!C114</f>
        <v>175000</v>
      </c>
      <c r="D111" s="222">
        <f>'[64](C) Actual Therms By Block'!D114</f>
        <v>175000</v>
      </c>
      <c r="E111" s="222">
        <f>'[64](C) Actual Therms By Block'!E114</f>
        <v>175000</v>
      </c>
      <c r="F111" s="222">
        <f>'[64](C) Actual Therms By Block'!F114</f>
        <v>175000</v>
      </c>
      <c r="G111" s="222">
        <f>'[64](C) Actual Therms By Block'!G114</f>
        <v>175000</v>
      </c>
      <c r="H111" s="222">
        <f>'[64](C) Actual Therms By Block'!H114</f>
        <v>175000</v>
      </c>
      <c r="I111" s="222">
        <f>'[64](C) Actual Therms By Block'!I114</f>
        <v>175000</v>
      </c>
      <c r="J111" s="222">
        <f>'[64](C) Actual Therms By Block'!J114</f>
        <v>175000</v>
      </c>
      <c r="K111" s="222">
        <f>'[64](C) Actual Therms By Block'!K114</f>
        <v>175000</v>
      </c>
      <c r="L111" s="222">
        <f>'[64](C) Actual Therms By Block'!L114</f>
        <v>175000</v>
      </c>
      <c r="M111" s="222">
        <f>'[64](C) Actual Therms By Block'!M114</f>
        <v>175000</v>
      </c>
      <c r="N111" s="196">
        <f t="shared" si="29"/>
        <v>2100000</v>
      </c>
      <c r="P111" s="196"/>
    </row>
    <row r="112" spans="1:16" x14ac:dyDescent="0.25">
      <c r="A112" s="130" t="s">
        <v>99</v>
      </c>
      <c r="B112" s="222">
        <f>'[64](C) Actual Therms By Block'!B115</f>
        <v>350000</v>
      </c>
      <c r="C112" s="222">
        <f>'[64](C) Actual Therms By Block'!C115</f>
        <v>350000</v>
      </c>
      <c r="D112" s="222">
        <f>'[64](C) Actual Therms By Block'!D115</f>
        <v>350000</v>
      </c>
      <c r="E112" s="222">
        <f>'[64](C) Actual Therms By Block'!E115</f>
        <v>350000</v>
      </c>
      <c r="F112" s="222">
        <f>'[64](C) Actual Therms By Block'!F115</f>
        <v>350000</v>
      </c>
      <c r="G112" s="222">
        <f>'[64](C) Actual Therms By Block'!G115</f>
        <v>350000</v>
      </c>
      <c r="H112" s="222">
        <f>'[64](C) Actual Therms By Block'!H115</f>
        <v>350000</v>
      </c>
      <c r="I112" s="222">
        <f>'[64](C) Actual Therms By Block'!I115</f>
        <v>350000</v>
      </c>
      <c r="J112" s="222">
        <f>'[64](C) Actual Therms By Block'!J115</f>
        <v>350000</v>
      </c>
      <c r="K112" s="222">
        <f>'[64](C) Actual Therms By Block'!K115</f>
        <v>349316.1</v>
      </c>
      <c r="L112" s="222">
        <f>'[64](C) Actual Therms By Block'!L115</f>
        <v>350000</v>
      </c>
      <c r="M112" s="222">
        <f>'[64](C) Actual Therms By Block'!M115</f>
        <v>350000</v>
      </c>
      <c r="N112" s="196">
        <f t="shared" si="29"/>
        <v>4199316.0999999996</v>
      </c>
      <c r="P112" s="196"/>
    </row>
    <row r="113" spans="1:16" x14ac:dyDescent="0.25">
      <c r="A113" s="130" t="s">
        <v>100</v>
      </c>
      <c r="B113" s="222">
        <f>'[64](C) Actual Therms By Block'!B116</f>
        <v>700000</v>
      </c>
      <c r="C113" s="222">
        <f>'[64](C) Actual Therms By Block'!C116</f>
        <v>700000</v>
      </c>
      <c r="D113" s="222">
        <f>'[64](C) Actual Therms By Block'!D116</f>
        <v>700000</v>
      </c>
      <c r="E113" s="222">
        <f>'[64](C) Actual Therms By Block'!E116</f>
        <v>700000</v>
      </c>
      <c r="F113" s="222">
        <f>'[64](C) Actual Therms By Block'!F116</f>
        <v>700000</v>
      </c>
      <c r="G113" s="222">
        <f>'[64](C) Actual Therms By Block'!G116</f>
        <v>700000</v>
      </c>
      <c r="H113" s="222">
        <f>'[64](C) Actual Therms By Block'!H116</f>
        <v>700000</v>
      </c>
      <c r="I113" s="222">
        <f>'[64](C) Actual Therms By Block'!I116</f>
        <v>700000</v>
      </c>
      <c r="J113" s="222">
        <f>'[64](C) Actual Therms By Block'!J116</f>
        <v>691062.3</v>
      </c>
      <c r="K113" s="222">
        <f>'[64](C) Actual Therms By Block'!K116</f>
        <v>690322</v>
      </c>
      <c r="L113" s="222">
        <f>'[64](C) Actual Therms By Block'!L116</f>
        <v>700000</v>
      </c>
      <c r="M113" s="222">
        <f>'[64](C) Actual Therms By Block'!M116</f>
        <v>700000</v>
      </c>
      <c r="N113" s="196">
        <f t="shared" si="29"/>
        <v>8381384.2999999998</v>
      </c>
      <c r="P113" s="196"/>
    </row>
    <row r="114" spans="1:16" x14ac:dyDescent="0.25">
      <c r="A114" s="130" t="s">
        <v>101</v>
      </c>
      <c r="B114" s="222">
        <f>'[64](C) Actual Therms By Block'!B117</f>
        <v>1870856.82</v>
      </c>
      <c r="C114" s="222">
        <f>'[64](C) Actual Therms By Block'!C117</f>
        <v>1835996.53</v>
      </c>
      <c r="D114" s="222">
        <f>'[64](C) Actual Therms By Block'!D117</f>
        <v>1852529.04</v>
      </c>
      <c r="E114" s="222">
        <f>'[64](C) Actual Therms By Block'!E117</f>
        <v>1849111.29</v>
      </c>
      <c r="F114" s="222">
        <f>'[64](C) Actual Therms By Block'!F117</f>
        <v>1838962.32</v>
      </c>
      <c r="G114" s="222">
        <f>'[64](C) Actual Therms By Block'!G117</f>
        <v>1829849.35</v>
      </c>
      <c r="H114" s="222">
        <f>'[64](C) Actual Therms By Block'!H117</f>
        <v>1842102.79</v>
      </c>
      <c r="I114" s="222">
        <f>'[64](C) Actual Therms By Block'!I117</f>
        <v>1829452.55</v>
      </c>
      <c r="J114" s="222">
        <f>'[64](C) Actual Therms By Block'!J117</f>
        <v>1800000</v>
      </c>
      <c r="K114" s="222">
        <f>'[64](C) Actual Therms By Block'!K117</f>
        <v>1798430.93</v>
      </c>
      <c r="L114" s="222">
        <f>'[64](C) Actual Therms By Block'!L117</f>
        <v>1822543.82</v>
      </c>
      <c r="M114" s="222">
        <f>'[64](C) Actual Therms By Block'!M117</f>
        <v>1824499.37</v>
      </c>
      <c r="N114" s="196">
        <f t="shared" si="29"/>
        <v>21994334.810000002</v>
      </c>
      <c r="P114" s="196"/>
    </row>
    <row r="115" spans="1:16" x14ac:dyDescent="0.25">
      <c r="A115" s="130" t="s">
        <v>174</v>
      </c>
      <c r="B115" s="222">
        <f>'[64](C) Actual Therms By Block'!B118</f>
        <v>3257339.2699999996</v>
      </c>
      <c r="C115" s="222">
        <f>'[64](C) Actual Therms By Block'!C118</f>
        <v>8682647.7600000016</v>
      </c>
      <c r="D115" s="222">
        <f>'[64](C) Actual Therms By Block'!D118</f>
        <v>-579755.37999999896</v>
      </c>
      <c r="E115" s="222">
        <f>'[64](C) Actual Therms By Block'!E118</f>
        <v>3366516.3099999996</v>
      </c>
      <c r="F115" s="222">
        <f>'[64](C) Actual Therms By Block'!F118</f>
        <v>3714551.6899999976</v>
      </c>
      <c r="G115" s="222">
        <f>'[64](C) Actual Therms By Block'!G118</f>
        <v>3252523.850000001</v>
      </c>
      <c r="H115" s="222">
        <f>'[64](C) Actual Therms By Block'!H118</f>
        <v>4361843.0399999991</v>
      </c>
      <c r="I115" s="222">
        <f>'[64](C) Actual Therms By Block'!I118</f>
        <v>4369914.9399999995</v>
      </c>
      <c r="J115" s="222">
        <f>'[64](C) Actual Therms By Block'!J118</f>
        <v>3366864.6700000009</v>
      </c>
      <c r="K115" s="222">
        <f>'[64](C) Actual Therms By Block'!K118</f>
        <v>3807678.2299999995</v>
      </c>
      <c r="L115" s="222">
        <f>'[64](C) Actual Therms By Block'!L118</f>
        <v>1822804.5199999996</v>
      </c>
      <c r="M115" s="222">
        <f>'[64](C) Actual Therms By Block'!M118</f>
        <v>3766970.1799999988</v>
      </c>
      <c r="N115" s="196">
        <f t="shared" si="29"/>
        <v>43189899.079999991</v>
      </c>
      <c r="P115" s="196"/>
    </row>
    <row r="116" spans="1:16" ht="14.5" x14ac:dyDescent="0.35">
      <c r="A116" s="130" t="s">
        <v>6</v>
      </c>
      <c r="B116" s="153">
        <f t="shared" ref="B116:M116" si="30">SUM(B110:B115)</f>
        <v>6528196.0899999999</v>
      </c>
      <c r="C116" s="153">
        <f t="shared" si="30"/>
        <v>11918644.290000003</v>
      </c>
      <c r="D116" s="153">
        <f t="shared" si="30"/>
        <v>2672773.6600000011</v>
      </c>
      <c r="E116" s="153">
        <f t="shared" si="30"/>
        <v>6615627.5999999996</v>
      </c>
      <c r="F116" s="153">
        <f t="shared" si="30"/>
        <v>6953514.0099999979</v>
      </c>
      <c r="G116" s="153">
        <f t="shared" si="30"/>
        <v>6482373.2000000011</v>
      </c>
      <c r="H116" s="153">
        <f t="shared" si="30"/>
        <v>7603945.8299999991</v>
      </c>
      <c r="I116" s="153">
        <f t="shared" si="30"/>
        <v>7599367.4899999993</v>
      </c>
      <c r="J116" s="153">
        <f t="shared" si="30"/>
        <v>6557926.9700000007</v>
      </c>
      <c r="K116" s="153">
        <f t="shared" si="30"/>
        <v>6995747.2599999998</v>
      </c>
      <c r="L116" s="153">
        <f t="shared" si="30"/>
        <v>5045348.34</v>
      </c>
      <c r="M116" s="153">
        <f t="shared" si="30"/>
        <v>6991469.5499999989</v>
      </c>
      <c r="N116" s="196">
        <f t="shared" si="29"/>
        <v>81964934.290000007</v>
      </c>
      <c r="P116" s="196"/>
    </row>
    <row r="117" spans="1:16" ht="14.5" x14ac:dyDescent="0.35">
      <c r="A117" s="130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96"/>
      <c r="P117" s="196"/>
    </row>
    <row r="118" spans="1:16" x14ac:dyDescent="0.25">
      <c r="A118" s="203" t="s">
        <v>6</v>
      </c>
      <c r="B118" s="196">
        <f>SUM(B9,B16,B23,B30,B37,B44,B51,B58,B64,B70,B76,B86,B106,B116)</f>
        <v>31066041.354088534</v>
      </c>
      <c r="C118" s="196">
        <f t="shared" ref="C118:M118" si="31">SUM(C9,C16,C23,C30,C37,C44,C51,C58,C64,C70,C76,C86,C106,C116)</f>
        <v>43214149.031162366</v>
      </c>
      <c r="D118" s="196">
        <f t="shared" si="31"/>
        <v>16322994.842293996</v>
      </c>
      <c r="E118" s="196">
        <f t="shared" si="31"/>
        <v>23444144.747141577</v>
      </c>
      <c r="F118" s="196">
        <f t="shared" si="31"/>
        <v>23166111.331609394</v>
      </c>
      <c r="G118" s="196">
        <f t="shared" si="31"/>
        <v>23283732.089132041</v>
      </c>
      <c r="H118" s="196">
        <f t="shared" si="31"/>
        <v>18732709.272601958</v>
      </c>
      <c r="I118" s="196">
        <f t="shared" si="31"/>
        <v>25698773.68288495</v>
      </c>
      <c r="J118" s="196">
        <f t="shared" si="31"/>
        <v>19996972.264017716</v>
      </c>
      <c r="K118" s="196">
        <f t="shared" si="31"/>
        <v>26550071.453447618</v>
      </c>
      <c r="L118" s="196">
        <f t="shared" si="31"/>
        <v>24735670.693194624</v>
      </c>
      <c r="M118" s="196">
        <f t="shared" si="31"/>
        <v>29750952.575081132</v>
      </c>
      <c r="N118" s="196">
        <f>SUM(B118:M118)</f>
        <v>305962323.33665586</v>
      </c>
    </row>
    <row r="124" spans="1:16" ht="14.5" x14ac:dyDescent="0.35">
      <c r="A124" s="130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96"/>
    </row>
    <row r="136" spans="1:14" ht="14.5" x14ac:dyDescent="0.35">
      <c r="A136" s="130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96"/>
    </row>
  </sheetData>
  <printOptions horizontalCentered="1"/>
  <pageMargins left="0.5" right="0.5" top="1" bottom="1" header="0.5" footer="0.5"/>
  <pageSetup scale="67" fitToHeight="3" orientation="landscape" horizontalDpi="300" verticalDpi="300" r:id="rId1"/>
  <headerFooter alignWithMargins="0">
    <oddFooter>&amp;L&amp;F 
&amp;A&amp;C&amp;P&amp;R&amp;D</oddFooter>
  </headerFooter>
  <rowBreaks count="1" manualBreakCount="1">
    <brk id="108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N25" sqref="N25"/>
    </sheetView>
  </sheetViews>
  <sheetFormatPr defaultRowHeight="14.5" x14ac:dyDescent="0.35"/>
  <sheetData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I25" sqref="I25"/>
    </sheetView>
  </sheetViews>
  <sheetFormatPr defaultRowHeight="14.5" x14ac:dyDescent="0.3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8"/>
  <sheetViews>
    <sheetView zoomScale="90" zoomScaleNormal="90" workbookViewId="0">
      <selection activeCell="H36" sqref="H36"/>
    </sheetView>
  </sheetViews>
  <sheetFormatPr defaultRowHeight="14.5" x14ac:dyDescent="0.35"/>
  <cols>
    <col min="1" max="1" width="2.81640625" customWidth="1"/>
    <col min="2" max="2" width="38.7265625" customWidth="1"/>
    <col min="3" max="3" width="9.1796875" bestFit="1" customWidth="1"/>
    <col min="4" max="4" width="16.54296875" customWidth="1"/>
    <col min="5" max="5" width="19.26953125" bestFit="1" customWidth="1"/>
    <col min="6" max="6" width="16.54296875" customWidth="1"/>
    <col min="7" max="7" width="2.81640625" customWidth="1"/>
    <col min="8" max="10" width="16.453125" customWidth="1"/>
    <col min="11" max="11" width="2.81640625" customWidth="1"/>
    <col min="12" max="12" width="12.7265625" customWidth="1"/>
    <col min="13" max="13" width="9.26953125" customWidth="1"/>
    <col min="14" max="14" width="13.81640625" customWidth="1"/>
  </cols>
  <sheetData>
    <row r="1" spans="2:14" x14ac:dyDescent="0.35">
      <c r="B1" s="333" t="s">
        <v>0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</row>
    <row r="2" spans="2:14" x14ac:dyDescent="0.35">
      <c r="B2" s="333" t="s">
        <v>316</v>
      </c>
      <c r="C2" s="333"/>
      <c r="D2" s="333"/>
      <c r="E2" s="333"/>
      <c r="F2" s="333"/>
      <c r="G2" s="333"/>
      <c r="H2" s="333"/>
      <c r="I2" s="333"/>
      <c r="J2" s="333"/>
      <c r="K2" s="333"/>
      <c r="L2" s="333"/>
    </row>
    <row r="3" spans="2:14" x14ac:dyDescent="0.35">
      <c r="B3" s="334" t="s">
        <v>280</v>
      </c>
      <c r="C3" s="334"/>
      <c r="D3" s="334"/>
      <c r="E3" s="334"/>
      <c r="F3" s="334"/>
      <c r="G3" s="334"/>
      <c r="H3" s="334"/>
      <c r="I3" s="334"/>
      <c r="J3" s="334"/>
      <c r="K3" s="334"/>
      <c r="L3" s="334"/>
    </row>
    <row r="4" spans="2:14" x14ac:dyDescent="0.35">
      <c r="B4" s="334" t="s">
        <v>346</v>
      </c>
      <c r="C4" s="334"/>
      <c r="D4" s="334"/>
      <c r="E4" s="334"/>
      <c r="F4" s="334"/>
      <c r="G4" s="334"/>
      <c r="H4" s="334"/>
      <c r="I4" s="334"/>
      <c r="J4" s="334"/>
      <c r="K4" s="334"/>
      <c r="L4" s="334"/>
    </row>
    <row r="5" spans="2:14" x14ac:dyDescent="0.35"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</row>
    <row r="6" spans="2:14" x14ac:dyDescent="0.35">
      <c r="D6" s="336" t="s">
        <v>23</v>
      </c>
      <c r="E6" s="336"/>
      <c r="F6" s="336"/>
      <c r="G6" s="289"/>
      <c r="H6" s="336" t="s">
        <v>259</v>
      </c>
      <c r="I6" s="336"/>
      <c r="J6" s="336"/>
    </row>
    <row r="7" spans="2:14" x14ac:dyDescent="0.35">
      <c r="B7" s="5"/>
      <c r="C7" s="5"/>
      <c r="D7" s="5" t="s">
        <v>314</v>
      </c>
      <c r="E7" s="278" t="s">
        <v>314</v>
      </c>
      <c r="F7" s="5"/>
      <c r="G7" s="5"/>
      <c r="H7" s="5" t="s">
        <v>314</v>
      </c>
      <c r="I7" s="278" t="s">
        <v>314</v>
      </c>
      <c r="J7" s="5"/>
      <c r="K7" s="5"/>
      <c r="L7" s="5"/>
    </row>
    <row r="8" spans="2:14" x14ac:dyDescent="0.35">
      <c r="B8" s="5"/>
      <c r="C8" s="5" t="s">
        <v>17</v>
      </c>
      <c r="D8" s="5" t="s">
        <v>3</v>
      </c>
      <c r="E8" s="5" t="s">
        <v>2</v>
      </c>
      <c r="F8" s="5" t="s">
        <v>296</v>
      </c>
      <c r="G8" s="5"/>
      <c r="H8" s="5" t="s">
        <v>3</v>
      </c>
      <c r="I8" s="5" t="s">
        <v>2</v>
      </c>
      <c r="J8" s="5" t="s">
        <v>296</v>
      </c>
      <c r="K8" s="5"/>
      <c r="L8" s="5" t="s">
        <v>6</v>
      </c>
    </row>
    <row r="9" spans="2:14" x14ac:dyDescent="0.35">
      <c r="B9" s="218" t="s">
        <v>4</v>
      </c>
      <c r="C9" s="218" t="s">
        <v>21</v>
      </c>
      <c r="D9" s="290" t="s">
        <v>315</v>
      </c>
      <c r="E9" s="290" t="s">
        <v>315</v>
      </c>
      <c r="F9" s="218" t="s">
        <v>297</v>
      </c>
      <c r="G9" s="218"/>
      <c r="H9" s="290" t="s">
        <v>315</v>
      </c>
      <c r="I9" s="290" t="s">
        <v>315</v>
      </c>
      <c r="J9" s="218" t="s">
        <v>297</v>
      </c>
      <c r="K9" s="218"/>
      <c r="L9" s="218" t="s">
        <v>292</v>
      </c>
      <c r="N9" s="301" t="s">
        <v>109</v>
      </c>
    </row>
    <row r="10" spans="2:14" x14ac:dyDescent="0.35">
      <c r="B10" s="5" t="s">
        <v>25</v>
      </c>
      <c r="C10" s="5" t="s">
        <v>26</v>
      </c>
      <c r="D10" s="5" t="s">
        <v>27</v>
      </c>
      <c r="E10" s="5" t="s">
        <v>28</v>
      </c>
      <c r="F10" s="250" t="s">
        <v>304</v>
      </c>
      <c r="G10" s="5"/>
      <c r="H10" s="5" t="s">
        <v>261</v>
      </c>
      <c r="I10" s="5" t="s">
        <v>262</v>
      </c>
      <c r="J10" s="250" t="s">
        <v>308</v>
      </c>
      <c r="K10" s="250"/>
      <c r="L10" s="7" t="s">
        <v>309</v>
      </c>
    </row>
    <row r="11" spans="2:14" x14ac:dyDescent="0.35">
      <c r="B11" t="s">
        <v>7</v>
      </c>
      <c r="C11" s="8" t="s">
        <v>30</v>
      </c>
      <c r="D11" s="305">
        <f>'Base Rate Impacts'!$D$10</f>
        <v>609248315.15931809</v>
      </c>
      <c r="E11" s="306">
        <f>'Base Rate Impacts'!P10</f>
        <v>566044289.26872718</v>
      </c>
      <c r="F11" s="292">
        <f>E11/D11</f>
        <v>0.92908634326006623</v>
      </c>
      <c r="G11" s="9"/>
      <c r="H11" s="305">
        <f>'Base Rate Impacts'!$D$10</f>
        <v>609248315.15931809</v>
      </c>
      <c r="I11" s="306">
        <f>'Combined Impacts'!U11</f>
        <v>609300919.65457213</v>
      </c>
      <c r="J11" s="292">
        <f>I11/H11</f>
        <v>1.0000863432757139</v>
      </c>
      <c r="K11" s="265"/>
      <c r="L11" s="224">
        <f>(I11-E11)/E11</f>
        <v>7.6419162256240056E-2</v>
      </c>
      <c r="N11" s="300">
        <f>L11-'Combined Impacts'!W11</f>
        <v>0</v>
      </c>
    </row>
    <row r="12" spans="2:14" x14ac:dyDescent="0.35">
      <c r="B12" t="s">
        <v>31</v>
      </c>
      <c r="C12" s="8">
        <v>16</v>
      </c>
      <c r="D12" s="305">
        <f>'Base Rate Impacts'!$D$11</f>
        <v>9386</v>
      </c>
      <c r="E12" s="306">
        <f>'Base Rate Impacts'!P11</f>
        <v>8431.7461799999983</v>
      </c>
      <c r="F12" s="292">
        <f t="shared" ref="F12:F23" si="0">E12/D12</f>
        <v>0.89833221606648184</v>
      </c>
      <c r="G12" s="9"/>
      <c r="H12" s="305">
        <f>'Base Rate Impacts'!$D$11</f>
        <v>9386</v>
      </c>
      <c r="I12" s="306">
        <f>'Combined Impacts'!U12</f>
        <v>9102.1091199999973</v>
      </c>
      <c r="J12" s="292">
        <f t="shared" ref="J12:J23" si="1">I12/H12</f>
        <v>0.96975379501385017</v>
      </c>
      <c r="K12" s="265"/>
      <c r="L12" s="224">
        <f t="shared" ref="L12:L23" si="2">(I12-E12)/E12</f>
        <v>7.9504639452986858E-2</v>
      </c>
      <c r="N12" s="300">
        <f>L12-'Combined Impacts'!W12</f>
        <v>0</v>
      </c>
    </row>
    <row r="13" spans="2:14" x14ac:dyDescent="0.35">
      <c r="B13" t="s">
        <v>8</v>
      </c>
      <c r="C13" s="8">
        <v>31</v>
      </c>
      <c r="D13" s="305">
        <f>'Base Rate Impacts'!$D$12</f>
        <v>234140158.08963937</v>
      </c>
      <c r="E13" s="306">
        <f>'Base Rate Impacts'!P12</f>
        <v>180482314.8075338</v>
      </c>
      <c r="F13" s="292">
        <f t="shared" si="0"/>
        <v>0.77083024236464837</v>
      </c>
      <c r="G13" s="9"/>
      <c r="H13" s="305">
        <f>'Base Rate Impacts'!$D$12</f>
        <v>234140158.08963937</v>
      </c>
      <c r="I13" s="306">
        <f>'Combined Impacts'!U13</f>
        <v>202032574.95489824</v>
      </c>
      <c r="J13" s="292">
        <f t="shared" si="1"/>
        <v>0.86287024235095588</v>
      </c>
      <c r="K13" s="265"/>
      <c r="L13" s="224">
        <f t="shared" si="2"/>
        <v>0.11940372202310026</v>
      </c>
      <c r="N13" s="300">
        <f>L13-'Combined Impacts'!W13</f>
        <v>0</v>
      </c>
    </row>
    <row r="14" spans="2:14" x14ac:dyDescent="0.35">
      <c r="B14" t="s">
        <v>9</v>
      </c>
      <c r="C14" s="8">
        <v>41</v>
      </c>
      <c r="D14" s="305">
        <f>'Base Rate Impacts'!$D$13</f>
        <v>65836657.463465482</v>
      </c>
      <c r="E14" s="306">
        <f>'Base Rate Impacts'!P13</f>
        <v>37721770.257694609</v>
      </c>
      <c r="F14" s="292">
        <f t="shared" si="0"/>
        <v>0.57295998477181842</v>
      </c>
      <c r="G14" s="9"/>
      <c r="H14" s="305">
        <f>'Base Rate Impacts'!$D$13</f>
        <v>65836657.463465482</v>
      </c>
      <c r="I14" s="306">
        <f>'Combined Impacts'!U14</f>
        <v>37959630.007906102</v>
      </c>
      <c r="J14" s="292">
        <f t="shared" si="1"/>
        <v>0.57657286184328105</v>
      </c>
      <c r="K14" s="265"/>
      <c r="L14" s="224">
        <f t="shared" si="2"/>
        <v>6.305635938784521E-3</v>
      </c>
      <c r="N14" s="300">
        <f>L14-'Combined Impacts'!W14</f>
        <v>0</v>
      </c>
    </row>
    <row r="15" spans="2:14" x14ac:dyDescent="0.35">
      <c r="B15" t="s">
        <v>10</v>
      </c>
      <c r="C15" s="8">
        <v>85</v>
      </c>
      <c r="D15" s="305">
        <f>'Base Rate Impacts'!$D$14</f>
        <v>16184434.068649085</v>
      </c>
      <c r="E15" s="306">
        <f>'Base Rate Impacts'!P14</f>
        <v>6472335.3473928766</v>
      </c>
      <c r="F15" s="292">
        <f t="shared" si="0"/>
        <v>0.3999111318900212</v>
      </c>
      <c r="G15" s="9"/>
      <c r="H15" s="305">
        <f>'Base Rate Impacts'!$D$14</f>
        <v>16184434.068649085</v>
      </c>
      <c r="I15" s="306">
        <f>'Combined Impacts'!U15</f>
        <v>6448930.2973528141</v>
      </c>
      <c r="J15" s="292">
        <f t="shared" si="1"/>
        <v>0.39846498617119125</v>
      </c>
      <c r="K15" s="265"/>
      <c r="L15" s="224">
        <f t="shared" si="2"/>
        <v>-3.6161677020475017E-3</v>
      </c>
      <c r="N15" s="300">
        <f>L15-'Combined Impacts'!W15</f>
        <v>0</v>
      </c>
    </row>
    <row r="16" spans="2:14" x14ac:dyDescent="0.35">
      <c r="B16" t="s">
        <v>11</v>
      </c>
      <c r="C16" s="8">
        <v>86</v>
      </c>
      <c r="D16" s="305">
        <f>'Base Rate Impacts'!$D$15</f>
        <v>9397200.2729263529</v>
      </c>
      <c r="E16" s="306">
        <f>'Base Rate Impacts'!P15</f>
        <v>4920932.0508334171</v>
      </c>
      <c r="F16" s="292">
        <f t="shared" si="0"/>
        <v>0.52365937810336838</v>
      </c>
      <c r="G16" s="9"/>
      <c r="H16" s="305">
        <f>'Base Rate Impacts'!$D$15</f>
        <v>9397200.2729263529</v>
      </c>
      <c r="I16" s="306">
        <f>'Combined Impacts'!U16</f>
        <v>4750182.152349784</v>
      </c>
      <c r="J16" s="292">
        <f t="shared" si="1"/>
        <v>0.50548908338531606</v>
      </c>
      <c r="K16" s="265"/>
      <c r="L16" s="224">
        <f t="shared" si="2"/>
        <v>-3.4698690556947354E-2</v>
      </c>
      <c r="N16" s="300">
        <f>L16-'Combined Impacts'!W16</f>
        <v>0</v>
      </c>
    </row>
    <row r="17" spans="2:15" x14ac:dyDescent="0.35">
      <c r="B17" t="s">
        <v>12</v>
      </c>
      <c r="C17" s="8">
        <v>87</v>
      </c>
      <c r="D17" s="305">
        <f>'Base Rate Impacts'!$D$16</f>
        <v>23337042.118500698</v>
      </c>
      <c r="E17" s="306">
        <f>'Base Rate Impacts'!P16</f>
        <v>7852326.1605737153</v>
      </c>
      <c r="F17" s="292">
        <f t="shared" si="0"/>
        <v>0.33647478205255055</v>
      </c>
      <c r="G17" s="9"/>
      <c r="H17" s="305">
        <f>'Base Rate Impacts'!$D$16</f>
        <v>23337042.118500698</v>
      </c>
      <c r="I17" s="306">
        <f>'Combined Impacts'!U17</f>
        <v>8079381.8293388495</v>
      </c>
      <c r="J17" s="292">
        <f t="shared" si="1"/>
        <v>0.34620419281558523</v>
      </c>
      <c r="K17" s="265"/>
      <c r="L17" s="224">
        <f t="shared" si="2"/>
        <v>2.8915720529436691E-2</v>
      </c>
      <c r="N17" s="300">
        <f>L17-'Combined Impacts'!W17</f>
        <v>0</v>
      </c>
    </row>
    <row r="18" spans="2:15" x14ac:dyDescent="0.35">
      <c r="B18" t="s">
        <v>32</v>
      </c>
      <c r="C18" s="8" t="s">
        <v>33</v>
      </c>
      <c r="D18" s="305">
        <f>'Base Rate Impacts'!$D$17</f>
        <v>36359.963605097219</v>
      </c>
      <c r="E18" s="306">
        <f>'Base Rate Impacts'!P17</f>
        <v>23023.685802228316</v>
      </c>
      <c r="F18" s="292">
        <f t="shared" si="0"/>
        <v>0.63321531485253413</v>
      </c>
      <c r="G18" s="9"/>
      <c r="H18" s="305">
        <f>'Base Rate Impacts'!$D$17</f>
        <v>36359.963605097219</v>
      </c>
      <c r="I18" s="306">
        <f>'Combined Impacts'!U18</f>
        <v>26333.898109745223</v>
      </c>
      <c r="J18" s="292">
        <f t="shared" si="1"/>
        <v>0.7242553484309191</v>
      </c>
      <c r="K18" s="265"/>
      <c r="L18" s="224">
        <f t="shared" si="2"/>
        <v>0.14377421304092558</v>
      </c>
      <c r="N18" s="300">
        <f>L18-'Combined Impacts'!W18</f>
        <v>0</v>
      </c>
    </row>
    <row r="19" spans="2:15" x14ac:dyDescent="0.35">
      <c r="B19" t="s">
        <v>34</v>
      </c>
      <c r="C19" t="s">
        <v>35</v>
      </c>
      <c r="D19" s="305">
        <f>'Base Rate Impacts'!$D$18</f>
        <v>20492334.449073855</v>
      </c>
      <c r="E19" s="306">
        <f>'Base Rate Impacts'!P18</f>
        <v>4492896.6165647525</v>
      </c>
      <c r="F19" s="292">
        <f t="shared" si="0"/>
        <v>0.21924767174429011</v>
      </c>
      <c r="G19" s="9"/>
      <c r="H19" s="305">
        <f>'Base Rate Impacts'!$D$18</f>
        <v>20492334.449073855</v>
      </c>
      <c r="I19" s="306">
        <f>'Combined Impacts'!U19</f>
        <v>4591541.6872909553</v>
      </c>
      <c r="J19" s="292">
        <f t="shared" si="1"/>
        <v>0.22406142641784127</v>
      </c>
      <c r="K19" s="265"/>
      <c r="L19" s="224">
        <f t="shared" si="2"/>
        <v>2.1955784685209683E-2</v>
      </c>
      <c r="N19" s="300">
        <f>L19-'Combined Impacts'!W19</f>
        <v>0</v>
      </c>
    </row>
    <row r="20" spans="2:15" x14ac:dyDescent="0.35">
      <c r="B20" t="s">
        <v>36</v>
      </c>
      <c r="C20" t="s">
        <v>37</v>
      </c>
      <c r="D20" s="305">
        <f>'Base Rate Impacts'!$D$19</f>
        <v>74773537.134971097</v>
      </c>
      <c r="E20" s="306">
        <f>'Base Rate Impacts'!P19</f>
        <v>7701790.5107386047</v>
      </c>
      <c r="F20" s="292">
        <f t="shared" si="0"/>
        <v>0.10300155383630404</v>
      </c>
      <c r="G20" s="9"/>
      <c r="H20" s="305">
        <f>'Base Rate Impacts'!$D$19</f>
        <v>74773537.134971097</v>
      </c>
      <c r="I20" s="306">
        <f>'Combined Impacts'!U20</f>
        <v>7967923.5525501193</v>
      </c>
      <c r="J20" s="292">
        <f t="shared" si="1"/>
        <v>0.10656074137789549</v>
      </c>
      <c r="K20" s="265"/>
      <c r="L20" s="224">
        <f t="shared" si="2"/>
        <v>3.4554697565513555E-2</v>
      </c>
      <c r="N20" s="300">
        <f>L20-'Combined Impacts'!W20</f>
        <v>0</v>
      </c>
    </row>
    <row r="21" spans="2:15" x14ac:dyDescent="0.35">
      <c r="B21" t="s">
        <v>38</v>
      </c>
      <c r="C21" t="s">
        <v>39</v>
      </c>
      <c r="D21" s="305">
        <f>'Base Rate Impacts'!$D$20</f>
        <v>351288.14999999997</v>
      </c>
      <c r="E21" s="306">
        <f>'Base Rate Impacts'!P20</f>
        <v>76576.498531000005</v>
      </c>
      <c r="F21" s="292">
        <f t="shared" si="0"/>
        <v>0.21798770761552877</v>
      </c>
      <c r="G21" s="9"/>
      <c r="H21" s="305">
        <f>'Base Rate Impacts'!$D$20</f>
        <v>351288.14999999997</v>
      </c>
      <c r="I21" s="306">
        <f>'Combined Impacts'!U21</f>
        <v>72045.993309923972</v>
      </c>
      <c r="J21" s="292">
        <f t="shared" si="1"/>
        <v>0.20509087286298722</v>
      </c>
      <c r="K21" s="265"/>
      <c r="L21" s="224">
        <f t="shared" si="2"/>
        <v>-5.9163128479189683E-2</v>
      </c>
      <c r="N21" s="300">
        <f>L21-'Combined Impacts'!W21</f>
        <v>0</v>
      </c>
    </row>
    <row r="22" spans="2:15" x14ac:dyDescent="0.35">
      <c r="B22" t="s">
        <v>40</v>
      </c>
      <c r="C22" t="s">
        <v>41</v>
      </c>
      <c r="D22" s="305">
        <f>'Base Rate Impacts'!$D$21</f>
        <v>100441128.37470125</v>
      </c>
      <c r="E22" s="306">
        <f>'Base Rate Impacts'!P21</f>
        <v>4082109.4848146331</v>
      </c>
      <c r="F22" s="292">
        <f t="shared" si="0"/>
        <v>4.064181228217683E-2</v>
      </c>
      <c r="G22" s="9"/>
      <c r="H22" s="305">
        <f>'Base Rate Impacts'!$D$21</f>
        <v>100441128.37470125</v>
      </c>
      <c r="I22" s="306">
        <f>'Combined Impacts'!U22</f>
        <v>4840917.8949344605</v>
      </c>
      <c r="J22" s="292">
        <f t="shared" si="1"/>
        <v>4.8196570202548361E-2</v>
      </c>
      <c r="K22" s="265"/>
      <c r="L22" s="224">
        <f t="shared" si="2"/>
        <v>0.18588634453401598</v>
      </c>
      <c r="N22" s="300">
        <f>L22-'Combined Impacts'!W22</f>
        <v>0</v>
      </c>
    </row>
    <row r="23" spans="2:15" x14ac:dyDescent="0.35">
      <c r="B23" t="s">
        <v>13</v>
      </c>
      <c r="D23" s="305">
        <f>'Base Rate Impacts'!$D$22</f>
        <v>37056427.854413897</v>
      </c>
      <c r="E23" s="306">
        <f>'Base Rate Impacts'!P22</f>
        <v>1896683.4197041513</v>
      </c>
      <c r="F23" s="292">
        <f t="shared" si="0"/>
        <v>5.1183655023516572E-2</v>
      </c>
      <c r="G23" s="273"/>
      <c r="H23" s="305">
        <f>'Base Rate Impacts'!$D$22</f>
        <v>37056427.854413897</v>
      </c>
      <c r="I23" s="306">
        <f>'Combined Impacts'!U23</f>
        <v>1820144.8843977433</v>
      </c>
      <c r="J23" s="292">
        <f t="shared" si="1"/>
        <v>4.9118195945617588E-2</v>
      </c>
      <c r="K23" s="265"/>
      <c r="L23" s="224">
        <f t="shared" si="2"/>
        <v>-4.0353880100004624E-2</v>
      </c>
      <c r="M23" s="256"/>
      <c r="N23" s="300">
        <f>L23-'Combined Impacts'!W23</f>
        <v>0</v>
      </c>
    </row>
    <row r="24" spans="2:15" x14ac:dyDescent="0.35">
      <c r="B24" t="s">
        <v>6</v>
      </c>
      <c r="D24" s="291">
        <f>SUM(D11:D23)</f>
        <v>1191304269.0992641</v>
      </c>
      <c r="E24" s="16">
        <f>SUM(E11:E23)</f>
        <v>821775479.85509121</v>
      </c>
      <c r="F24" s="293">
        <f>E24/D24</f>
        <v>0.68981157977082486</v>
      </c>
      <c r="G24" s="273"/>
      <c r="H24" s="291">
        <f>SUM(H11:H23)</f>
        <v>1191304269.0992641</v>
      </c>
      <c r="I24" s="16">
        <f>SUM(I11:I23)</f>
        <v>887899628.9161309</v>
      </c>
      <c r="J24" s="293">
        <f>I24/H24</f>
        <v>0.74531725600837884</v>
      </c>
      <c r="K24" s="266"/>
      <c r="L24" s="225">
        <f>(I24-E24)/E24</f>
        <v>8.0464981837496258E-2</v>
      </c>
      <c r="M24" s="255"/>
      <c r="N24" s="300">
        <f>L24-'Combined Impacts'!W24</f>
        <v>-2.3592239273284576E-16</v>
      </c>
    </row>
    <row r="25" spans="2:15" s="24" customFormat="1" x14ac:dyDescent="0.35">
      <c r="B25" s="17"/>
      <c r="C25" s="18"/>
      <c r="D25" s="18"/>
      <c r="E25" s="18"/>
      <c r="F25" s="267"/>
      <c r="G25" s="20"/>
      <c r="H25" s="18"/>
      <c r="I25" s="18"/>
      <c r="J25" s="267"/>
      <c r="K25" s="267"/>
      <c r="L25" s="283"/>
      <c r="M25" s="39"/>
      <c r="N25" s="300"/>
    </row>
    <row r="26" spans="2:15" s="24" customFormat="1" x14ac:dyDescent="0.35">
      <c r="B26" s="17"/>
      <c r="C26" s="18"/>
      <c r="D26" s="302" t="s">
        <v>345</v>
      </c>
      <c r="E26" s="302" t="s">
        <v>314</v>
      </c>
      <c r="F26" s="267"/>
      <c r="G26" s="20"/>
      <c r="H26" s="302" t="s">
        <v>345</v>
      </c>
      <c r="I26" s="302" t="s">
        <v>314</v>
      </c>
      <c r="J26" s="267"/>
      <c r="K26" s="267"/>
      <c r="L26" s="283"/>
      <c r="M26" s="39"/>
      <c r="N26" s="300"/>
    </row>
    <row r="27" spans="2:15" s="24" customFormat="1" x14ac:dyDescent="0.35">
      <c r="B27" s="17"/>
      <c r="C27" s="18"/>
      <c r="D27" s="302" t="s">
        <v>233</v>
      </c>
      <c r="E27" s="302" t="s">
        <v>2</v>
      </c>
      <c r="F27" s="304" t="s">
        <v>296</v>
      </c>
      <c r="G27" s="20"/>
      <c r="H27" s="302" t="s">
        <v>233</v>
      </c>
      <c r="I27" s="302" t="s">
        <v>2</v>
      </c>
      <c r="J27" s="304" t="s">
        <v>296</v>
      </c>
      <c r="K27" s="267"/>
      <c r="L27" s="283"/>
      <c r="M27" s="39"/>
      <c r="N27" s="300"/>
    </row>
    <row r="28" spans="2:15" s="24" customFormat="1" x14ac:dyDescent="0.35">
      <c r="B28" s="17"/>
      <c r="C28" s="18"/>
      <c r="D28" s="302" t="s">
        <v>301</v>
      </c>
      <c r="E28" s="302" t="s">
        <v>284</v>
      </c>
      <c r="F28" s="304" t="s">
        <v>303</v>
      </c>
      <c r="G28" s="20"/>
      <c r="H28" s="302" t="s">
        <v>301</v>
      </c>
      <c r="I28" s="302" t="s">
        <v>284</v>
      </c>
      <c r="J28" s="304" t="s">
        <v>303</v>
      </c>
      <c r="K28" s="267"/>
      <c r="L28" s="283"/>
      <c r="M28" s="39"/>
      <c r="N28" s="300"/>
    </row>
    <row r="29" spans="2:15" s="24" customFormat="1" x14ac:dyDescent="0.35">
      <c r="B29" s="17" t="s">
        <v>267</v>
      </c>
      <c r="C29" s="17"/>
      <c r="D29" s="307">
        <f>'Base Rate Impacts'!$D$25</f>
        <v>351449</v>
      </c>
      <c r="E29" s="308">
        <f>'Base Rate Impacts'!P25</f>
        <v>5622676.1599999992</v>
      </c>
      <c r="F29" s="303">
        <f>E29/D29</f>
        <v>15.998555010826605</v>
      </c>
      <c r="G29" s="251"/>
      <c r="H29" s="309">
        <f>'Base Rate Impacts'!$D$25</f>
        <v>351449</v>
      </c>
      <c r="I29" s="308">
        <f>'Combined Impacts'!U26</f>
        <v>5024708.6899999995</v>
      </c>
      <c r="J29" s="303">
        <f>I29/H29</f>
        <v>14.29712046413562</v>
      </c>
      <c r="K29" s="265"/>
      <c r="L29" s="224">
        <f t="shared" ref="L29" si="3">(J29-F29)/F29</f>
        <v>-0.10634926376410765</v>
      </c>
      <c r="M29" s="276"/>
      <c r="N29" s="300">
        <f>L29-'Combined Impacts'!W26</f>
        <v>0</v>
      </c>
      <c r="O29" s="28"/>
    </row>
    <row r="30" spans="2:15" s="24" customFormat="1" x14ac:dyDescent="0.35">
      <c r="B30" s="197" t="s">
        <v>302</v>
      </c>
      <c r="C30" s="197"/>
      <c r="D30" s="197"/>
      <c r="E30" s="281">
        <f>E24+E29</f>
        <v>827398156.01509118</v>
      </c>
      <c r="F30" s="268"/>
      <c r="G30" s="38"/>
      <c r="H30" s="40"/>
      <c r="I30" s="281">
        <f>I24+I29</f>
        <v>892924337.60613096</v>
      </c>
      <c r="J30" s="268"/>
      <c r="K30" s="268"/>
      <c r="L30" s="225">
        <f>(I30-E30)/E30</f>
        <v>7.9195464861351011E-2</v>
      </c>
      <c r="M30" s="276"/>
      <c r="N30" s="300">
        <f>L30-'Combined Impacts'!W27</f>
        <v>-1.2490009027033011E-16</v>
      </c>
    </row>
    <row r="31" spans="2:15" x14ac:dyDescent="0.35">
      <c r="F31" s="269"/>
      <c r="G31" s="256"/>
      <c r="J31" s="269"/>
      <c r="K31" s="269"/>
      <c r="L31" s="284"/>
      <c r="M31" s="256"/>
      <c r="N31" s="300"/>
    </row>
    <row r="32" spans="2:15" x14ac:dyDescent="0.35">
      <c r="F32" s="269"/>
      <c r="G32" s="256"/>
      <c r="J32" s="269"/>
      <c r="K32" s="269"/>
      <c r="L32" s="284"/>
      <c r="M32" s="256"/>
      <c r="N32" s="300"/>
    </row>
    <row r="33" spans="2:14" s="24" customFormat="1" x14ac:dyDescent="0.35">
      <c r="B33" s="33" t="s">
        <v>42</v>
      </c>
      <c r="C33" s="33"/>
      <c r="D33" s="33"/>
      <c r="E33" s="33"/>
      <c r="F33" s="270"/>
      <c r="G33" s="39"/>
      <c r="H33" s="33"/>
      <c r="I33" s="33"/>
      <c r="J33" s="270"/>
      <c r="K33" s="270"/>
      <c r="L33" s="285"/>
      <c r="M33" s="39"/>
      <c r="N33" s="300"/>
    </row>
    <row r="34" spans="2:14" s="24" customFormat="1" x14ac:dyDescent="0.35">
      <c r="B34" s="197" t="s">
        <v>43</v>
      </c>
      <c r="C34" s="197"/>
      <c r="D34" s="294">
        <f>D11+D12</f>
        <v>609257701.15931809</v>
      </c>
      <c r="E34" s="35">
        <f>E11+E12</f>
        <v>566052721.01490724</v>
      </c>
      <c r="F34" s="297">
        <f>E34/D34</f>
        <v>0.92908586947329708</v>
      </c>
      <c r="G34" s="38"/>
      <c r="H34" s="294">
        <f>H11+H12</f>
        <v>609257701.15931809</v>
      </c>
      <c r="I34" s="35">
        <f>I11+I12</f>
        <v>609310021.76369214</v>
      </c>
      <c r="J34" s="297">
        <f>I34/H34</f>
        <v>1.0000858759836346</v>
      </c>
      <c r="K34" s="35"/>
      <c r="L34" s="224">
        <f>(I34-E34)/E34</f>
        <v>7.6419208216553555E-2</v>
      </c>
      <c r="M34" s="36"/>
      <c r="N34" s="300">
        <f>L34-'Combined Impacts'!W31</f>
        <v>0</v>
      </c>
    </row>
    <row r="35" spans="2:14" s="24" customFormat="1" x14ac:dyDescent="0.35">
      <c r="B35" s="37" t="s">
        <v>44</v>
      </c>
      <c r="C35" s="37"/>
      <c r="D35" s="294">
        <f t="shared" ref="D35:E39" si="4">D13+D18</f>
        <v>234176518.05324447</v>
      </c>
      <c r="E35" s="35">
        <f t="shared" si="4"/>
        <v>180505338.49333602</v>
      </c>
      <c r="F35" s="297">
        <f t="shared" ref="F35:F40" si="5">E35/D35</f>
        <v>0.77080887526175745</v>
      </c>
      <c r="G35" s="38"/>
      <c r="H35" s="294">
        <f t="shared" ref="H35:I39" si="6">H13+H18</f>
        <v>234176518.05324447</v>
      </c>
      <c r="I35" s="35">
        <f t="shared" si="6"/>
        <v>202058908.85300797</v>
      </c>
      <c r="J35" s="297">
        <f t="shared" ref="J35:J40" si="7">I35/H35</f>
        <v>0.86284871998594692</v>
      </c>
      <c r="K35" s="35"/>
      <c r="L35" s="224">
        <f t="shared" ref="L35:L41" si="8">(I35-E35)/E35</f>
        <v>0.1194068305102659</v>
      </c>
      <c r="M35" s="39"/>
      <c r="N35" s="300">
        <f>L35-'Combined Impacts'!W32</f>
        <v>0</v>
      </c>
    </row>
    <row r="36" spans="2:14" s="24" customFormat="1" x14ac:dyDescent="0.35">
      <c r="B36" s="197" t="s">
        <v>45</v>
      </c>
      <c r="C36" s="197"/>
      <c r="D36" s="294">
        <f t="shared" si="4"/>
        <v>86328991.912539333</v>
      </c>
      <c r="E36" s="35">
        <f t="shared" si="4"/>
        <v>42214666.87425936</v>
      </c>
      <c r="F36" s="297">
        <f t="shared" si="5"/>
        <v>0.48899756546476775</v>
      </c>
      <c r="G36" s="38"/>
      <c r="H36" s="294">
        <f t="shared" si="6"/>
        <v>86328991.912539333</v>
      </c>
      <c r="I36" s="35">
        <f t="shared" si="6"/>
        <v>42551171.695197061</v>
      </c>
      <c r="J36" s="297">
        <f t="shared" si="7"/>
        <v>0.49289550071783567</v>
      </c>
      <c r="K36" s="35"/>
      <c r="L36" s="224">
        <f t="shared" si="8"/>
        <v>7.9712774221342101E-3</v>
      </c>
      <c r="M36" s="39"/>
      <c r="N36" s="300">
        <f>L36-'Combined Impacts'!W33</f>
        <v>1.3357370765021415E-16</v>
      </c>
    </row>
    <row r="37" spans="2:14" s="24" customFormat="1" x14ac:dyDescent="0.35">
      <c r="B37" s="197" t="s">
        <v>46</v>
      </c>
      <c r="C37" s="197"/>
      <c r="D37" s="294">
        <f t="shared" si="4"/>
        <v>90957971.20362018</v>
      </c>
      <c r="E37" s="35">
        <f t="shared" si="4"/>
        <v>14174125.858131481</v>
      </c>
      <c r="F37" s="297">
        <f t="shared" si="5"/>
        <v>0.15583159640182634</v>
      </c>
      <c r="G37" s="38"/>
      <c r="H37" s="294">
        <f t="shared" si="6"/>
        <v>90957971.20362018</v>
      </c>
      <c r="I37" s="35">
        <f t="shared" si="6"/>
        <v>14416853.849902933</v>
      </c>
      <c r="J37" s="297">
        <f t="shared" si="7"/>
        <v>0.15850016946430237</v>
      </c>
      <c r="K37" s="35"/>
      <c r="L37" s="224">
        <f t="shared" si="8"/>
        <v>1.7124723894856822E-2</v>
      </c>
      <c r="M37" s="39"/>
      <c r="N37" s="300">
        <f>L37-'Combined Impacts'!W34</f>
        <v>0</v>
      </c>
    </row>
    <row r="38" spans="2:14" s="24" customFormat="1" x14ac:dyDescent="0.35">
      <c r="B38" s="197" t="s">
        <v>47</v>
      </c>
      <c r="C38" s="197"/>
      <c r="D38" s="294">
        <f t="shared" si="4"/>
        <v>9748488.4229263533</v>
      </c>
      <c r="E38" s="35">
        <f t="shared" si="4"/>
        <v>4997508.5493644169</v>
      </c>
      <c r="F38" s="297">
        <f t="shared" si="5"/>
        <v>0.51264445650992918</v>
      </c>
      <c r="G38" s="38"/>
      <c r="H38" s="294">
        <f t="shared" si="6"/>
        <v>9748488.4229263533</v>
      </c>
      <c r="I38" s="35">
        <f t="shared" si="6"/>
        <v>4822228.1456597084</v>
      </c>
      <c r="J38" s="297">
        <f t="shared" si="7"/>
        <v>0.49466419166266457</v>
      </c>
      <c r="K38" s="35"/>
      <c r="L38" s="224">
        <f t="shared" si="8"/>
        <v>-3.5073557548390907E-2</v>
      </c>
      <c r="M38" s="39"/>
      <c r="N38" s="300">
        <f>L38-'Combined Impacts'!W35</f>
        <v>1.3183898417423734E-16</v>
      </c>
    </row>
    <row r="39" spans="2:14" s="24" customFormat="1" x14ac:dyDescent="0.35">
      <c r="B39" s="17" t="s">
        <v>48</v>
      </c>
      <c r="C39" s="17"/>
      <c r="D39" s="294">
        <f t="shared" si="4"/>
        <v>123778170.49320194</v>
      </c>
      <c r="E39" s="35">
        <f t="shared" si="4"/>
        <v>11934435.645388348</v>
      </c>
      <c r="F39" s="297">
        <f t="shared" si="5"/>
        <v>9.6417935390665704E-2</v>
      </c>
      <c r="G39" s="38"/>
      <c r="H39" s="294">
        <f t="shared" si="6"/>
        <v>123778170.49320194</v>
      </c>
      <c r="I39" s="35">
        <f t="shared" si="6"/>
        <v>12920299.724273309</v>
      </c>
      <c r="J39" s="297">
        <f t="shared" si="7"/>
        <v>0.10438270070394123</v>
      </c>
      <c r="K39" s="35"/>
      <c r="L39" s="224">
        <f t="shared" si="8"/>
        <v>8.2606677699578898E-2</v>
      </c>
      <c r="M39" s="39"/>
      <c r="N39" s="300">
        <f>L39-'Combined Impacts'!W36</f>
        <v>0</v>
      </c>
    </row>
    <row r="40" spans="2:14" s="24" customFormat="1" x14ac:dyDescent="0.35">
      <c r="B40" s="253" t="s">
        <v>13</v>
      </c>
      <c r="C40" s="17"/>
      <c r="D40" s="294">
        <f>D23</f>
        <v>37056427.854413897</v>
      </c>
      <c r="E40" s="35">
        <f>E23</f>
        <v>1896683.4197041513</v>
      </c>
      <c r="F40" s="297">
        <f t="shared" si="5"/>
        <v>5.1183655023516572E-2</v>
      </c>
      <c r="G40" s="38"/>
      <c r="H40" s="294">
        <f>H23</f>
        <v>37056427.854413897</v>
      </c>
      <c r="I40" s="35">
        <f>I23</f>
        <v>1820144.8843977433</v>
      </c>
      <c r="J40" s="297">
        <f t="shared" si="7"/>
        <v>4.9118195945617588E-2</v>
      </c>
      <c r="K40" s="35"/>
      <c r="L40" s="224">
        <f t="shared" si="8"/>
        <v>-4.0353880100004624E-2</v>
      </c>
      <c r="M40" s="39"/>
      <c r="N40" s="300">
        <f>L40-'Combined Impacts'!W37</f>
        <v>0</v>
      </c>
    </row>
    <row r="41" spans="2:14" s="24" customFormat="1" x14ac:dyDescent="0.35">
      <c r="B41" s="40" t="s">
        <v>14</v>
      </c>
      <c r="C41" s="40"/>
      <c r="D41" s="295">
        <f>SUM(D34:D40)</f>
        <v>1191304269.0992644</v>
      </c>
      <c r="E41" s="282">
        <f>SUM(E34:E40)</f>
        <v>821775479.85509121</v>
      </c>
      <c r="F41" s="298">
        <f>E41/D41</f>
        <v>0.68981157977082463</v>
      </c>
      <c r="G41" s="38"/>
      <c r="H41" s="295">
        <f>SUM(H34:H40)</f>
        <v>1191304269.0992644</v>
      </c>
      <c r="I41" s="282">
        <f>SUM(I34:I40)</f>
        <v>887899628.91613102</v>
      </c>
      <c r="J41" s="298">
        <f>I41/H41</f>
        <v>0.74531725600837884</v>
      </c>
      <c r="K41" s="272"/>
      <c r="L41" s="225">
        <f t="shared" si="8"/>
        <v>8.0464981837496397E-2</v>
      </c>
      <c r="M41" s="39"/>
      <c r="N41" s="300">
        <f>L41-'Combined Impacts'!W38</f>
        <v>0</v>
      </c>
    </row>
    <row r="42" spans="2:14" s="24" customFormat="1" x14ac:dyDescent="0.35">
      <c r="B42" s="17"/>
      <c r="C42" s="17"/>
      <c r="D42" s="17"/>
      <c r="E42" s="17"/>
      <c r="F42" s="271"/>
      <c r="G42" s="38"/>
      <c r="H42" s="17"/>
      <c r="I42" s="17"/>
      <c r="J42" s="271"/>
      <c r="K42" s="271"/>
      <c r="L42" s="286"/>
      <c r="M42" s="39"/>
      <c r="N42" s="300"/>
    </row>
    <row r="43" spans="2:14" s="24" customFormat="1" x14ac:dyDescent="0.35">
      <c r="B43" s="17" t="s">
        <v>267</v>
      </c>
      <c r="C43" s="17"/>
      <c r="D43" s="296">
        <f>D29</f>
        <v>351449</v>
      </c>
      <c r="E43" s="280">
        <f>E29</f>
        <v>5622676.1599999992</v>
      </c>
      <c r="F43" s="299">
        <f>E43/D43</f>
        <v>15.998555010826605</v>
      </c>
      <c r="G43" s="38"/>
      <c r="H43" s="296">
        <f>H29</f>
        <v>351449</v>
      </c>
      <c r="I43" s="280">
        <f>I29</f>
        <v>5024708.6899999995</v>
      </c>
      <c r="J43" s="299">
        <f>I43/H43</f>
        <v>14.29712046413562</v>
      </c>
      <c r="K43" s="271"/>
      <c r="L43" s="224">
        <f t="shared" ref="L43" si="9">(J43-F43)/F43</f>
        <v>-0.10634926376410765</v>
      </c>
      <c r="M43" s="39"/>
      <c r="N43" s="300">
        <f>L43-'Combined Impacts'!W40</f>
        <v>0</v>
      </c>
    </row>
    <row r="44" spans="2:14" s="31" customFormat="1" x14ac:dyDescent="0.35">
      <c r="B44" s="197" t="s">
        <v>6</v>
      </c>
      <c r="C44" s="197"/>
      <c r="D44" s="197"/>
      <c r="E44" s="282">
        <f>E41+E43</f>
        <v>827398156.01509118</v>
      </c>
      <c r="F44" s="272"/>
      <c r="G44" s="38"/>
      <c r="H44" s="197"/>
      <c r="I44" s="282">
        <f>I41+I43</f>
        <v>892924337.60613108</v>
      </c>
      <c r="J44" s="272"/>
      <c r="K44" s="272"/>
      <c r="L44" s="225">
        <f>(I44-E44)/E44</f>
        <v>7.919546486135115E-2</v>
      </c>
      <c r="M44" s="38"/>
      <c r="N44" s="300">
        <f>L44-'Combined Impacts'!W41</f>
        <v>0</v>
      </c>
    </row>
    <row r="45" spans="2:14" s="24" customFormat="1" x14ac:dyDescent="0.35">
      <c r="B45" s="31"/>
      <c r="C45" s="31"/>
      <c r="D45" s="31"/>
      <c r="E45" s="31"/>
      <c r="F45" s="31"/>
      <c r="G45" s="31"/>
      <c r="J45" s="39"/>
    </row>
    <row r="46" spans="2:14" x14ac:dyDescent="0.35">
      <c r="B46" s="197"/>
      <c r="F46" s="32"/>
      <c r="I46" s="165"/>
    </row>
    <row r="47" spans="2:14" x14ac:dyDescent="0.35">
      <c r="F47" s="32"/>
    </row>
    <row r="48" spans="2:14" x14ac:dyDescent="0.35">
      <c r="B48" s="166"/>
    </row>
  </sheetData>
  <mergeCells count="6">
    <mergeCell ref="B1:L1"/>
    <mergeCell ref="B2:L2"/>
    <mergeCell ref="B3:L3"/>
    <mergeCell ref="B4:L4"/>
    <mergeCell ref="D6:F6"/>
    <mergeCell ref="H6:J6"/>
  </mergeCells>
  <printOptions horizontalCentered="1"/>
  <pageMargins left="0.7" right="0.7" top="0.75" bottom="0.75" header="0.3" footer="0.3"/>
  <pageSetup scale="72" orientation="landscape" blackAndWhite="1" r:id="rId1"/>
  <headerFooter>
    <oddFooter>&amp;L&amp;F 
&amp;A&amp;C&amp;P&amp;R&amp;D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H37" sqref="H37"/>
    </sheetView>
  </sheetViews>
  <sheetFormatPr defaultRowHeight="14.5" x14ac:dyDescent="0.35"/>
  <cols>
    <col min="1" max="1" width="2.81640625" customWidth="1"/>
    <col min="2" max="2" width="38.7265625" customWidth="1"/>
    <col min="3" max="3" width="9.1796875" bestFit="1" customWidth="1"/>
    <col min="4" max="4" width="16.54296875" bestFit="1" customWidth="1"/>
    <col min="5" max="6" width="14.54296875" bestFit="1" customWidth="1"/>
    <col min="7" max="7" width="14" bestFit="1" customWidth="1"/>
    <col min="8" max="8" width="13.26953125" bestFit="1" customWidth="1"/>
    <col min="9" max="9" width="12.1796875" customWidth="1"/>
    <col min="10" max="11" width="13.26953125" bestFit="1" customWidth="1"/>
    <col min="12" max="12" width="12.81640625" bestFit="1" customWidth="1"/>
    <col min="13" max="13" width="14" bestFit="1" customWidth="1"/>
    <col min="14" max="15" width="13.26953125" bestFit="1" customWidth="1"/>
    <col min="16" max="16" width="15.7265625" bestFit="1" customWidth="1"/>
    <col min="17" max="17" width="14.54296875" bestFit="1" customWidth="1"/>
    <col min="18" max="18" width="7.81640625" customWidth="1"/>
    <col min="19" max="19" width="9.1796875" customWidth="1"/>
  </cols>
  <sheetData>
    <row r="1" spans="2:19" x14ac:dyDescent="0.35">
      <c r="B1" s="333" t="s">
        <v>0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</row>
    <row r="2" spans="2:19" x14ac:dyDescent="0.35">
      <c r="B2" s="333" t="s">
        <v>316</v>
      </c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</row>
    <row r="3" spans="2:19" x14ac:dyDescent="0.35">
      <c r="B3" s="334" t="s">
        <v>320</v>
      </c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</row>
    <row r="4" spans="2:19" x14ac:dyDescent="0.35">
      <c r="B4" s="334" t="s">
        <v>333</v>
      </c>
      <c r="C4" s="334"/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</row>
    <row r="5" spans="2:19" x14ac:dyDescent="0.35">
      <c r="K5" s="264"/>
      <c r="O5" s="264"/>
    </row>
    <row r="6" spans="2:19" x14ac:dyDescent="0.35">
      <c r="B6" s="5"/>
      <c r="C6" s="5"/>
      <c r="D6" s="5" t="s">
        <v>314</v>
      </c>
      <c r="E6" s="264" t="s">
        <v>314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326</v>
      </c>
      <c r="Q6" s="230" t="s">
        <v>334</v>
      </c>
      <c r="R6" s="5"/>
    </row>
    <row r="7" spans="2:19" x14ac:dyDescent="0.35">
      <c r="B7" s="5"/>
      <c r="C7" s="5" t="s">
        <v>17</v>
      </c>
      <c r="D7" s="5" t="s">
        <v>3</v>
      </c>
      <c r="E7" s="264" t="s">
        <v>281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274</v>
      </c>
      <c r="L7" s="5" t="s">
        <v>278</v>
      </c>
      <c r="M7" s="5" t="s">
        <v>294</v>
      </c>
      <c r="N7" s="5" t="s">
        <v>272</v>
      </c>
      <c r="O7" s="5" t="s">
        <v>110</v>
      </c>
      <c r="P7" s="5" t="s">
        <v>327</v>
      </c>
      <c r="Q7" s="5" t="s">
        <v>2</v>
      </c>
      <c r="R7" s="5" t="s">
        <v>20</v>
      </c>
    </row>
    <row r="8" spans="2:19" ht="16.5" x14ac:dyDescent="0.35">
      <c r="B8" s="218" t="s">
        <v>4</v>
      </c>
      <c r="C8" s="218" t="s">
        <v>21</v>
      </c>
      <c r="D8" s="249" t="s">
        <v>315</v>
      </c>
      <c r="E8" s="310" t="s">
        <v>283</v>
      </c>
      <c r="F8" s="218" t="s">
        <v>2</v>
      </c>
      <c r="G8" s="218" t="s">
        <v>2</v>
      </c>
      <c r="H8" s="218" t="s">
        <v>2</v>
      </c>
      <c r="I8" s="218" t="s">
        <v>2</v>
      </c>
      <c r="J8" s="218" t="s">
        <v>2</v>
      </c>
      <c r="K8" s="218" t="s">
        <v>2</v>
      </c>
      <c r="L8" s="218" t="s">
        <v>2</v>
      </c>
      <c r="M8" s="218" t="s">
        <v>2</v>
      </c>
      <c r="N8" s="218" t="s">
        <v>2</v>
      </c>
      <c r="O8" s="218" t="s">
        <v>2</v>
      </c>
      <c r="P8" s="310" t="s">
        <v>328</v>
      </c>
      <c r="Q8" s="218" t="s">
        <v>24</v>
      </c>
      <c r="R8" s="218" t="s">
        <v>24</v>
      </c>
    </row>
    <row r="9" spans="2:19" x14ac:dyDescent="0.35">
      <c r="B9" s="5" t="s">
        <v>25</v>
      </c>
      <c r="C9" s="5" t="s">
        <v>26</v>
      </c>
      <c r="D9" s="250" t="s">
        <v>27</v>
      </c>
      <c r="E9" s="7" t="s">
        <v>28</v>
      </c>
      <c r="F9" s="5" t="s">
        <v>260</v>
      </c>
      <c r="G9" s="5" t="s">
        <v>285</v>
      </c>
      <c r="H9" s="5" t="s">
        <v>262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318</v>
      </c>
      <c r="S9" s="7"/>
    </row>
    <row r="10" spans="2:19" x14ac:dyDescent="0.35">
      <c r="B10" t="s">
        <v>7</v>
      </c>
      <c r="C10" s="8" t="s">
        <v>30</v>
      </c>
      <c r="D10" s="183">
        <f>SUM('Normalized Therms'!P9,'Normalized Therms'!P11)</f>
        <v>609248315.15931809</v>
      </c>
      <c r="E10" s="155">
        <f>SUM('[64]Margin Exhibit'!$F$13:$F$14)</f>
        <v>314232967.52196467</v>
      </c>
      <c r="F10" s="155">
        <f>SUM('[64]Margin Exhibit'!$E$13:$E$14)</f>
        <v>199011335.5518544</v>
      </c>
      <c r="G10" s="155">
        <f>'Schedule 106 Revenue'!F8</f>
        <v>-2345605.69</v>
      </c>
      <c r="H10" s="155">
        <f>'Schedule 120 Revenue'!F8</f>
        <v>11057856.920141622</v>
      </c>
      <c r="I10" s="155">
        <f>'Schedule 129 Revenue'!G8</f>
        <v>3271663.4524055379</v>
      </c>
      <c r="J10" s="155">
        <f>'Schedule 140 Revenue'!F8</f>
        <v>13616699.843810759</v>
      </c>
      <c r="K10" s="155">
        <f>SUM('Schedule 141 Revenue'!$G$9:$G$14)</f>
        <v>19233241.550000001</v>
      </c>
      <c r="L10" s="155">
        <f>SUM('Schedule 141X Revenue'!$G$9:$G$14)</f>
        <v>-4328500.88</v>
      </c>
      <c r="M10" s="155">
        <f>'Schedule 141Y Revenue'!F8</f>
        <v>-6445847.1743855858</v>
      </c>
      <c r="N10" s="155">
        <f>'Sch 142 Revenue (Decoupling)'!G10</f>
        <v>11910804.560000001</v>
      </c>
      <c r="O10" s="155">
        <f>'Schedule 149 Revenue'!F8</f>
        <v>6829673.6129359556</v>
      </c>
      <c r="P10" s="161">
        <f>SUM(E10:O10)</f>
        <v>566044289.26872718</v>
      </c>
      <c r="Q10" s="155">
        <f>SUM('[63]Rate Design Res'!$K$14,'[63]Rate Design Res'!$K$25)</f>
        <v>64991044.661294617</v>
      </c>
      <c r="R10" s="224">
        <f>Q10/P10</f>
        <v>0.11481618292670449</v>
      </c>
    </row>
    <row r="11" spans="2:19" x14ac:dyDescent="0.35">
      <c r="B11" t="s">
        <v>31</v>
      </c>
      <c r="C11" s="8">
        <v>16</v>
      </c>
      <c r="D11" s="183">
        <f>'Normalized Therms'!P10</f>
        <v>9386</v>
      </c>
      <c r="E11" s="155">
        <f>'[64]Margin Exhibit'!$F$12</f>
        <v>4786.8599999999988</v>
      </c>
      <c r="F11" s="155">
        <f>'[64]Margin Exhibit'!$E$12</f>
        <v>3067.7400000000002</v>
      </c>
      <c r="G11" s="155">
        <f>'Schedule 106 Revenue'!F9</f>
        <v>-36.14</v>
      </c>
      <c r="H11" s="155">
        <f>'Schedule 120 Revenue'!F9</f>
        <v>170.35589999999999</v>
      </c>
      <c r="I11" s="155"/>
      <c r="J11" s="155">
        <f>'Schedule 140 Revenue'!F9</f>
        <v>209.77710000000002</v>
      </c>
      <c r="K11" s="155">
        <f>'Schedule 141 Revenue'!$G$17</f>
        <v>291.45999999999998</v>
      </c>
      <c r="L11" s="155">
        <f>'Schedule 141X Revenue'!$G$17</f>
        <v>-64.22</v>
      </c>
      <c r="M11" s="155">
        <f>'Schedule 141Y Revenue'!F9</f>
        <v>-99.303880000000007</v>
      </c>
      <c r="N11" s="155"/>
      <c r="O11" s="155">
        <f>'Schedule 149 Revenue'!F9</f>
        <v>105.21705999999999</v>
      </c>
      <c r="P11" s="161">
        <f t="shared" ref="P11:P22" si="0">SUM(E11:O11)</f>
        <v>8431.7461799999983</v>
      </c>
      <c r="Q11" s="155">
        <f>'[63]Rate Design Res'!$K$35</f>
        <v>1002.8200000000006</v>
      </c>
      <c r="R11" s="224">
        <f t="shared" ref="R11:R23" si="1">Q11/P11</f>
        <v>0.11893384580037261</v>
      </c>
    </row>
    <row r="12" spans="2:19" x14ac:dyDescent="0.35">
      <c r="B12" t="s">
        <v>8</v>
      </c>
      <c r="C12" s="8">
        <v>31</v>
      </c>
      <c r="D12" s="183">
        <f>'Normalized Therms'!P12</f>
        <v>234140158.08963937</v>
      </c>
      <c r="E12" s="155">
        <f>'[64]Margin Exhibit'!$F$15</f>
        <v>93351851.201542571</v>
      </c>
      <c r="F12" s="155">
        <f>'[64]Margin Exhibit'!$E$15</f>
        <v>74627492.587910756</v>
      </c>
      <c r="G12" s="155">
        <f>'Schedule 106 Revenue'!F10</f>
        <v>-899098.21</v>
      </c>
      <c r="H12" s="155">
        <f>'Schedule 120 Revenue'!F10</f>
        <v>4249643.8693269547</v>
      </c>
      <c r="I12" s="155">
        <f>'Schedule 129 Revenue'!G10</f>
        <v>1002119.8766236565</v>
      </c>
      <c r="J12" s="155">
        <f>'Schedule 140 Revenue'!F10</f>
        <v>5919063.196506083</v>
      </c>
      <c r="K12" s="155">
        <f>SUM('Schedule 141 Revenue'!$G$20:$G$22)</f>
        <v>6148767.6599999992</v>
      </c>
      <c r="L12" s="155">
        <f>SUM('Schedule 141X Revenue'!$G$20:$G$22)</f>
        <v>-1283448.5900000001</v>
      </c>
      <c r="M12" s="155">
        <f>'Schedule 141Y Revenue'!F10</f>
        <v>-2746464.0543914698</v>
      </c>
      <c r="N12" s="155">
        <f>'Sch 142 Revenue (Decoupling)'!G15</f>
        <v>-2435057.65</v>
      </c>
      <c r="O12" s="155">
        <f>'Schedule 149 Revenue'!F10</f>
        <v>2547444.9200152764</v>
      </c>
      <c r="P12" s="161">
        <f>SUM(E12:O12)</f>
        <v>180482314.8075338</v>
      </c>
      <c r="Q12" s="155">
        <f>'[63]Rate Design C&amp;I'!$K$15</f>
        <v>28963024.13000001</v>
      </c>
      <c r="R12" s="224">
        <f t="shared" si="1"/>
        <v>0.16047569071178058</v>
      </c>
    </row>
    <row r="13" spans="2:19" x14ac:dyDescent="0.35">
      <c r="B13" t="s">
        <v>9</v>
      </c>
      <c r="C13" s="8">
        <v>41</v>
      </c>
      <c r="D13" s="183">
        <f>'Normalized Therms'!P13</f>
        <v>65836657.463465482</v>
      </c>
      <c r="E13" s="155">
        <f>'[64]Margin Exhibit'!$F$17</f>
        <v>15357393.334420495</v>
      </c>
      <c r="F13" s="155">
        <f>'[64]Margin Exhibit'!$E$17</f>
        <v>19641243.467653014</v>
      </c>
      <c r="G13" s="155">
        <f>'Schedule 106 Revenue'!F11</f>
        <v>-248862.57</v>
      </c>
      <c r="H13" s="155">
        <f>'Schedule 120 Revenue'!F11</f>
        <v>1194935.3329618985</v>
      </c>
      <c r="I13" s="155">
        <f>'Schedule 129 Revenue'!G13</f>
        <v>148132.47929279733</v>
      </c>
      <c r="J13" s="155">
        <f>'Schedule 140 Revenue'!F11</f>
        <v>588579.71772338136</v>
      </c>
      <c r="K13" s="155">
        <f>SUM('Schedule 141 Revenue'!$G$32:$G$41)</f>
        <v>1234386.9100000001</v>
      </c>
      <c r="L13" s="155">
        <f>SUM('Schedule 141X Revenue'!$G$32:$G$41)</f>
        <v>-213016.37</v>
      </c>
      <c r="M13" s="155">
        <f>'Schedule 141Y Revenue'!F11</f>
        <v>-306798.82377974916</v>
      </c>
      <c r="N13" s="155">
        <f>'Sch 142 Revenue (Decoupling)'!G28</f>
        <v>-83727.23</v>
      </c>
      <c r="O13" s="155">
        <f>'Schedule 149 Revenue'!F11</f>
        <v>409504.00942275528</v>
      </c>
      <c r="P13" s="161">
        <f t="shared" si="0"/>
        <v>37721770.257694609</v>
      </c>
      <c r="Q13" s="155">
        <f>'[63]Rate Design C&amp;I'!$K$57</f>
        <v>1668734.2812285563</v>
      </c>
      <c r="R13" s="224">
        <f t="shared" si="1"/>
        <v>4.4237963113307556E-2</v>
      </c>
    </row>
    <row r="14" spans="2:19" x14ac:dyDescent="0.35">
      <c r="B14" t="s">
        <v>10</v>
      </c>
      <c r="C14" s="8">
        <v>85</v>
      </c>
      <c r="D14" s="183">
        <f>'Normalized Therms'!P14</f>
        <v>16184434.068649085</v>
      </c>
      <c r="E14" s="155">
        <f>'[64]Margin Exhibit'!$F$20</f>
        <v>1574656.0043214299</v>
      </c>
      <c r="F14" s="155">
        <f>'[64]Margin Exhibit'!$E$20</f>
        <v>4463767.6376989819</v>
      </c>
      <c r="G14" s="155">
        <f>'Schedule 106 Revenue'!F12</f>
        <v>-60853.47</v>
      </c>
      <c r="H14" s="155">
        <f>'Schedule 120 Revenue'!F12</f>
        <v>249725.81767925539</v>
      </c>
      <c r="I14" s="155">
        <f>'Schedule 129 Revenue'!G20</f>
        <v>17884.310095044017</v>
      </c>
      <c r="J14" s="155">
        <f>'Schedule 140 Revenue'!F12</f>
        <v>81731.39204667788</v>
      </c>
      <c r="K14" s="155">
        <f>SUM('Schedule 141 Revenue'!$G$54:$G$61)</f>
        <v>154970.82999999999</v>
      </c>
      <c r="L14" s="155">
        <f>SUM('Schedule 141X Revenue'!$G$54:$G$61)</f>
        <v>-21685.5</v>
      </c>
      <c r="M14" s="155">
        <f>'Schedule 141Y Revenue'!F12</f>
        <v>-41432.151215741658</v>
      </c>
      <c r="N14" s="155"/>
      <c r="O14" s="155">
        <f>'Schedule 149 Revenue'!F12</f>
        <v>53570.476767228472</v>
      </c>
      <c r="P14" s="161">
        <f t="shared" si="0"/>
        <v>6472335.3473928766</v>
      </c>
      <c r="Q14" s="155">
        <f>'[63]Rate Design Int &amp; Trans'!$K$21</f>
        <v>163450.74750719132</v>
      </c>
      <c r="R14" s="224">
        <f t="shared" si="1"/>
        <v>2.5253751348503745E-2</v>
      </c>
    </row>
    <row r="15" spans="2:19" x14ac:dyDescent="0.35">
      <c r="B15" t="s">
        <v>11</v>
      </c>
      <c r="C15" s="8">
        <v>86</v>
      </c>
      <c r="D15" s="183">
        <f>'Normalized Therms'!P15</f>
        <v>9397200.2729263529</v>
      </c>
      <c r="E15" s="155">
        <f>'[64]Margin Exhibit'!$F$22</f>
        <v>1991251.2003532224</v>
      </c>
      <c r="F15" s="155">
        <f>'[64]Margin Exhibit'!$E$22</f>
        <v>2604595.1595833455</v>
      </c>
      <c r="G15" s="155">
        <f>'Schedule 106 Revenue'!F13</f>
        <v>-35333.47</v>
      </c>
      <c r="H15" s="155">
        <f>'Schedule 120 Revenue'!F13</f>
        <v>144998.80021125361</v>
      </c>
      <c r="I15" s="155">
        <f>'Schedule 129 Revenue'!G22</f>
        <v>20579.868597708715</v>
      </c>
      <c r="J15" s="155">
        <f>'Schedule 140 Revenue'!F13</f>
        <v>72076.526093345121</v>
      </c>
      <c r="K15" s="155">
        <f>SUM('Schedule 141 Revenue'!$G$73:$G$79)</f>
        <v>159857.76</v>
      </c>
      <c r="L15" s="155">
        <f>SUM('Schedule 141X Revenue'!$G$73:$G$79)</f>
        <v>-27322.34</v>
      </c>
      <c r="M15" s="155">
        <f>'Schedule 141Y Revenue'!F13</f>
        <v>-39186.325138102889</v>
      </c>
      <c r="N15" s="155">
        <f>'Sch 142 Revenue (Decoupling)'!G46</f>
        <v>-9583.51</v>
      </c>
      <c r="O15" s="155">
        <f>'Schedule 149 Revenue'!F13</f>
        <v>38998.381132644368</v>
      </c>
      <c r="P15" s="161">
        <f t="shared" si="0"/>
        <v>4920932.0508334171</v>
      </c>
      <c r="Q15" s="155">
        <f>'[63]Rate Design Int &amp; Trans'!$K$80</f>
        <v>783.9199999999837</v>
      </c>
      <c r="R15" s="224">
        <f t="shared" si="1"/>
        <v>1.5930315474834035E-4</v>
      </c>
    </row>
    <row r="16" spans="2:19" x14ac:dyDescent="0.35">
      <c r="B16" t="s">
        <v>12</v>
      </c>
      <c r="C16" s="8">
        <v>87</v>
      </c>
      <c r="D16" s="183">
        <f>'Normalized Therms'!P16</f>
        <v>23337042.118500698</v>
      </c>
      <c r="E16" s="155">
        <f>'[64]Margin Exhibit'!$F$24</f>
        <v>1086501.2115640081</v>
      </c>
      <c r="F16" s="155">
        <f>'[64]Margin Exhibit'!$E$24</f>
        <v>6311269.6705273287</v>
      </c>
      <c r="G16" s="155">
        <f>'Schedule 106 Revenue'!F14</f>
        <v>-87280.54</v>
      </c>
      <c r="H16" s="155">
        <f>'Schedule 120 Revenue'!F14</f>
        <v>360090.55988846574</v>
      </c>
      <c r="I16" s="155">
        <f>'Schedule 129 Revenue'!G32</f>
        <v>10515.786654565174</v>
      </c>
      <c r="J16" s="155">
        <f>'Schedule 140 Revenue'!F14</f>
        <v>63710.124983506903</v>
      </c>
      <c r="K16" s="155">
        <f>SUM('Schedule 141 Revenue'!$G$91:$G$101)</f>
        <v>107717.15</v>
      </c>
      <c r="L16" s="155">
        <f>SUM('Schedule 141X Revenue'!$G$91:$G$101)</f>
        <v>-15133.51</v>
      </c>
      <c r="M16" s="155">
        <f>'Schedule 141Y Revenue'!F14</f>
        <v>-32205.118123530963</v>
      </c>
      <c r="N16" s="155"/>
      <c r="O16" s="155">
        <f>'Schedule 149 Revenue'!F14</f>
        <v>47140.825079371411</v>
      </c>
      <c r="P16" s="161">
        <f t="shared" si="0"/>
        <v>7852326.1605737153</v>
      </c>
      <c r="Q16" s="155">
        <f>'[63]Rate Design Int &amp; Trans'!$K$141</f>
        <v>366780.12999999989</v>
      </c>
      <c r="R16" s="224">
        <f t="shared" si="1"/>
        <v>4.6709742119678051E-2</v>
      </c>
    </row>
    <row r="17" spans="2:21" x14ac:dyDescent="0.35">
      <c r="B17" t="s">
        <v>32</v>
      </c>
      <c r="C17" s="8" t="s">
        <v>33</v>
      </c>
      <c r="D17" s="183">
        <f>'Normalized Therms'!P17</f>
        <v>36359.963605097219</v>
      </c>
      <c r="E17" s="155">
        <f>'[64]Margin Exhibit'!$F$16</f>
        <v>21683.969272602408</v>
      </c>
      <c r="F17" s="155">
        <f>'[64]Margin Exhibit'!$E$16</f>
        <v>25.451974523568055</v>
      </c>
      <c r="G17" s="208"/>
      <c r="H17" s="155"/>
      <c r="I17" s="155">
        <f>'Schedule 129 Revenue'!G11</f>
        <v>155.62064422981609</v>
      </c>
      <c r="J17" s="155">
        <f>'Schedule 140 Revenue'!F15</f>
        <v>919.17987993685767</v>
      </c>
      <c r="K17" s="155">
        <f>SUM('Schedule 141 Revenue'!$G$25:$G$26)</f>
        <v>927.83999999999992</v>
      </c>
      <c r="L17" s="155">
        <f>SUM('Schedule 141X Revenue'!$G$25:$G$26)</f>
        <v>-298.23</v>
      </c>
      <c r="M17" s="155">
        <f>'Schedule 141Y Revenue'!F15</f>
        <v>-426.50237308779043</v>
      </c>
      <c r="N17" s="155">
        <f>'Sch 142 Revenue (Decoupling)'!G20</f>
        <v>-359.24</v>
      </c>
      <c r="O17" s="155">
        <f>'Schedule 149 Revenue'!F15</f>
        <v>395.59640402345775</v>
      </c>
      <c r="P17" s="161">
        <f t="shared" si="0"/>
        <v>23023.685802228316</v>
      </c>
      <c r="Q17" s="155">
        <f>'[63]Rate Design C&amp;I'!$K$27</f>
        <v>4335.4199999999983</v>
      </c>
      <c r="R17" s="224">
        <f t="shared" si="1"/>
        <v>0.18830260442402322</v>
      </c>
    </row>
    <row r="18" spans="2:21" x14ac:dyDescent="0.35">
      <c r="B18" t="s">
        <v>34</v>
      </c>
      <c r="C18" t="s">
        <v>35</v>
      </c>
      <c r="D18" s="183">
        <f>'Normalized Therms'!P18</f>
        <v>20492334.449073855</v>
      </c>
      <c r="E18" s="155">
        <f>'[64]Margin Exhibit'!$F$18</f>
        <v>4121663.298224709</v>
      </c>
      <c r="F18" s="155">
        <f>'[64]Margin Exhibit'!$E$18</f>
        <v>14344.634114351697</v>
      </c>
      <c r="G18" s="208"/>
      <c r="H18" s="155"/>
      <c r="I18" s="155">
        <f>'Schedule 129 Revenue'!G14</f>
        <v>46107.752510416169</v>
      </c>
      <c r="J18" s="155">
        <f>'Schedule 140 Revenue'!F16</f>
        <v>183201.46997472027</v>
      </c>
      <c r="K18" s="155">
        <f>SUM('Schedule 141 Revenue'!$G$44:$G$51)</f>
        <v>175675.18</v>
      </c>
      <c r="L18" s="155">
        <f>SUM('Schedule 141X Revenue'!$G$44:$G$51)</f>
        <v>-56388.93</v>
      </c>
      <c r="M18" s="155">
        <f>'Schedule 141Y Revenue'!F16</f>
        <v>-95494.278532684169</v>
      </c>
      <c r="N18" s="155">
        <f>'Sch 142 Revenue (Decoupling)'!G36</f>
        <v>-23674.83</v>
      </c>
      <c r="O18" s="155">
        <f>'Schedule 149 Revenue'!F16</f>
        <v>127462.32027323937</v>
      </c>
      <c r="P18" s="161">
        <f>SUM(E18:O18)</f>
        <v>4492896.6165647525</v>
      </c>
      <c r="Q18" s="155">
        <f>'[63]Rate Design C&amp;I'!$K$79</f>
        <v>345393.63227352715</v>
      </c>
      <c r="R18" s="224">
        <f t="shared" si="1"/>
        <v>7.6875490746905611E-2</v>
      </c>
    </row>
    <row r="19" spans="2:21" x14ac:dyDescent="0.35">
      <c r="B19" t="s">
        <v>36</v>
      </c>
      <c r="C19" t="s">
        <v>37</v>
      </c>
      <c r="D19" s="183">
        <f>'Normalized Therms'!P19</f>
        <v>74773537.134971097</v>
      </c>
      <c r="E19" s="155">
        <f>'[64]Margin Exhibit'!$F$21</f>
        <v>6937069.4664573576</v>
      </c>
      <c r="F19" s="155">
        <f>'[64]Margin Exhibit'!$E$21</f>
        <v>52341.475994479762</v>
      </c>
      <c r="G19" s="208"/>
      <c r="H19" s="155"/>
      <c r="I19" s="155">
        <f>'Schedule 129 Revenue'!G38</f>
        <v>75620.592903934681</v>
      </c>
      <c r="J19" s="155">
        <f>'Schedule 140 Revenue'!F17</f>
        <v>377606.36253160401</v>
      </c>
      <c r="K19" s="155">
        <f>SUM('Schedule 141 Revenue'!$G$64:$G$70)</f>
        <v>298509.95</v>
      </c>
      <c r="L19" s="155">
        <f>SUM('Schedule 141X Revenue'!$G$64:$G$70)</f>
        <v>-95437.49</v>
      </c>
      <c r="M19" s="155">
        <f>'Schedule 141Y Revenue'!F17</f>
        <v>-191420.25506552603</v>
      </c>
      <c r="N19" s="155"/>
      <c r="O19" s="155">
        <f>'Schedule 149 Revenue'!F17</f>
        <v>247500.40791675434</v>
      </c>
      <c r="P19" s="161">
        <f t="shared" si="0"/>
        <v>7701790.5107386047</v>
      </c>
      <c r="Q19" s="155">
        <f>'[63]Rate Design Int &amp; Trans'!$K$42</f>
        <v>716705.91000000027</v>
      </c>
      <c r="R19" s="224">
        <f t="shared" si="1"/>
        <v>9.3057050694990651E-2</v>
      </c>
    </row>
    <row r="20" spans="2:21" x14ac:dyDescent="0.35">
      <c r="B20" t="s">
        <v>38</v>
      </c>
      <c r="C20" t="s">
        <v>39</v>
      </c>
      <c r="D20" s="183">
        <f>'Normalized Therms'!P20</f>
        <v>351288.14999999997</v>
      </c>
      <c r="E20" s="155">
        <f>'[64]Margin Exhibit'!$F$23</f>
        <v>70956.431430000011</v>
      </c>
      <c r="F20" s="155">
        <f>'[64]Margin Exhibit'!$E$23</f>
        <v>245.90170499999999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'[63]Rate Design Int &amp; Trans'!$K$99</f>
        <v>-776.07999999999993</v>
      </c>
      <c r="R20" s="224">
        <f t="shared" si="1"/>
        <v>-1.0134702093826138E-2</v>
      </c>
    </row>
    <row r="21" spans="2:21" x14ac:dyDescent="0.35">
      <c r="B21" t="s">
        <v>40</v>
      </c>
      <c r="C21" t="s">
        <v>41</v>
      </c>
      <c r="D21" s="183">
        <f>'Normalized Therms'!P21</f>
        <v>100441128.37470125</v>
      </c>
      <c r="E21" s="155">
        <f>'[64]Margin Exhibit'!$F$25</f>
        <v>3532189.3071032236</v>
      </c>
      <c r="F21" s="155">
        <f>'[64]Margin Exhibit'!$E$25</f>
        <v>70308.789862290869</v>
      </c>
      <c r="G21" s="155"/>
      <c r="H21" s="155"/>
      <c r="I21" s="155">
        <f>'Schedule 129 Revenue'!G47</f>
        <v>36834.86522637531</v>
      </c>
      <c r="J21" s="155">
        <f>'Schedule 140 Revenue'!F19</f>
        <v>274204.2804629344</v>
      </c>
      <c r="K21" s="155">
        <f>SUM('Schedule 141 Revenue'!$G$104:$G$114)</f>
        <v>152926.33000000002</v>
      </c>
      <c r="L21" s="155">
        <f>SUM('Schedule 141X Revenue'!$G$104:$G$114)</f>
        <v>-48636.41</v>
      </c>
      <c r="M21" s="155">
        <f>'Schedule 141Y Revenue'!F19</f>
        <v>-138608.7571570877</v>
      </c>
      <c r="N21" s="155"/>
      <c r="O21" s="155">
        <f>'Schedule 149 Revenue'!F19</f>
        <v>202891.07931689653</v>
      </c>
      <c r="P21" s="161">
        <f t="shared" si="0"/>
        <v>4082109.4848146331</v>
      </c>
      <c r="Q21" s="155">
        <f>'[63]Rate Design Int &amp; Trans'!$K$164</f>
        <v>1065989.42</v>
      </c>
      <c r="R21" s="224">
        <f t="shared" si="1"/>
        <v>0.26113690090024766</v>
      </c>
    </row>
    <row r="22" spans="2:21" x14ac:dyDescent="0.35">
      <c r="B22" t="s">
        <v>13</v>
      </c>
      <c r="D22" s="183">
        <f>'Normalized Therms'!P22</f>
        <v>37056427.854413897</v>
      </c>
      <c r="E22" s="155">
        <f>'[64]Margin Exhibit'!$F$26</f>
        <v>1718916.583166973</v>
      </c>
      <c r="F22" s="155"/>
      <c r="G22" s="155"/>
      <c r="H22" s="155"/>
      <c r="I22" s="155"/>
      <c r="J22" s="155">
        <f>'Schedule 140 Revenue'!F20</f>
        <v>127103.54754063966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-64478.184466680184</v>
      </c>
      <c r="N22" s="155"/>
      <c r="O22" s="155">
        <f>'Schedule 149 Revenue'!F20</f>
        <v>91529.37680040233</v>
      </c>
      <c r="P22" s="161">
        <f t="shared" si="0"/>
        <v>1896683.4197041513</v>
      </c>
      <c r="Q22" s="327">
        <f>'[63]Rate Design Int &amp; Trans'!$K$217</f>
        <v>38602.938156810822</v>
      </c>
      <c r="R22" s="224">
        <f t="shared" si="1"/>
        <v>2.035286319043807E-2</v>
      </c>
    </row>
    <row r="23" spans="2:21" x14ac:dyDescent="0.35">
      <c r="B23" t="s">
        <v>6</v>
      </c>
      <c r="D23" s="15">
        <f>SUM(D10:D22)</f>
        <v>1191304269.0992641</v>
      </c>
      <c r="E23" s="16">
        <f>SUM(E10:E22)</f>
        <v>444001886.38982123</v>
      </c>
      <c r="F23" s="16">
        <f t="shared" ref="F23:H23" si="2">SUM(F10:F22)</f>
        <v>306800038.06887847</v>
      </c>
      <c r="G23" s="16">
        <f t="shared" si="2"/>
        <v>-3677070.0900000003</v>
      </c>
      <c r="H23" s="16">
        <f t="shared" si="2"/>
        <v>17257421.656109452</v>
      </c>
      <c r="I23" s="16">
        <f>SUM(I10:I22)</f>
        <v>4630383.9260027641</v>
      </c>
      <c r="J23" s="16">
        <f>SUM(J10:J22)</f>
        <v>21307799.798764087</v>
      </c>
      <c r="K23" s="16">
        <f>SUM(K10:K22)</f>
        <v>27705929.76204247</v>
      </c>
      <c r="L23" s="16">
        <f>SUM(L10:L22)</f>
        <v>-6102680.9253796535</v>
      </c>
      <c r="M23" s="16">
        <f>SUM(M10:M22)</f>
        <v>-10103925.800094746</v>
      </c>
      <c r="N23" s="16">
        <f t="shared" ref="N23:P23" si="3">SUM(N10:N22)</f>
        <v>9358023</v>
      </c>
      <c r="O23" s="16">
        <f t="shared" si="3"/>
        <v>10597674.068947049</v>
      </c>
      <c r="P23" s="162">
        <f t="shared" si="3"/>
        <v>821775479.85509121</v>
      </c>
      <c r="Q23" s="16">
        <f>SUM(Q10:Q22)</f>
        <v>98325071.930460706</v>
      </c>
      <c r="R23" s="225">
        <f t="shared" si="1"/>
        <v>0.11964955677163668</v>
      </c>
      <c r="S23" s="12"/>
    </row>
    <row r="24" spans="2:21" s="24" customFormat="1" x14ac:dyDescent="0.3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6.5" x14ac:dyDescent="0.35">
      <c r="B25" s="17" t="s">
        <v>286</v>
      </c>
      <c r="C25" s="17"/>
      <c r="D25" s="207">
        <f>'12ME Dec18 Rentals'!$O$30</f>
        <v>351449</v>
      </c>
      <c r="E25" s="155">
        <f>'[64]Revenue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'[63]Rate Design Rental'!$J$29</f>
        <v>-443824.04999999987</v>
      </c>
      <c r="R25" s="224">
        <f>Q25/P25</f>
        <v>-7.8934663382783182E-2</v>
      </c>
      <c r="S25" s="27"/>
      <c r="T25" s="25"/>
      <c r="U25" s="28"/>
    </row>
    <row r="26" spans="2:21" s="24" customFormat="1" x14ac:dyDescent="0.35">
      <c r="B26" s="197" t="s">
        <v>6</v>
      </c>
      <c r="C26" s="197"/>
      <c r="D26" s="31"/>
      <c r="E26" s="30">
        <f>E23+E25</f>
        <v>449312267.07982123</v>
      </c>
      <c r="F26" s="30">
        <f t="shared" ref="F26:H26" si="4">F23+F25</f>
        <v>306800038.06887847</v>
      </c>
      <c r="G26" s="30">
        <f t="shared" si="4"/>
        <v>-3677070.0900000003</v>
      </c>
      <c r="H26" s="30">
        <f t="shared" si="4"/>
        <v>17257421.656109452</v>
      </c>
      <c r="I26" s="30">
        <f>I23+I25</f>
        <v>4630383.9260027641</v>
      </c>
      <c r="J26" s="30">
        <f>J23+J25</f>
        <v>21490553.278764088</v>
      </c>
      <c r="K26" s="30">
        <f>K23+K25</f>
        <v>27933316.812042471</v>
      </c>
      <c r="L26" s="30">
        <f>L23+L25</f>
        <v>-6175924.5553796533</v>
      </c>
      <c r="M26" s="30">
        <f>M23+M25</f>
        <v>-10128527.230094746</v>
      </c>
      <c r="N26" s="30">
        <f t="shared" ref="N26:Q26" si="5">N23+N25</f>
        <v>9358023</v>
      </c>
      <c r="O26" s="30">
        <f t="shared" si="5"/>
        <v>10597674.068947049</v>
      </c>
      <c r="P26" s="30">
        <f t="shared" si="5"/>
        <v>827398156.01509118</v>
      </c>
      <c r="Q26" s="30">
        <f t="shared" si="5"/>
        <v>97881247.880460709</v>
      </c>
      <c r="R26" s="225">
        <f>Q26/P26</f>
        <v>0.11830005562482233</v>
      </c>
      <c r="S26" s="27"/>
    </row>
    <row r="27" spans="2:21" x14ac:dyDescent="0.35">
      <c r="I27" s="12"/>
      <c r="L27" s="12"/>
      <c r="M27" s="12"/>
      <c r="N27" s="12"/>
      <c r="P27" s="12"/>
      <c r="R27" s="226"/>
    </row>
    <row r="28" spans="2:21" x14ac:dyDescent="0.35">
      <c r="D28" s="32"/>
      <c r="I28" s="12"/>
      <c r="M28" s="12"/>
      <c r="N28" s="12"/>
      <c r="P28" s="12"/>
      <c r="R28" s="226"/>
    </row>
    <row r="29" spans="2:21" s="24" customFormat="1" x14ac:dyDescent="0.35">
      <c r="B29" s="33" t="s">
        <v>42</v>
      </c>
      <c r="C29" s="33"/>
      <c r="Q29" s="34"/>
      <c r="R29" s="27"/>
    </row>
    <row r="30" spans="2:21" s="24" customFormat="1" x14ac:dyDescent="0.35">
      <c r="B30" s="197" t="s">
        <v>43</v>
      </c>
      <c r="C30" s="197"/>
      <c r="D30" s="252">
        <f>D10+D11</f>
        <v>609257701.15931809</v>
      </c>
      <c r="E30" s="35">
        <f>E10+E11</f>
        <v>314237754.38196468</v>
      </c>
      <c r="I30" s="35"/>
      <c r="M30" s="35"/>
      <c r="N30" s="35"/>
      <c r="P30" s="35">
        <f>P10+P11</f>
        <v>566052721.01490724</v>
      </c>
      <c r="Q30" s="12">
        <f>SUM(Q10:Q11)</f>
        <v>64992047.481294617</v>
      </c>
      <c r="R30" s="224">
        <f t="shared" ref="R30:R37" si="6">Q30/P30</f>
        <v>0.11481624426213653</v>
      </c>
      <c r="S30" s="36"/>
    </row>
    <row r="31" spans="2:21" s="24" customFormat="1" x14ac:dyDescent="0.35">
      <c r="B31" s="37" t="s">
        <v>44</v>
      </c>
      <c r="C31" s="37"/>
      <c r="D31" s="252">
        <f>D12+D17</f>
        <v>234176518.05324447</v>
      </c>
      <c r="E31" s="35">
        <f>E12+E17</f>
        <v>93373535.17081517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180505338.49333602</v>
      </c>
      <c r="Q31" s="12">
        <f>SUM(Q12,Q17)</f>
        <v>28967359.550000012</v>
      </c>
      <c r="R31" s="224">
        <f t="shared" si="6"/>
        <v>0.16047924007006276</v>
      </c>
    </row>
    <row r="32" spans="2:21" s="24" customFormat="1" x14ac:dyDescent="0.35">
      <c r="B32" s="197" t="s">
        <v>45</v>
      </c>
      <c r="C32" s="197"/>
      <c r="D32" s="252">
        <f t="shared" ref="D32" si="7">D13+D18</f>
        <v>86328991.912539333</v>
      </c>
      <c r="E32" s="35">
        <f>E13+E18</f>
        <v>19479056.632645205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42214666.87425936</v>
      </c>
      <c r="Q32" s="12">
        <f>SUM(Q13,Q18)</f>
        <v>2014127.9135020834</v>
      </c>
      <c r="R32" s="224">
        <f t="shared" si="6"/>
        <v>4.7711567155116166E-2</v>
      </c>
    </row>
    <row r="33" spans="2:18" s="24" customFormat="1" x14ac:dyDescent="0.35">
      <c r="B33" s="197" t="s">
        <v>46</v>
      </c>
      <c r="C33" s="197"/>
      <c r="D33" s="252">
        <f t="shared" ref="D33" si="8">D14+D19</f>
        <v>90957971.20362018</v>
      </c>
      <c r="E33" s="35">
        <f>E14+E19</f>
        <v>8511725.4707787875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14174125.858131481</v>
      </c>
      <c r="Q33" s="12">
        <f>SUM(Q14,Q19)</f>
        <v>880156.65750719164</v>
      </c>
      <c r="R33" s="224">
        <f t="shared" si="6"/>
        <v>6.209600975161788E-2</v>
      </c>
    </row>
    <row r="34" spans="2:18" s="24" customFormat="1" x14ac:dyDescent="0.35">
      <c r="B34" s="197" t="s">
        <v>47</v>
      </c>
      <c r="C34" s="197"/>
      <c r="D34" s="252">
        <f t="shared" ref="D34" si="9">D15+D20</f>
        <v>9748488.4229263533</v>
      </c>
      <c r="E34" s="35">
        <f>E15+E20</f>
        <v>2062207.6317832225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4997508.5493644169</v>
      </c>
      <c r="Q34" s="12">
        <f>SUM(Q15,Q20)</f>
        <v>7.8399999999837746</v>
      </c>
      <c r="R34" s="224">
        <f t="shared" si="6"/>
        <v>1.5687817084336686E-6</v>
      </c>
    </row>
    <row r="35" spans="2:18" s="24" customFormat="1" x14ac:dyDescent="0.35">
      <c r="B35" s="17" t="s">
        <v>48</v>
      </c>
      <c r="C35" s="17"/>
      <c r="D35" s="252">
        <f t="shared" ref="D35" si="10">D16+D21</f>
        <v>123778170.49320194</v>
      </c>
      <c r="E35" s="35">
        <f>E16+E21</f>
        <v>4618690.5186672322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11934435.645388348</v>
      </c>
      <c r="Q35" s="12">
        <f>SUM(Q16,Q21)</f>
        <v>1432769.5499999998</v>
      </c>
      <c r="R35" s="224">
        <f t="shared" si="6"/>
        <v>0.12005339779544953</v>
      </c>
    </row>
    <row r="36" spans="2:18" s="24" customFormat="1" x14ac:dyDescent="0.35">
      <c r="B36" s="253" t="s">
        <v>13</v>
      </c>
      <c r="C36" s="17"/>
      <c r="D36" s="252">
        <f>D22</f>
        <v>37056427.854413897</v>
      </c>
      <c r="E36" s="35">
        <f>E22</f>
        <v>1718916.583166973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1896683.4197041513</v>
      </c>
      <c r="Q36" s="12">
        <f>Q22</f>
        <v>38602.938156810822</v>
      </c>
      <c r="R36" s="224">
        <f t="shared" si="6"/>
        <v>2.035286319043807E-2</v>
      </c>
    </row>
    <row r="37" spans="2:18" s="24" customFormat="1" x14ac:dyDescent="0.35">
      <c r="B37" s="40" t="s">
        <v>14</v>
      </c>
      <c r="C37" s="40"/>
      <c r="D37" s="254">
        <f>SUM(D30:D36)</f>
        <v>1191304269.0992644</v>
      </c>
      <c r="E37" s="41">
        <f>SUM(E30:E36)</f>
        <v>444001886.38982123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821775479.85509121</v>
      </c>
      <c r="Q37" s="41">
        <f>SUM(Q30:Q36)</f>
        <v>98325071.930460721</v>
      </c>
      <c r="R37" s="225">
        <f t="shared" si="6"/>
        <v>0.11964955677163669</v>
      </c>
    </row>
    <row r="38" spans="2:18" s="24" customFormat="1" x14ac:dyDescent="0.35">
      <c r="B38" s="17"/>
      <c r="C38" s="17"/>
      <c r="D38" s="252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35">
      <c r="B39" s="17" t="s">
        <v>267</v>
      </c>
      <c r="C39" s="17"/>
      <c r="D39" s="252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-443824.04999999987</v>
      </c>
      <c r="R39" s="224">
        <f>Q39/P39</f>
        <v>-7.8934663382783182E-2</v>
      </c>
    </row>
    <row r="40" spans="2:18" s="31" customFormat="1" x14ac:dyDescent="0.35">
      <c r="B40" s="197" t="s">
        <v>6</v>
      </c>
      <c r="C40" s="197"/>
      <c r="D40" s="254">
        <f>D39+D37</f>
        <v>1191304269.0992644</v>
      </c>
      <c r="E40" s="41">
        <f>E39+E37</f>
        <v>449312267.07982123</v>
      </c>
      <c r="I40" s="195"/>
      <c r="M40" s="195"/>
      <c r="N40" s="195"/>
      <c r="P40" s="41">
        <f>P39+P37</f>
        <v>827398156.01509118</v>
      </c>
      <c r="Q40" s="41">
        <f>Q39+Q37</f>
        <v>97881247.880460724</v>
      </c>
      <c r="R40" s="225">
        <f>Q40/P40</f>
        <v>0.11830005562482235</v>
      </c>
    </row>
    <row r="41" spans="2:18" s="24" customFormat="1" x14ac:dyDescent="0.3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6.5" x14ac:dyDescent="0.35">
      <c r="B42" t="s">
        <v>357</v>
      </c>
      <c r="E42" s="165"/>
      <c r="I42" s="32"/>
      <c r="M42" s="32"/>
      <c r="N42" s="32"/>
      <c r="P42" s="32"/>
    </row>
    <row r="43" spans="2:18" ht="16.5" x14ac:dyDescent="0.35">
      <c r="B43" t="s">
        <v>317</v>
      </c>
      <c r="I43" s="32"/>
      <c r="M43" s="32"/>
      <c r="N43" s="32"/>
      <c r="P43" s="32"/>
    </row>
    <row r="44" spans="2:18" ht="16.5" x14ac:dyDescent="0.35">
      <c r="B44" t="s">
        <v>319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L40" sqref="L40"/>
    </sheetView>
  </sheetViews>
  <sheetFormatPr defaultRowHeight="14.5" x14ac:dyDescent="0.35"/>
  <cols>
    <col min="1" max="1" width="2.81640625" customWidth="1"/>
    <col min="2" max="2" width="38.7265625" customWidth="1"/>
    <col min="3" max="3" width="9.1796875" bestFit="1" customWidth="1"/>
    <col min="4" max="4" width="16.54296875" bestFit="1" customWidth="1"/>
    <col min="5" max="6" width="14.54296875" bestFit="1" customWidth="1"/>
    <col min="7" max="7" width="14" bestFit="1" customWidth="1"/>
    <col min="8" max="8" width="13.26953125" bestFit="1" customWidth="1"/>
    <col min="9" max="9" width="12.1796875" customWidth="1"/>
    <col min="10" max="11" width="13.26953125" bestFit="1" customWidth="1"/>
    <col min="12" max="12" width="12.81640625" bestFit="1" customWidth="1"/>
    <col min="13" max="13" width="14" bestFit="1" customWidth="1"/>
    <col min="14" max="15" width="13.26953125" bestFit="1" customWidth="1"/>
    <col min="16" max="16" width="15.7265625" bestFit="1" customWidth="1"/>
    <col min="17" max="17" width="14.54296875" bestFit="1" customWidth="1"/>
    <col min="18" max="18" width="7.81640625" customWidth="1"/>
    <col min="19" max="19" width="9.26953125" customWidth="1"/>
  </cols>
  <sheetData>
    <row r="1" spans="2:19" x14ac:dyDescent="0.35">
      <c r="B1" s="333" t="s">
        <v>0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</row>
    <row r="2" spans="2:19" x14ac:dyDescent="0.35">
      <c r="B2" s="333" t="s">
        <v>316</v>
      </c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</row>
    <row r="3" spans="2:19" x14ac:dyDescent="0.35">
      <c r="B3" s="334" t="s">
        <v>320</v>
      </c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</row>
    <row r="4" spans="2:19" x14ac:dyDescent="0.35">
      <c r="B4" s="334" t="s">
        <v>339</v>
      </c>
      <c r="C4" s="334"/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</row>
    <row r="5" spans="2:19" x14ac:dyDescent="0.35">
      <c r="K5" s="325"/>
      <c r="O5" s="325"/>
    </row>
    <row r="6" spans="2:19" x14ac:dyDescent="0.35">
      <c r="B6" s="5"/>
      <c r="C6" s="5"/>
      <c r="D6" s="5" t="s">
        <v>314</v>
      </c>
      <c r="E6" s="325" t="s">
        <v>314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326</v>
      </c>
      <c r="Q6" s="230" t="s">
        <v>335</v>
      </c>
      <c r="R6" s="5"/>
    </row>
    <row r="7" spans="2:19" x14ac:dyDescent="0.35">
      <c r="B7" s="5"/>
      <c r="C7" s="5" t="s">
        <v>17</v>
      </c>
      <c r="D7" s="5" t="s">
        <v>3</v>
      </c>
      <c r="E7" s="325" t="s">
        <v>281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274</v>
      </c>
      <c r="L7" s="5" t="s">
        <v>278</v>
      </c>
      <c r="M7" s="5" t="s">
        <v>294</v>
      </c>
      <c r="N7" s="5" t="s">
        <v>272</v>
      </c>
      <c r="O7" s="5" t="s">
        <v>110</v>
      </c>
      <c r="P7" s="5" t="s">
        <v>327</v>
      </c>
      <c r="Q7" s="5" t="s">
        <v>2</v>
      </c>
      <c r="R7" s="5" t="s">
        <v>20</v>
      </c>
    </row>
    <row r="8" spans="2:19" ht="16.5" x14ac:dyDescent="0.35">
      <c r="B8" s="326" t="s">
        <v>4</v>
      </c>
      <c r="C8" s="326" t="s">
        <v>21</v>
      </c>
      <c r="D8" s="249" t="s">
        <v>315</v>
      </c>
      <c r="E8" s="326" t="s">
        <v>283</v>
      </c>
      <c r="F8" s="326" t="s">
        <v>2</v>
      </c>
      <c r="G8" s="326" t="s">
        <v>2</v>
      </c>
      <c r="H8" s="326" t="s">
        <v>2</v>
      </c>
      <c r="I8" s="326" t="s">
        <v>2</v>
      </c>
      <c r="J8" s="326" t="s">
        <v>2</v>
      </c>
      <c r="K8" s="326" t="s">
        <v>2</v>
      </c>
      <c r="L8" s="326" t="s">
        <v>2</v>
      </c>
      <c r="M8" s="326" t="s">
        <v>2</v>
      </c>
      <c r="N8" s="326" t="s">
        <v>2</v>
      </c>
      <c r="O8" s="326" t="s">
        <v>2</v>
      </c>
      <c r="P8" s="326" t="s">
        <v>328</v>
      </c>
      <c r="Q8" s="326" t="s">
        <v>24</v>
      </c>
      <c r="R8" s="326" t="s">
        <v>24</v>
      </c>
    </row>
    <row r="9" spans="2:19" x14ac:dyDescent="0.35">
      <c r="B9" s="5" t="s">
        <v>25</v>
      </c>
      <c r="C9" s="5" t="s">
        <v>26</v>
      </c>
      <c r="D9" s="250" t="s">
        <v>27</v>
      </c>
      <c r="E9" s="7" t="s">
        <v>28</v>
      </c>
      <c r="F9" s="5" t="s">
        <v>260</v>
      </c>
      <c r="G9" s="5" t="s">
        <v>285</v>
      </c>
      <c r="H9" s="5" t="s">
        <v>262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318</v>
      </c>
      <c r="S9" s="7"/>
    </row>
    <row r="10" spans="2:19" x14ac:dyDescent="0.35">
      <c r="B10" t="s">
        <v>7</v>
      </c>
      <c r="C10" s="8" t="s">
        <v>30</v>
      </c>
      <c r="D10" s="183">
        <f>SUM('Normalized Therms'!P9,'Normalized Therms'!P11)</f>
        <v>609248315.15931809</v>
      </c>
      <c r="E10" s="155">
        <f>SUM('[64]Margin Exhibit'!$F$13:$F$14)</f>
        <v>314232967.52196467</v>
      </c>
      <c r="F10" s="155">
        <f>SUM('[64]Margin Exhibit'!$E$13:$E$14)</f>
        <v>199011335.5518544</v>
      </c>
      <c r="G10" s="155">
        <f>'Schedule 106 Revenue'!F8</f>
        <v>-2345605.69</v>
      </c>
      <c r="H10" s="155">
        <f>'Schedule 120 Revenue'!F8</f>
        <v>11057856.920141622</v>
      </c>
      <c r="I10" s="155">
        <f>'Schedule 129 Revenue'!G8</f>
        <v>3271663.4524055379</v>
      </c>
      <c r="J10" s="155">
        <f>'Schedule 140 Revenue'!F8</f>
        <v>13616699.843810759</v>
      </c>
      <c r="K10" s="155">
        <f>SUM('Schedule 141 Revenue'!$G$9:$G$14)</f>
        <v>19233241.550000001</v>
      </c>
      <c r="L10" s="155">
        <f>SUM('Schedule 141X Revenue'!$G$9:$G$14)</f>
        <v>-4328500.88</v>
      </c>
      <c r="M10" s="155">
        <f>'Schedule 141Y Revenue'!F8</f>
        <v>-6445847.1743855858</v>
      </c>
      <c r="N10" s="155">
        <f>'Sch 142 Revenue (Decoupling)'!G10</f>
        <v>11910804.560000001</v>
      </c>
      <c r="O10" s="155">
        <f>'Schedule 149 Revenue'!F8</f>
        <v>6829673.6129359556</v>
      </c>
      <c r="P10" s="161">
        <f>SUM(E10:O10)</f>
        <v>566044289.26872718</v>
      </c>
      <c r="Q10" s="155">
        <f>SUM('Schedule 141 Revenue'!$H$9:$H$14)</f>
        <v>-19233241.542500384</v>
      </c>
      <c r="R10" s="224">
        <f>Q10/P10</f>
        <v>-3.3978333333859467E-2</v>
      </c>
    </row>
    <row r="11" spans="2:19" x14ac:dyDescent="0.35">
      <c r="B11" t="s">
        <v>31</v>
      </c>
      <c r="C11" s="8">
        <v>16</v>
      </c>
      <c r="D11" s="183">
        <f>'Normalized Therms'!P10</f>
        <v>9386</v>
      </c>
      <c r="E11" s="155">
        <f>'[64]Margin Exhibit'!$F$12</f>
        <v>4786.8599999999988</v>
      </c>
      <c r="F11" s="155">
        <f>'[64]Margin Exhibit'!$E$12</f>
        <v>3067.7400000000002</v>
      </c>
      <c r="G11" s="155">
        <f>'Schedule 106 Revenue'!F9</f>
        <v>-36.14</v>
      </c>
      <c r="H11" s="155">
        <f>'Schedule 120 Revenue'!F9</f>
        <v>170.35589999999999</v>
      </c>
      <c r="I11" s="155"/>
      <c r="J11" s="155">
        <f>'Schedule 140 Revenue'!F9</f>
        <v>209.77710000000002</v>
      </c>
      <c r="K11" s="155">
        <f>'Schedule 141 Revenue'!$G$17</f>
        <v>291.45999999999998</v>
      </c>
      <c r="L11" s="155">
        <f>'Schedule 141X Revenue'!$G$17</f>
        <v>-64.22</v>
      </c>
      <c r="M11" s="155">
        <f>'Schedule 141Y Revenue'!F9</f>
        <v>-99.303880000000007</v>
      </c>
      <c r="N11" s="155"/>
      <c r="O11" s="155">
        <f>'Schedule 149 Revenue'!F9</f>
        <v>105.21705999999999</v>
      </c>
      <c r="P11" s="161">
        <f t="shared" ref="P11:P22" si="0">SUM(E11:O11)</f>
        <v>8431.7461799999983</v>
      </c>
      <c r="Q11" s="155">
        <f>'Schedule 141 Revenue'!$H$17</f>
        <v>-291.45999999999992</v>
      </c>
      <c r="R11" s="224">
        <f t="shared" ref="R11:R23" si="1">Q11/P11</f>
        <v>-3.4566979813901368E-2</v>
      </c>
    </row>
    <row r="12" spans="2:19" x14ac:dyDescent="0.35">
      <c r="B12" t="s">
        <v>8</v>
      </c>
      <c r="C12" s="8">
        <v>31</v>
      </c>
      <c r="D12" s="183">
        <f>'Normalized Therms'!P12</f>
        <v>234140158.08963937</v>
      </c>
      <c r="E12" s="155">
        <f>'[64]Margin Exhibit'!$F$15</f>
        <v>93351851.201542571</v>
      </c>
      <c r="F12" s="155">
        <f>'[64]Margin Exhibit'!$E$15</f>
        <v>74627492.587910756</v>
      </c>
      <c r="G12" s="155">
        <f>'Schedule 106 Revenue'!F10</f>
        <v>-899098.21</v>
      </c>
      <c r="H12" s="155">
        <f>'Schedule 120 Revenue'!F10</f>
        <v>4249643.8693269547</v>
      </c>
      <c r="I12" s="155">
        <f>'Schedule 129 Revenue'!G10</f>
        <v>1002119.8766236565</v>
      </c>
      <c r="J12" s="155">
        <f>'Schedule 140 Revenue'!F10</f>
        <v>5919063.196506083</v>
      </c>
      <c r="K12" s="155">
        <f>SUM('Schedule 141 Revenue'!$G$20:$G$22)</f>
        <v>6148767.6599999992</v>
      </c>
      <c r="L12" s="155">
        <f>SUM('Schedule 141X Revenue'!$G$20:$G$22)</f>
        <v>-1283448.5900000001</v>
      </c>
      <c r="M12" s="155">
        <f>'Schedule 141Y Revenue'!F10</f>
        <v>-2746464.0543914698</v>
      </c>
      <c r="N12" s="155">
        <f>'Sch 142 Revenue (Decoupling)'!G15</f>
        <v>-2435057.65</v>
      </c>
      <c r="O12" s="155">
        <f>'Schedule 149 Revenue'!F10</f>
        <v>2547444.9200152764</v>
      </c>
      <c r="P12" s="161">
        <f t="shared" si="0"/>
        <v>180482314.8075338</v>
      </c>
      <c r="Q12" s="155">
        <f>SUM('Schedule 141 Revenue'!$H$20:$H$22)</f>
        <v>-6148767.6566600865</v>
      </c>
      <c r="R12" s="224">
        <f t="shared" si="1"/>
        <v>-3.4068532771297441E-2</v>
      </c>
    </row>
    <row r="13" spans="2:19" x14ac:dyDescent="0.35">
      <c r="B13" t="s">
        <v>9</v>
      </c>
      <c r="C13" s="8">
        <v>41</v>
      </c>
      <c r="D13" s="183">
        <f>'Normalized Therms'!P13</f>
        <v>65836657.463465482</v>
      </c>
      <c r="E13" s="155">
        <f>'[64]Margin Exhibit'!$F$17</f>
        <v>15357393.334420495</v>
      </c>
      <c r="F13" s="155">
        <f>'[64]Margin Exhibit'!$E$17</f>
        <v>19641243.467653014</v>
      </c>
      <c r="G13" s="155">
        <f>'Schedule 106 Revenue'!F11</f>
        <v>-248862.57</v>
      </c>
      <c r="H13" s="155">
        <f>'Schedule 120 Revenue'!F11</f>
        <v>1194935.3329618985</v>
      </c>
      <c r="I13" s="155">
        <f>'Schedule 129 Revenue'!G13</f>
        <v>148132.47929279733</v>
      </c>
      <c r="J13" s="155">
        <f>'Schedule 140 Revenue'!F11</f>
        <v>588579.71772338136</v>
      </c>
      <c r="K13" s="155">
        <f>SUM('Schedule 141 Revenue'!$G$32:$G$41)</f>
        <v>1234386.9100000001</v>
      </c>
      <c r="L13" s="155">
        <f>SUM('Schedule 141X Revenue'!$G$32:$G$41)</f>
        <v>-213016.37</v>
      </c>
      <c r="M13" s="155">
        <f>'Schedule 141Y Revenue'!F11</f>
        <v>-306798.82377974916</v>
      </c>
      <c r="N13" s="155">
        <f>'Sch 142 Revenue (Decoupling)'!G28</f>
        <v>-83727.23</v>
      </c>
      <c r="O13" s="155">
        <f>'Schedule 149 Revenue'!F11</f>
        <v>409504.00942275528</v>
      </c>
      <c r="P13" s="161">
        <f t="shared" si="0"/>
        <v>37721770.257694609</v>
      </c>
      <c r="Q13" s="155">
        <f>SUM('Schedule 141 Revenue'!$H$32:$H$41)</f>
        <v>-1234386.9089443744</v>
      </c>
      <c r="R13" s="224">
        <f t="shared" si="1"/>
        <v>-3.2723461823549495E-2</v>
      </c>
    </row>
    <row r="14" spans="2:19" x14ac:dyDescent="0.35">
      <c r="B14" t="s">
        <v>10</v>
      </c>
      <c r="C14" s="8">
        <v>85</v>
      </c>
      <c r="D14" s="183">
        <f>'Normalized Therms'!P14</f>
        <v>16184434.068649085</v>
      </c>
      <c r="E14" s="155">
        <f>'[64]Margin Exhibit'!$F$20</f>
        <v>1574656.0043214299</v>
      </c>
      <c r="F14" s="155">
        <f>'[64]Margin Exhibit'!$E$20</f>
        <v>4463767.6376989819</v>
      </c>
      <c r="G14" s="155">
        <f>'Schedule 106 Revenue'!F12</f>
        <v>-60853.47</v>
      </c>
      <c r="H14" s="155">
        <f>'Schedule 120 Revenue'!F12</f>
        <v>249725.81767925539</v>
      </c>
      <c r="I14" s="155">
        <f>'Schedule 129 Revenue'!G20</f>
        <v>17884.310095044017</v>
      </c>
      <c r="J14" s="155">
        <f>'Schedule 140 Revenue'!F12</f>
        <v>81731.39204667788</v>
      </c>
      <c r="K14" s="155">
        <f>SUM('Schedule 141 Revenue'!$G$54:$G$61)</f>
        <v>154970.82999999999</v>
      </c>
      <c r="L14" s="155">
        <f>SUM('Schedule 141X Revenue'!$G$54:$G$61)</f>
        <v>-21685.5</v>
      </c>
      <c r="M14" s="155">
        <f>'Schedule 141Y Revenue'!F12</f>
        <v>-41432.151215741658</v>
      </c>
      <c r="N14" s="155"/>
      <c r="O14" s="155">
        <f>'Schedule 149 Revenue'!F12</f>
        <v>53570.476767228472</v>
      </c>
      <c r="P14" s="161">
        <f t="shared" si="0"/>
        <v>6472335.3473928766</v>
      </c>
      <c r="Q14" s="155">
        <f>SUM('Schedule 141 Revenue'!$H$54:$H$61)</f>
        <v>-154970.82254109214</v>
      </c>
      <c r="R14" s="224">
        <f t="shared" si="1"/>
        <v>-2.394357124952062E-2</v>
      </c>
    </row>
    <row r="15" spans="2:19" x14ac:dyDescent="0.35">
      <c r="B15" t="s">
        <v>11</v>
      </c>
      <c r="C15" s="8">
        <v>86</v>
      </c>
      <c r="D15" s="183">
        <f>'Normalized Therms'!P15</f>
        <v>9397200.2729263529</v>
      </c>
      <c r="E15" s="155">
        <f>'[64]Margin Exhibit'!$F$22</f>
        <v>1991251.2003532224</v>
      </c>
      <c r="F15" s="155">
        <f>'[64]Margin Exhibit'!$E$22</f>
        <v>2604595.1595833455</v>
      </c>
      <c r="G15" s="155">
        <f>'Schedule 106 Revenue'!F13</f>
        <v>-35333.47</v>
      </c>
      <c r="H15" s="155">
        <f>'Schedule 120 Revenue'!F13</f>
        <v>144998.80021125361</v>
      </c>
      <c r="I15" s="155">
        <f>'Schedule 129 Revenue'!G22</f>
        <v>20579.868597708715</v>
      </c>
      <c r="J15" s="155">
        <f>'Schedule 140 Revenue'!F13</f>
        <v>72076.526093345121</v>
      </c>
      <c r="K15" s="155">
        <f>SUM('Schedule 141 Revenue'!$G$73:$G$79)</f>
        <v>159857.76</v>
      </c>
      <c r="L15" s="155">
        <f>SUM('Schedule 141X Revenue'!$G$73:$G$79)</f>
        <v>-27322.34</v>
      </c>
      <c r="M15" s="155">
        <f>'Schedule 141Y Revenue'!F13</f>
        <v>-39186.325138102889</v>
      </c>
      <c r="N15" s="155">
        <f>'Sch 142 Revenue (Decoupling)'!G46</f>
        <v>-9583.51</v>
      </c>
      <c r="O15" s="155">
        <f>'Schedule 149 Revenue'!F13</f>
        <v>38998.381132644368</v>
      </c>
      <c r="P15" s="161">
        <f t="shared" si="0"/>
        <v>4920932.0508334171</v>
      </c>
      <c r="Q15" s="155">
        <f>SUM('Schedule 141 Revenue'!$H$73:$H$79)</f>
        <v>-159857.77006112447</v>
      </c>
      <c r="R15" s="224">
        <f t="shared" si="1"/>
        <v>-3.2485262631100686E-2</v>
      </c>
    </row>
    <row r="16" spans="2:19" x14ac:dyDescent="0.35">
      <c r="B16" t="s">
        <v>12</v>
      </c>
      <c r="C16" s="8">
        <v>87</v>
      </c>
      <c r="D16" s="183">
        <f>'Normalized Therms'!P16</f>
        <v>23337042.118500698</v>
      </c>
      <c r="E16" s="155">
        <f>'[64]Margin Exhibit'!$F$24</f>
        <v>1086501.2115640081</v>
      </c>
      <c r="F16" s="155">
        <f>'[64]Margin Exhibit'!$E$24</f>
        <v>6311269.6705273287</v>
      </c>
      <c r="G16" s="155">
        <f>'Schedule 106 Revenue'!F14</f>
        <v>-87280.54</v>
      </c>
      <c r="H16" s="155">
        <f>'Schedule 120 Revenue'!F14</f>
        <v>360090.55988846574</v>
      </c>
      <c r="I16" s="155">
        <f>'Schedule 129 Revenue'!G32</f>
        <v>10515.786654565174</v>
      </c>
      <c r="J16" s="155">
        <f>'Schedule 140 Revenue'!F14</f>
        <v>63710.124983506903</v>
      </c>
      <c r="K16" s="155">
        <f>SUM('Schedule 141 Revenue'!$G$91:$G$101)</f>
        <v>107717.15</v>
      </c>
      <c r="L16" s="155">
        <f>SUM('Schedule 141X Revenue'!$G$91:$G$101)</f>
        <v>-15133.51</v>
      </c>
      <c r="M16" s="155">
        <f>'Schedule 141Y Revenue'!F14</f>
        <v>-32205.118123530963</v>
      </c>
      <c r="N16" s="155"/>
      <c r="O16" s="155">
        <f>'Schedule 149 Revenue'!F14</f>
        <v>47140.825079371411</v>
      </c>
      <c r="P16" s="161">
        <f t="shared" si="0"/>
        <v>7852326.1605737153</v>
      </c>
      <c r="Q16" s="155">
        <f>SUM('Schedule 141 Revenue'!$H$91:$H$101)</f>
        <v>-107717.1534900488</v>
      </c>
      <c r="R16" s="224">
        <f t="shared" si="1"/>
        <v>-1.3717865418134727E-2</v>
      </c>
    </row>
    <row r="17" spans="2:21" x14ac:dyDescent="0.35">
      <c r="B17" t="s">
        <v>32</v>
      </c>
      <c r="C17" s="8" t="s">
        <v>33</v>
      </c>
      <c r="D17" s="183">
        <f>'Normalized Therms'!P17</f>
        <v>36359.963605097219</v>
      </c>
      <c r="E17" s="155">
        <f>'[64]Margin Exhibit'!$F$16</f>
        <v>21683.969272602408</v>
      </c>
      <c r="F17" s="155">
        <f>'[64]Margin Exhibit'!$E$16</f>
        <v>25.451974523568055</v>
      </c>
      <c r="G17" s="208"/>
      <c r="H17" s="155"/>
      <c r="I17" s="155">
        <f>'Schedule 129 Revenue'!G11</f>
        <v>155.62064422981609</v>
      </c>
      <c r="J17" s="155">
        <f>'Schedule 140 Revenue'!F15</f>
        <v>919.17987993685767</v>
      </c>
      <c r="K17" s="155">
        <f>SUM('Schedule 141 Revenue'!$G$25:$G$26)</f>
        <v>927.83999999999992</v>
      </c>
      <c r="L17" s="155">
        <f>SUM('Schedule 141X Revenue'!$G$25:$G$26)</f>
        <v>-298.23</v>
      </c>
      <c r="M17" s="155">
        <f>'Schedule 141Y Revenue'!F15</f>
        <v>-426.50237308779043</v>
      </c>
      <c r="N17" s="155">
        <f>'Sch 142 Revenue (Decoupling)'!G20</f>
        <v>-359.24</v>
      </c>
      <c r="O17" s="155">
        <f>'Schedule 149 Revenue'!F15</f>
        <v>395.59640402345775</v>
      </c>
      <c r="P17" s="161">
        <f t="shared" si="0"/>
        <v>23023.685802228316</v>
      </c>
      <c r="Q17" s="155">
        <f>SUM('Schedule 141 Revenue'!$H$25:$H$26)</f>
        <v>-927.8391410602776</v>
      </c>
      <c r="R17" s="224">
        <f t="shared" si="1"/>
        <v>-4.0299331263914225E-2</v>
      </c>
    </row>
    <row r="18" spans="2:21" x14ac:dyDescent="0.35">
      <c r="B18" t="s">
        <v>34</v>
      </c>
      <c r="C18" t="s">
        <v>35</v>
      </c>
      <c r="D18" s="183">
        <f>'Normalized Therms'!P18</f>
        <v>20492334.449073855</v>
      </c>
      <c r="E18" s="155">
        <f>'[64]Margin Exhibit'!$F$18</f>
        <v>4121663.298224709</v>
      </c>
      <c r="F18" s="155">
        <f>'[64]Margin Exhibit'!$E$18</f>
        <v>14344.634114351697</v>
      </c>
      <c r="G18" s="208"/>
      <c r="H18" s="155"/>
      <c r="I18" s="155">
        <f>'Schedule 129 Revenue'!G14</f>
        <v>46107.752510416169</v>
      </c>
      <c r="J18" s="155">
        <f>'Schedule 140 Revenue'!F16</f>
        <v>183201.46997472027</v>
      </c>
      <c r="K18" s="155">
        <f>SUM('Schedule 141 Revenue'!$G$44:$G$51)</f>
        <v>175675.18</v>
      </c>
      <c r="L18" s="155">
        <f>SUM('Schedule 141X Revenue'!$G$44:$G$51)</f>
        <v>-56388.93</v>
      </c>
      <c r="M18" s="155">
        <f>'Schedule 141Y Revenue'!F16</f>
        <v>-95494.278532684169</v>
      </c>
      <c r="N18" s="155">
        <f>'Sch 142 Revenue (Decoupling)'!G36</f>
        <v>-23674.83</v>
      </c>
      <c r="O18" s="155">
        <f>'Schedule 149 Revenue'!F16</f>
        <v>127462.32027323937</v>
      </c>
      <c r="P18" s="161">
        <f>SUM(E18:O18)</f>
        <v>4492896.6165647525</v>
      </c>
      <c r="Q18" s="155">
        <f>SUM('Schedule 141 Revenue'!$H$44:$H$51)</f>
        <v>-175675.17262597135</v>
      </c>
      <c r="R18" s="224">
        <f t="shared" si="1"/>
        <v>-3.9100648783744273E-2</v>
      </c>
    </row>
    <row r="19" spans="2:21" x14ac:dyDescent="0.35">
      <c r="B19" t="s">
        <v>36</v>
      </c>
      <c r="C19" t="s">
        <v>37</v>
      </c>
      <c r="D19" s="183">
        <f>'Normalized Therms'!P19</f>
        <v>74773537.134971097</v>
      </c>
      <c r="E19" s="155">
        <f>'[64]Margin Exhibit'!$F$21</f>
        <v>6937069.4664573576</v>
      </c>
      <c r="F19" s="155">
        <f>'[64]Margin Exhibit'!$E$21</f>
        <v>52341.475994479762</v>
      </c>
      <c r="G19" s="208"/>
      <c r="H19" s="155"/>
      <c r="I19" s="155">
        <f>'Schedule 129 Revenue'!G38</f>
        <v>75620.592903934681</v>
      </c>
      <c r="J19" s="155">
        <f>'Schedule 140 Revenue'!F17</f>
        <v>377606.36253160401</v>
      </c>
      <c r="K19" s="155">
        <f>SUM('Schedule 141 Revenue'!$G$64:$G$70)</f>
        <v>298509.95</v>
      </c>
      <c r="L19" s="155">
        <f>SUM('Schedule 141X Revenue'!$G$64:$G$70)</f>
        <v>-95437.49</v>
      </c>
      <c r="M19" s="155">
        <f>'Schedule 141Y Revenue'!F17</f>
        <v>-191420.25506552603</v>
      </c>
      <c r="N19" s="155"/>
      <c r="O19" s="155">
        <f>'Schedule 149 Revenue'!F17</f>
        <v>247500.40791675434</v>
      </c>
      <c r="P19" s="161">
        <f t="shared" si="0"/>
        <v>7701790.5107386047</v>
      </c>
      <c r="Q19" s="155">
        <f>SUM('Schedule 141 Revenue'!$H$64:$H$70)</f>
        <v>-298509.94864672702</v>
      </c>
      <c r="R19" s="224">
        <f t="shared" si="1"/>
        <v>-3.8758513131526319E-2</v>
      </c>
    </row>
    <row r="20" spans="2:21" x14ac:dyDescent="0.35">
      <c r="B20" t="s">
        <v>38</v>
      </c>
      <c r="C20" t="s">
        <v>39</v>
      </c>
      <c r="D20" s="183">
        <f>'Normalized Therms'!P20</f>
        <v>351288.14999999997</v>
      </c>
      <c r="E20" s="155">
        <f>'[64]Margin Exhibit'!$F$23</f>
        <v>70956.431430000011</v>
      </c>
      <c r="F20" s="155">
        <f>'[64]Margin Exhibit'!$E$23</f>
        <v>245.90170499999999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SUM('Schedule 141 Revenue'!$H$82:$H$88)</f>
        <v>-3382.4162797638301</v>
      </c>
      <c r="R20" s="224">
        <f t="shared" si="1"/>
        <v>-4.4170422318207024E-2</v>
      </c>
    </row>
    <row r="21" spans="2:21" x14ac:dyDescent="0.35">
      <c r="B21" t="s">
        <v>40</v>
      </c>
      <c r="C21" t="s">
        <v>41</v>
      </c>
      <c r="D21" s="183">
        <f>'Normalized Therms'!P21</f>
        <v>100441128.37470125</v>
      </c>
      <c r="E21" s="155">
        <f>'[64]Margin Exhibit'!$F$25</f>
        <v>3532189.3071032236</v>
      </c>
      <c r="F21" s="155">
        <f>'[64]Margin Exhibit'!$E$25</f>
        <v>70308.789862290869</v>
      </c>
      <c r="G21" s="155"/>
      <c r="H21" s="155"/>
      <c r="I21" s="155">
        <f>'Schedule 129 Revenue'!G47</f>
        <v>36834.86522637531</v>
      </c>
      <c r="J21" s="155">
        <f>'Schedule 140 Revenue'!F19</f>
        <v>274204.2804629344</v>
      </c>
      <c r="K21" s="155">
        <f>SUM('Schedule 141 Revenue'!$G$104:$G$114)</f>
        <v>152926.33000000002</v>
      </c>
      <c r="L21" s="155">
        <f>SUM('Schedule 141X Revenue'!$G$104:$G$114)</f>
        <v>-48636.41</v>
      </c>
      <c r="M21" s="155">
        <f>'Schedule 141Y Revenue'!F19</f>
        <v>-138608.7571570877</v>
      </c>
      <c r="N21" s="155"/>
      <c r="O21" s="155">
        <f>'Schedule 149 Revenue'!F19</f>
        <v>202891.07931689653</v>
      </c>
      <c r="P21" s="161">
        <f t="shared" si="0"/>
        <v>4082109.4848146331</v>
      </c>
      <c r="Q21" s="155">
        <f>SUM('Schedule 141 Revenue'!$H$104:$H$114)</f>
        <v>-152926.33031827497</v>
      </c>
      <c r="R21" s="224">
        <f t="shared" si="1"/>
        <v>-3.7462574408441987E-2</v>
      </c>
    </row>
    <row r="22" spans="2:21" x14ac:dyDescent="0.35">
      <c r="B22" t="s">
        <v>13</v>
      </c>
      <c r="D22" s="183">
        <f>'Normalized Therms'!P22</f>
        <v>37056427.854413897</v>
      </c>
      <c r="E22" s="155">
        <f>'[64]Margin Exhibit'!$F$26</f>
        <v>1718916.583166973</v>
      </c>
      <c r="F22" s="155"/>
      <c r="G22" s="155"/>
      <c r="H22" s="155"/>
      <c r="I22" s="155"/>
      <c r="J22" s="155">
        <f>'Schedule 140 Revenue'!F20</f>
        <v>127103.54754063966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-64478.184466680184</v>
      </c>
      <c r="N22" s="155"/>
      <c r="O22" s="155">
        <f>'Schedule 149 Revenue'!F20</f>
        <v>91529.37680040233</v>
      </c>
      <c r="P22" s="161">
        <f t="shared" si="0"/>
        <v>1896683.4197041513</v>
      </c>
      <c r="Q22" s="155">
        <f>'Schedule 141 Revenue'!$H$139</f>
        <v>-35274.722042470239</v>
      </c>
      <c r="R22" s="224">
        <f t="shared" si="1"/>
        <v>-1.8598107452203312E-2</v>
      </c>
    </row>
    <row r="23" spans="2:21" x14ac:dyDescent="0.35">
      <c r="B23" t="s">
        <v>6</v>
      </c>
      <c r="D23" s="15">
        <f>SUM(D10:D22)</f>
        <v>1191304269.0992641</v>
      </c>
      <c r="E23" s="16">
        <f>SUM(E10:E22)</f>
        <v>444001886.38982123</v>
      </c>
      <c r="F23" s="16">
        <f t="shared" ref="F23:H23" si="2">SUM(F10:F22)</f>
        <v>306800038.06887847</v>
      </c>
      <c r="G23" s="16">
        <f t="shared" si="2"/>
        <v>-3677070.0900000003</v>
      </c>
      <c r="H23" s="16">
        <f t="shared" si="2"/>
        <v>17257421.656109452</v>
      </c>
      <c r="I23" s="16">
        <f>SUM(I10:I22)</f>
        <v>4630383.9260027641</v>
      </c>
      <c r="J23" s="16">
        <f>SUM(J10:J22)</f>
        <v>21307799.798764087</v>
      </c>
      <c r="K23" s="16">
        <f>SUM(K10:K22)</f>
        <v>27705929.76204247</v>
      </c>
      <c r="L23" s="16">
        <f>SUM(L10:L22)</f>
        <v>-6102680.9253796535</v>
      </c>
      <c r="M23" s="16">
        <f>SUM(M10:M22)</f>
        <v>-10103925.800094746</v>
      </c>
      <c r="N23" s="16">
        <f t="shared" ref="N23:P23" si="3">SUM(N10:N22)</f>
        <v>9358023</v>
      </c>
      <c r="O23" s="16">
        <f t="shared" si="3"/>
        <v>10597674.068947049</v>
      </c>
      <c r="P23" s="162">
        <f t="shared" si="3"/>
        <v>821775479.85509121</v>
      </c>
      <c r="Q23" s="16">
        <f>SUM(Q10:Q22)</f>
        <v>-27705929.74325138</v>
      </c>
      <c r="R23" s="225">
        <f t="shared" si="1"/>
        <v>-3.3714719436672577E-2</v>
      </c>
      <c r="S23" s="12"/>
    </row>
    <row r="24" spans="2:21" s="24" customFormat="1" x14ac:dyDescent="0.3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6.5" x14ac:dyDescent="0.35">
      <c r="B25" s="17" t="s">
        <v>286</v>
      </c>
      <c r="C25" s="17"/>
      <c r="D25" s="207">
        <f>'12ME Dec18 Rentals'!$O$30</f>
        <v>351449</v>
      </c>
      <c r="E25" s="155">
        <f>'[64]Revenue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SUM('Schedule 141 Revenue'!$H$117:$H$137)</f>
        <v>-227387.04999999987</v>
      </c>
      <c r="R25" s="224">
        <f>Q25/P25</f>
        <v>-4.0441071747585745E-2</v>
      </c>
      <c r="S25" s="27"/>
      <c r="T25" s="25"/>
      <c r="U25" s="28"/>
    </row>
    <row r="26" spans="2:21" s="24" customFormat="1" x14ac:dyDescent="0.35">
      <c r="B26" s="197" t="s">
        <v>6</v>
      </c>
      <c r="C26" s="197"/>
      <c r="D26" s="31"/>
      <c r="E26" s="30">
        <f>E23+E25</f>
        <v>449312267.07982123</v>
      </c>
      <c r="F26" s="30">
        <f t="shared" ref="F26:H26" si="4">F23+F25</f>
        <v>306800038.06887847</v>
      </c>
      <c r="G26" s="30">
        <f t="shared" si="4"/>
        <v>-3677070.0900000003</v>
      </c>
      <c r="H26" s="30">
        <f t="shared" si="4"/>
        <v>17257421.656109452</v>
      </c>
      <c r="I26" s="30">
        <f>I23+I25</f>
        <v>4630383.9260027641</v>
      </c>
      <c r="J26" s="30">
        <f>J23+J25</f>
        <v>21490553.278764088</v>
      </c>
      <c r="K26" s="30">
        <f>K23+K25</f>
        <v>27933316.812042471</v>
      </c>
      <c r="L26" s="30">
        <f>L23+L25</f>
        <v>-6175924.5553796533</v>
      </c>
      <c r="M26" s="30">
        <f>M23+M25</f>
        <v>-10128527.230094746</v>
      </c>
      <c r="N26" s="30">
        <f t="shared" ref="N26:Q26" si="5">N23+N25</f>
        <v>9358023</v>
      </c>
      <c r="O26" s="30">
        <f t="shared" si="5"/>
        <v>10597674.068947049</v>
      </c>
      <c r="P26" s="30">
        <f t="shared" si="5"/>
        <v>827398156.01509118</v>
      </c>
      <c r="Q26" s="30">
        <f t="shared" si="5"/>
        <v>-27933316.79325138</v>
      </c>
      <c r="R26" s="225">
        <f>Q26/P26</f>
        <v>-3.376042911164271E-2</v>
      </c>
      <c r="S26" s="27"/>
    </row>
    <row r="27" spans="2:21" x14ac:dyDescent="0.35">
      <c r="I27" s="12"/>
      <c r="L27" s="12"/>
      <c r="M27" s="12"/>
      <c r="N27" s="12"/>
      <c r="P27" s="12"/>
      <c r="R27" s="226"/>
    </row>
    <row r="28" spans="2:21" x14ac:dyDescent="0.35">
      <c r="D28" s="32"/>
      <c r="I28" s="12"/>
      <c r="M28" s="12"/>
      <c r="N28" s="12"/>
      <c r="P28" s="12"/>
      <c r="R28" s="226"/>
    </row>
    <row r="29" spans="2:21" s="24" customFormat="1" x14ac:dyDescent="0.35">
      <c r="B29" s="33" t="s">
        <v>42</v>
      </c>
      <c r="C29" s="33"/>
      <c r="Q29" s="34"/>
      <c r="R29" s="27"/>
    </row>
    <row r="30" spans="2:21" s="24" customFormat="1" x14ac:dyDescent="0.35">
      <c r="B30" s="197" t="s">
        <v>43</v>
      </c>
      <c r="C30" s="197"/>
      <c r="D30" s="252">
        <f>D10+D11</f>
        <v>609257701.15931809</v>
      </c>
      <c r="E30" s="35">
        <f>E10+E11</f>
        <v>314237754.38196468</v>
      </c>
      <c r="I30" s="35"/>
      <c r="M30" s="35"/>
      <c r="N30" s="35"/>
      <c r="P30" s="35">
        <f>P10+P11</f>
        <v>566052721.01490724</v>
      </c>
      <c r="Q30" s="12">
        <f>SUM(Q10:Q11)</f>
        <v>-19233533.002500385</v>
      </c>
      <c r="R30" s="224">
        <f t="shared" ref="R30:R37" si="6">Q30/P30</f>
        <v>-3.3978342102155293E-2</v>
      </c>
      <c r="S30" s="36"/>
    </row>
    <row r="31" spans="2:21" s="24" customFormat="1" x14ac:dyDescent="0.35">
      <c r="B31" s="37" t="s">
        <v>44</v>
      </c>
      <c r="C31" s="37"/>
      <c r="D31" s="252">
        <f>D12+D17</f>
        <v>234176518.05324447</v>
      </c>
      <c r="E31" s="35">
        <f>E12+E17</f>
        <v>93373535.17081517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180505338.49333602</v>
      </c>
      <c r="Q31" s="12">
        <f>SUM(Q12,Q17)</f>
        <v>-6149695.4958011471</v>
      </c>
      <c r="R31" s="224">
        <f t="shared" si="6"/>
        <v>-3.4069327517580232E-2</v>
      </c>
    </row>
    <row r="32" spans="2:21" s="24" customFormat="1" x14ac:dyDescent="0.35">
      <c r="B32" s="197" t="s">
        <v>45</v>
      </c>
      <c r="C32" s="197"/>
      <c r="D32" s="252">
        <f t="shared" ref="D32:D35" si="7">D13+D18</f>
        <v>86328991.912539333</v>
      </c>
      <c r="E32" s="35">
        <f>E13+E18</f>
        <v>19479056.632645205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42214666.87425936</v>
      </c>
      <c r="Q32" s="12">
        <f>SUM(Q13,Q18)</f>
        <v>-1410062.0815703457</v>
      </c>
      <c r="R32" s="224">
        <f t="shared" si="6"/>
        <v>-3.3402184263833179E-2</v>
      </c>
    </row>
    <row r="33" spans="2:18" s="24" customFormat="1" x14ac:dyDescent="0.35">
      <c r="B33" s="197" t="s">
        <v>46</v>
      </c>
      <c r="C33" s="197"/>
      <c r="D33" s="252">
        <f t="shared" si="7"/>
        <v>90957971.20362018</v>
      </c>
      <c r="E33" s="35">
        <f>E14+E19</f>
        <v>8511725.4707787875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14174125.858131481</v>
      </c>
      <c r="Q33" s="12">
        <f>SUM(Q14,Q19)</f>
        <v>-453480.77118781919</v>
      </c>
      <c r="R33" s="224">
        <f t="shared" si="6"/>
        <v>-3.1993561770700951E-2</v>
      </c>
    </row>
    <row r="34" spans="2:18" s="24" customFormat="1" x14ac:dyDescent="0.35">
      <c r="B34" s="197" t="s">
        <v>47</v>
      </c>
      <c r="C34" s="197"/>
      <c r="D34" s="252">
        <f t="shared" si="7"/>
        <v>9748488.4229263533</v>
      </c>
      <c r="E34" s="35">
        <f>E15+E20</f>
        <v>2062207.6317832225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4997508.5493644169</v>
      </c>
      <c r="Q34" s="12">
        <f>SUM(Q15,Q20)</f>
        <v>-163240.18634088829</v>
      </c>
      <c r="R34" s="224">
        <f t="shared" si="6"/>
        <v>-3.2664313573140195E-2</v>
      </c>
    </row>
    <row r="35" spans="2:18" s="24" customFormat="1" x14ac:dyDescent="0.35">
      <c r="B35" s="17" t="s">
        <v>48</v>
      </c>
      <c r="C35" s="17"/>
      <c r="D35" s="252">
        <f t="shared" si="7"/>
        <v>123778170.49320194</v>
      </c>
      <c r="E35" s="35">
        <f>E16+E21</f>
        <v>4618690.5186672322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11934435.645388348</v>
      </c>
      <c r="Q35" s="12">
        <f>SUM(Q16,Q21)</f>
        <v>-260643.48380832377</v>
      </c>
      <c r="R35" s="224">
        <f t="shared" si="6"/>
        <v>-2.1839615341094111E-2</v>
      </c>
    </row>
    <row r="36" spans="2:18" s="24" customFormat="1" x14ac:dyDescent="0.35">
      <c r="B36" s="253" t="s">
        <v>13</v>
      </c>
      <c r="C36" s="17"/>
      <c r="D36" s="252">
        <f>D22</f>
        <v>37056427.854413897</v>
      </c>
      <c r="E36" s="35">
        <f>E22</f>
        <v>1718916.583166973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1896683.4197041513</v>
      </c>
      <c r="Q36" s="12">
        <f>Q22</f>
        <v>-35274.722042470239</v>
      </c>
      <c r="R36" s="224">
        <f t="shared" si="6"/>
        <v>-1.8598107452203312E-2</v>
      </c>
    </row>
    <row r="37" spans="2:18" s="24" customFormat="1" x14ac:dyDescent="0.35">
      <c r="B37" s="40" t="s">
        <v>14</v>
      </c>
      <c r="C37" s="40"/>
      <c r="D37" s="254">
        <f>SUM(D30:D36)</f>
        <v>1191304269.0992644</v>
      </c>
      <c r="E37" s="41">
        <f>SUM(E30:E36)</f>
        <v>444001886.38982123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821775479.85509121</v>
      </c>
      <c r="Q37" s="41">
        <f>SUM(Q30:Q36)</f>
        <v>-27705929.74325138</v>
      </c>
      <c r="R37" s="225">
        <f t="shared" si="6"/>
        <v>-3.3714719436672577E-2</v>
      </c>
    </row>
    <row r="38" spans="2:18" s="24" customFormat="1" x14ac:dyDescent="0.35">
      <c r="B38" s="17"/>
      <c r="C38" s="17"/>
      <c r="D38" s="252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35">
      <c r="B39" s="17" t="s">
        <v>267</v>
      </c>
      <c r="C39" s="17"/>
      <c r="D39" s="252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-227387.04999999987</v>
      </c>
      <c r="R39" s="224">
        <f>Q39/P39</f>
        <v>-4.0441071747585745E-2</v>
      </c>
    </row>
    <row r="40" spans="2:18" s="31" customFormat="1" x14ac:dyDescent="0.35">
      <c r="B40" s="197" t="s">
        <v>6</v>
      </c>
      <c r="C40" s="197"/>
      <c r="D40" s="254">
        <f>D39+D37</f>
        <v>1191304269.0992644</v>
      </c>
      <c r="E40" s="41">
        <f>E39+E37</f>
        <v>449312267.07982123</v>
      </c>
      <c r="I40" s="195"/>
      <c r="M40" s="195"/>
      <c r="N40" s="195"/>
      <c r="P40" s="41">
        <f>P39+P37</f>
        <v>827398156.01509118</v>
      </c>
      <c r="Q40" s="41">
        <f>Q39+Q37</f>
        <v>-27933316.79325138</v>
      </c>
      <c r="R40" s="225">
        <f>Q40/P40</f>
        <v>-3.376042911164271E-2</v>
      </c>
    </row>
    <row r="41" spans="2:18" s="24" customFormat="1" x14ac:dyDescent="0.3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6.5" x14ac:dyDescent="0.35">
      <c r="B42" t="s">
        <v>357</v>
      </c>
      <c r="E42" s="165"/>
      <c r="I42" s="32"/>
      <c r="M42" s="32"/>
      <c r="N42" s="32"/>
      <c r="P42" s="32"/>
    </row>
    <row r="43" spans="2:18" ht="16.5" x14ac:dyDescent="0.35">
      <c r="B43" t="s">
        <v>317</v>
      </c>
      <c r="I43" s="32"/>
      <c r="M43" s="32"/>
      <c r="N43" s="32"/>
      <c r="P43" s="32"/>
    </row>
    <row r="44" spans="2:18" ht="16.5" x14ac:dyDescent="0.35">
      <c r="B44" t="s">
        <v>319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L37" sqref="L37"/>
    </sheetView>
  </sheetViews>
  <sheetFormatPr defaultRowHeight="14.5" x14ac:dyDescent="0.35"/>
  <cols>
    <col min="1" max="1" width="2.81640625" customWidth="1"/>
    <col min="2" max="2" width="38.7265625" customWidth="1"/>
    <col min="3" max="3" width="9.1796875" bestFit="1" customWidth="1"/>
    <col min="4" max="4" width="16.54296875" bestFit="1" customWidth="1"/>
    <col min="5" max="6" width="14.54296875" bestFit="1" customWidth="1"/>
    <col min="7" max="7" width="14" bestFit="1" customWidth="1"/>
    <col min="8" max="8" width="13.26953125" bestFit="1" customWidth="1"/>
    <col min="9" max="9" width="12.1796875" customWidth="1"/>
    <col min="10" max="11" width="13.26953125" bestFit="1" customWidth="1"/>
    <col min="12" max="12" width="12.81640625" bestFit="1" customWidth="1"/>
    <col min="13" max="13" width="14" bestFit="1" customWidth="1"/>
    <col min="14" max="15" width="13.26953125" bestFit="1" customWidth="1"/>
    <col min="16" max="16" width="15.7265625" bestFit="1" customWidth="1"/>
    <col min="17" max="17" width="14.54296875" bestFit="1" customWidth="1"/>
    <col min="18" max="18" width="7.81640625" customWidth="1"/>
    <col min="19" max="19" width="9.26953125" customWidth="1"/>
  </cols>
  <sheetData>
    <row r="1" spans="2:19" x14ac:dyDescent="0.35">
      <c r="B1" s="333" t="s">
        <v>0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</row>
    <row r="2" spans="2:19" x14ac:dyDescent="0.35">
      <c r="B2" s="333" t="s">
        <v>316</v>
      </c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</row>
    <row r="3" spans="2:19" x14ac:dyDescent="0.35">
      <c r="B3" s="334" t="s">
        <v>320</v>
      </c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</row>
    <row r="4" spans="2:19" x14ac:dyDescent="0.35">
      <c r="B4" s="334" t="s">
        <v>338</v>
      </c>
      <c r="C4" s="334"/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</row>
    <row r="5" spans="2:19" x14ac:dyDescent="0.35">
      <c r="K5" s="325"/>
      <c r="O5" s="325"/>
    </row>
    <row r="6" spans="2:19" x14ac:dyDescent="0.35">
      <c r="B6" s="5"/>
      <c r="C6" s="5"/>
      <c r="D6" s="5" t="s">
        <v>314</v>
      </c>
      <c r="E6" s="325" t="s">
        <v>314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326</v>
      </c>
      <c r="Q6" s="230" t="s">
        <v>336</v>
      </c>
      <c r="R6" s="5"/>
    </row>
    <row r="7" spans="2:19" x14ac:dyDescent="0.35">
      <c r="B7" s="5"/>
      <c r="C7" s="5" t="s">
        <v>17</v>
      </c>
      <c r="D7" s="5" t="s">
        <v>3</v>
      </c>
      <c r="E7" s="325" t="s">
        <v>281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274</v>
      </c>
      <c r="L7" s="5" t="s">
        <v>278</v>
      </c>
      <c r="M7" s="5" t="s">
        <v>294</v>
      </c>
      <c r="N7" s="5" t="s">
        <v>272</v>
      </c>
      <c r="O7" s="5" t="s">
        <v>110</v>
      </c>
      <c r="P7" s="5" t="s">
        <v>327</v>
      </c>
      <c r="Q7" s="5" t="s">
        <v>2</v>
      </c>
      <c r="R7" s="5" t="s">
        <v>20</v>
      </c>
    </row>
    <row r="8" spans="2:19" ht="16.5" x14ac:dyDescent="0.35">
      <c r="B8" s="326" t="s">
        <v>4</v>
      </c>
      <c r="C8" s="326" t="s">
        <v>21</v>
      </c>
      <c r="D8" s="249" t="s">
        <v>315</v>
      </c>
      <c r="E8" s="326" t="s">
        <v>283</v>
      </c>
      <c r="F8" s="326" t="s">
        <v>2</v>
      </c>
      <c r="G8" s="326" t="s">
        <v>2</v>
      </c>
      <c r="H8" s="326" t="s">
        <v>2</v>
      </c>
      <c r="I8" s="326" t="s">
        <v>2</v>
      </c>
      <c r="J8" s="326" t="s">
        <v>2</v>
      </c>
      <c r="K8" s="326" t="s">
        <v>2</v>
      </c>
      <c r="L8" s="326" t="s">
        <v>2</v>
      </c>
      <c r="M8" s="326" t="s">
        <v>2</v>
      </c>
      <c r="N8" s="326" t="s">
        <v>2</v>
      </c>
      <c r="O8" s="326" t="s">
        <v>2</v>
      </c>
      <c r="P8" s="326" t="s">
        <v>328</v>
      </c>
      <c r="Q8" s="326" t="s">
        <v>24</v>
      </c>
      <c r="R8" s="326" t="s">
        <v>24</v>
      </c>
    </row>
    <row r="9" spans="2:19" x14ac:dyDescent="0.35">
      <c r="B9" s="5" t="s">
        <v>25</v>
      </c>
      <c r="C9" s="5" t="s">
        <v>26</v>
      </c>
      <c r="D9" s="250" t="s">
        <v>27</v>
      </c>
      <c r="E9" s="7" t="s">
        <v>28</v>
      </c>
      <c r="F9" s="5" t="s">
        <v>260</v>
      </c>
      <c r="G9" s="5" t="s">
        <v>285</v>
      </c>
      <c r="H9" s="5" t="s">
        <v>262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318</v>
      </c>
      <c r="S9" s="7"/>
    </row>
    <row r="10" spans="2:19" x14ac:dyDescent="0.35">
      <c r="B10" t="s">
        <v>7</v>
      </c>
      <c r="C10" s="8" t="s">
        <v>30</v>
      </c>
      <c r="D10" s="183">
        <f>SUM('Normalized Therms'!P9,'Normalized Therms'!P11)</f>
        <v>609248315.15931809</v>
      </c>
      <c r="E10" s="155">
        <f>SUM('[64]Margin Exhibit'!$F$13:$F$14)</f>
        <v>314232967.52196467</v>
      </c>
      <c r="F10" s="155">
        <f>SUM('[64]Margin Exhibit'!$E$13:$E$14)</f>
        <v>199011335.5518544</v>
      </c>
      <c r="G10" s="155">
        <f>'Schedule 106 Revenue'!F8</f>
        <v>-2345605.69</v>
      </c>
      <c r="H10" s="155">
        <f>'Schedule 120 Revenue'!F8</f>
        <v>11057856.920141622</v>
      </c>
      <c r="I10" s="155">
        <f>'Schedule 129 Revenue'!G8</f>
        <v>3271663.4524055379</v>
      </c>
      <c r="J10" s="155">
        <f>'Schedule 140 Revenue'!F8</f>
        <v>13616699.843810759</v>
      </c>
      <c r="K10" s="155">
        <f>SUM('Schedule 141 Revenue'!$G$9:$G$14)</f>
        <v>19233241.550000001</v>
      </c>
      <c r="L10" s="155">
        <f>SUM('Schedule 141X Revenue'!$G$9:$G$14)</f>
        <v>-4328500.88</v>
      </c>
      <c r="M10" s="155">
        <f>'Schedule 141Y Revenue'!F8</f>
        <v>-6445847.1743855858</v>
      </c>
      <c r="N10" s="155">
        <f>'Sch 142 Revenue (Decoupling)'!G10</f>
        <v>11910804.560000001</v>
      </c>
      <c r="O10" s="155">
        <f>'Schedule 149 Revenue'!F8</f>
        <v>6829673.6129359556</v>
      </c>
      <c r="P10" s="161">
        <f>SUM(E10:O10)</f>
        <v>566044289.26872718</v>
      </c>
      <c r="Q10" s="155">
        <f>SUM('Schedule 141X Revenue'!$H$9:$H$14)</f>
        <v>4328500.8799865898</v>
      </c>
      <c r="R10" s="224">
        <f>Q10/P10</f>
        <v>7.6469296873899768E-3</v>
      </c>
    </row>
    <row r="11" spans="2:19" x14ac:dyDescent="0.35">
      <c r="B11" t="s">
        <v>31</v>
      </c>
      <c r="C11" s="8">
        <v>16</v>
      </c>
      <c r="D11" s="183">
        <f>'Normalized Therms'!P10</f>
        <v>9386</v>
      </c>
      <c r="E11" s="155">
        <f>'[64]Margin Exhibit'!$F$12</f>
        <v>4786.8599999999988</v>
      </c>
      <c r="F11" s="155">
        <f>'[64]Margin Exhibit'!$E$12</f>
        <v>3067.7400000000002</v>
      </c>
      <c r="G11" s="155">
        <f>'Schedule 106 Revenue'!F9</f>
        <v>-36.14</v>
      </c>
      <c r="H11" s="155">
        <f>'Schedule 120 Revenue'!F9</f>
        <v>170.35589999999999</v>
      </c>
      <c r="I11" s="155"/>
      <c r="J11" s="155">
        <f>'Schedule 140 Revenue'!F9</f>
        <v>209.77710000000002</v>
      </c>
      <c r="K11" s="155">
        <f>'Schedule 141 Revenue'!$G$17</f>
        <v>291.45999999999998</v>
      </c>
      <c r="L11" s="155">
        <f>'Schedule 141X Revenue'!$G$17</f>
        <v>-64.22</v>
      </c>
      <c r="M11" s="155">
        <f>'Schedule 141Y Revenue'!F9</f>
        <v>-99.303880000000007</v>
      </c>
      <c r="N11" s="155"/>
      <c r="O11" s="155">
        <f>'Schedule 149 Revenue'!F9</f>
        <v>105.21705999999999</v>
      </c>
      <c r="P11" s="161">
        <f t="shared" ref="P11:P22" si="0">SUM(E11:O11)</f>
        <v>8431.7461799999983</v>
      </c>
      <c r="Q11" s="155">
        <f>'Schedule 141X Revenue'!$H$17</f>
        <v>64.219999999999516</v>
      </c>
      <c r="R11" s="224">
        <f t="shared" ref="R11:R23" si="1">Q11/P11</f>
        <v>7.6164531793341443E-3</v>
      </c>
    </row>
    <row r="12" spans="2:19" x14ac:dyDescent="0.35">
      <c r="B12" t="s">
        <v>8</v>
      </c>
      <c r="C12" s="8">
        <v>31</v>
      </c>
      <c r="D12" s="183">
        <f>'Normalized Therms'!P12</f>
        <v>234140158.08963937</v>
      </c>
      <c r="E12" s="155">
        <f>'[64]Margin Exhibit'!$F$15</f>
        <v>93351851.201542571</v>
      </c>
      <c r="F12" s="155">
        <f>'[64]Margin Exhibit'!$E$15</f>
        <v>74627492.587910756</v>
      </c>
      <c r="G12" s="155">
        <f>'Schedule 106 Revenue'!F10</f>
        <v>-899098.21</v>
      </c>
      <c r="H12" s="155">
        <f>'Schedule 120 Revenue'!F10</f>
        <v>4249643.8693269547</v>
      </c>
      <c r="I12" s="155">
        <f>'Schedule 129 Revenue'!G10</f>
        <v>1002119.8766236565</v>
      </c>
      <c r="J12" s="155">
        <f>'Schedule 140 Revenue'!F10</f>
        <v>5919063.196506083</v>
      </c>
      <c r="K12" s="155">
        <f>SUM('Schedule 141 Revenue'!$G$20:$G$22)</f>
        <v>6148767.6599999992</v>
      </c>
      <c r="L12" s="155">
        <f>SUM('Schedule 141X Revenue'!$G$20:$G$22)</f>
        <v>-1283448.5900000001</v>
      </c>
      <c r="M12" s="155">
        <f>'Schedule 141Y Revenue'!F10</f>
        <v>-2746464.0543914698</v>
      </c>
      <c r="N12" s="155">
        <f>'Sch 142 Revenue (Decoupling)'!G15</f>
        <v>-2435057.65</v>
      </c>
      <c r="O12" s="155">
        <f>'Schedule 149 Revenue'!F10</f>
        <v>2547444.9200152764</v>
      </c>
      <c r="P12" s="161">
        <f t="shared" si="0"/>
        <v>180482314.8075338</v>
      </c>
      <c r="Q12" s="155">
        <f>SUM('Schedule 141X Revenue'!$H$20:$H$22)</f>
        <v>1283448.5940397903</v>
      </c>
      <c r="R12" s="224">
        <f t="shared" si="1"/>
        <v>7.1112152756266393E-3</v>
      </c>
    </row>
    <row r="13" spans="2:19" x14ac:dyDescent="0.35">
      <c r="B13" t="s">
        <v>9</v>
      </c>
      <c r="C13" s="8">
        <v>41</v>
      </c>
      <c r="D13" s="183">
        <f>'Normalized Therms'!P13</f>
        <v>65836657.463465482</v>
      </c>
      <c r="E13" s="155">
        <f>'[64]Margin Exhibit'!$F$17</f>
        <v>15357393.334420495</v>
      </c>
      <c r="F13" s="155">
        <f>'[64]Margin Exhibit'!$E$17</f>
        <v>19641243.467653014</v>
      </c>
      <c r="G13" s="155">
        <f>'Schedule 106 Revenue'!F11</f>
        <v>-248862.57</v>
      </c>
      <c r="H13" s="155">
        <f>'Schedule 120 Revenue'!F11</f>
        <v>1194935.3329618985</v>
      </c>
      <c r="I13" s="155">
        <f>'Schedule 129 Revenue'!G13</f>
        <v>148132.47929279733</v>
      </c>
      <c r="J13" s="155">
        <f>'Schedule 140 Revenue'!F11</f>
        <v>588579.71772338136</v>
      </c>
      <c r="K13" s="155">
        <f>SUM('Schedule 141 Revenue'!$G$32:$G$41)</f>
        <v>1234386.9100000001</v>
      </c>
      <c r="L13" s="155">
        <f>SUM('Schedule 141X Revenue'!$G$32:$G$41)</f>
        <v>-213016.37</v>
      </c>
      <c r="M13" s="155">
        <f>'Schedule 141Y Revenue'!F11</f>
        <v>-306798.82377974916</v>
      </c>
      <c r="N13" s="155">
        <f>'Sch 142 Revenue (Decoupling)'!G28</f>
        <v>-83727.23</v>
      </c>
      <c r="O13" s="155">
        <f>'Schedule 149 Revenue'!F11</f>
        <v>409504.00942275528</v>
      </c>
      <c r="P13" s="161">
        <f t="shared" si="0"/>
        <v>37721770.257694609</v>
      </c>
      <c r="Q13" s="155">
        <f>SUM('Schedule 141X Revenue'!$H$32:$H$41)</f>
        <v>213016.38735006578</v>
      </c>
      <c r="R13" s="224">
        <f t="shared" si="1"/>
        <v>5.6470411090161921E-3</v>
      </c>
    </row>
    <row r="14" spans="2:19" x14ac:dyDescent="0.35">
      <c r="B14" t="s">
        <v>10</v>
      </c>
      <c r="C14" s="8">
        <v>85</v>
      </c>
      <c r="D14" s="183">
        <f>'Normalized Therms'!P14</f>
        <v>16184434.068649085</v>
      </c>
      <c r="E14" s="155">
        <f>'[64]Margin Exhibit'!$F$20</f>
        <v>1574656.0043214299</v>
      </c>
      <c r="F14" s="155">
        <f>'[64]Margin Exhibit'!$E$20</f>
        <v>4463767.6376989819</v>
      </c>
      <c r="G14" s="155">
        <f>'Schedule 106 Revenue'!F12</f>
        <v>-60853.47</v>
      </c>
      <c r="H14" s="155">
        <f>'Schedule 120 Revenue'!F12</f>
        <v>249725.81767925539</v>
      </c>
      <c r="I14" s="155">
        <f>'Schedule 129 Revenue'!G20</f>
        <v>17884.310095044017</v>
      </c>
      <c r="J14" s="155">
        <f>'Schedule 140 Revenue'!F12</f>
        <v>81731.39204667788</v>
      </c>
      <c r="K14" s="155">
        <f>SUM('Schedule 141 Revenue'!$G$54:$G$61)</f>
        <v>154970.82999999999</v>
      </c>
      <c r="L14" s="155">
        <f>SUM('Schedule 141X Revenue'!$G$54:$G$61)</f>
        <v>-21685.5</v>
      </c>
      <c r="M14" s="155">
        <f>'Schedule 141Y Revenue'!F12</f>
        <v>-41432.151215741658</v>
      </c>
      <c r="N14" s="155"/>
      <c r="O14" s="155">
        <f>'Schedule 149 Revenue'!F12</f>
        <v>53570.476767228472</v>
      </c>
      <c r="P14" s="161">
        <f t="shared" si="0"/>
        <v>6472335.3473928766</v>
      </c>
      <c r="Q14" s="155">
        <f>SUM('Schedule 141X Revenue'!$H$54:$H$61)</f>
        <v>21685.501761068044</v>
      </c>
      <c r="R14" s="224">
        <f t="shared" si="1"/>
        <v>3.3504910665364688E-3</v>
      </c>
    </row>
    <row r="15" spans="2:19" x14ac:dyDescent="0.35">
      <c r="B15" t="s">
        <v>11</v>
      </c>
      <c r="C15" s="8">
        <v>86</v>
      </c>
      <c r="D15" s="183">
        <f>'Normalized Therms'!P15</f>
        <v>9397200.2729263529</v>
      </c>
      <c r="E15" s="155">
        <f>'[64]Margin Exhibit'!$F$22</f>
        <v>1991251.2003532224</v>
      </c>
      <c r="F15" s="155">
        <f>'[64]Margin Exhibit'!$E$22</f>
        <v>2604595.1595833455</v>
      </c>
      <c r="G15" s="155">
        <f>'Schedule 106 Revenue'!F13</f>
        <v>-35333.47</v>
      </c>
      <c r="H15" s="155">
        <f>'Schedule 120 Revenue'!F13</f>
        <v>144998.80021125361</v>
      </c>
      <c r="I15" s="155">
        <f>'Schedule 129 Revenue'!G22</f>
        <v>20579.868597708715</v>
      </c>
      <c r="J15" s="155">
        <f>'Schedule 140 Revenue'!F13</f>
        <v>72076.526093345121</v>
      </c>
      <c r="K15" s="155">
        <f>SUM('Schedule 141 Revenue'!$G$73:$G$79)</f>
        <v>159857.76</v>
      </c>
      <c r="L15" s="155">
        <f>SUM('Schedule 141X Revenue'!$G$73:$G$79)</f>
        <v>-27322.34</v>
      </c>
      <c r="M15" s="155">
        <f>'Schedule 141Y Revenue'!F13</f>
        <v>-39186.325138102889</v>
      </c>
      <c r="N15" s="155">
        <f>'Sch 142 Revenue (Decoupling)'!G46</f>
        <v>-9583.51</v>
      </c>
      <c r="O15" s="155">
        <f>'Schedule 149 Revenue'!F13</f>
        <v>38998.381132644368</v>
      </c>
      <c r="P15" s="161">
        <f t="shared" si="0"/>
        <v>4920932.0508334171</v>
      </c>
      <c r="Q15" s="155">
        <f>SUM('Schedule 141X Revenue'!$H$73:$H$79)</f>
        <v>27322.332710135579</v>
      </c>
      <c r="R15" s="224">
        <f t="shared" si="1"/>
        <v>5.5522678281054953E-3</v>
      </c>
    </row>
    <row r="16" spans="2:19" x14ac:dyDescent="0.35">
      <c r="B16" t="s">
        <v>12</v>
      </c>
      <c r="C16" s="8">
        <v>87</v>
      </c>
      <c r="D16" s="183">
        <f>'Normalized Therms'!P16</f>
        <v>23337042.118500698</v>
      </c>
      <c r="E16" s="155">
        <f>'[64]Margin Exhibit'!$F$24</f>
        <v>1086501.2115640081</v>
      </c>
      <c r="F16" s="155">
        <f>'[64]Margin Exhibit'!$E$24</f>
        <v>6311269.6705273287</v>
      </c>
      <c r="G16" s="155">
        <f>'Schedule 106 Revenue'!F14</f>
        <v>-87280.54</v>
      </c>
      <c r="H16" s="155">
        <f>'Schedule 120 Revenue'!F14</f>
        <v>360090.55988846574</v>
      </c>
      <c r="I16" s="155">
        <f>'Schedule 129 Revenue'!G32</f>
        <v>10515.786654565174</v>
      </c>
      <c r="J16" s="155">
        <f>'Schedule 140 Revenue'!F14</f>
        <v>63710.124983506903</v>
      </c>
      <c r="K16" s="155">
        <f>SUM('Schedule 141 Revenue'!$G$91:$G$101)</f>
        <v>107717.15</v>
      </c>
      <c r="L16" s="155">
        <f>SUM('Schedule 141X Revenue'!$G$91:$G$101)</f>
        <v>-15133.51</v>
      </c>
      <c r="M16" s="155">
        <f>'Schedule 141Y Revenue'!F14</f>
        <v>-32205.118123530963</v>
      </c>
      <c r="N16" s="155"/>
      <c r="O16" s="155">
        <f>'Schedule 149 Revenue'!F14</f>
        <v>47140.825079371411</v>
      </c>
      <c r="P16" s="161">
        <f t="shared" si="0"/>
        <v>7852326.1605737153</v>
      </c>
      <c r="Q16" s="155">
        <f>SUM('Schedule 141X Revenue'!$H$91:$H$101)</f>
        <v>15133.517334554579</v>
      </c>
      <c r="R16" s="224">
        <f t="shared" si="1"/>
        <v>1.9272655038884525E-3</v>
      </c>
    </row>
    <row r="17" spans="2:21" x14ac:dyDescent="0.35">
      <c r="B17" t="s">
        <v>32</v>
      </c>
      <c r="C17" s="8" t="s">
        <v>33</v>
      </c>
      <c r="D17" s="183">
        <f>'Normalized Therms'!P17</f>
        <v>36359.963605097219</v>
      </c>
      <c r="E17" s="155">
        <f>'[64]Margin Exhibit'!$F$16</f>
        <v>21683.969272602408</v>
      </c>
      <c r="F17" s="155">
        <f>'[64]Margin Exhibit'!$E$16</f>
        <v>25.451974523568055</v>
      </c>
      <c r="G17" s="208"/>
      <c r="H17" s="155"/>
      <c r="I17" s="155">
        <f>'Schedule 129 Revenue'!G11</f>
        <v>155.62064422981609</v>
      </c>
      <c r="J17" s="155">
        <f>'Schedule 140 Revenue'!F15</f>
        <v>919.17987993685767</v>
      </c>
      <c r="K17" s="155">
        <f>SUM('Schedule 141 Revenue'!$G$25:$G$26)</f>
        <v>927.83999999999992</v>
      </c>
      <c r="L17" s="155">
        <f>SUM('Schedule 141X Revenue'!$G$25:$G$26)</f>
        <v>-298.23</v>
      </c>
      <c r="M17" s="155">
        <f>'Schedule 141Y Revenue'!F15</f>
        <v>-426.50237308779043</v>
      </c>
      <c r="N17" s="155">
        <f>'Sch 142 Revenue (Decoupling)'!G20</f>
        <v>-359.24</v>
      </c>
      <c r="O17" s="155">
        <f>'Schedule 149 Revenue'!F15</f>
        <v>395.59640402345775</v>
      </c>
      <c r="P17" s="161">
        <f t="shared" si="0"/>
        <v>23023.685802228316</v>
      </c>
      <c r="Q17" s="155">
        <f>SUM('Schedule 141X Revenue'!$H$25:$H$26)</f>
        <v>298.22785260064381</v>
      </c>
      <c r="R17" s="224">
        <f t="shared" si="1"/>
        <v>1.29530890563048E-2</v>
      </c>
    </row>
    <row r="18" spans="2:21" x14ac:dyDescent="0.35">
      <c r="B18" t="s">
        <v>34</v>
      </c>
      <c r="C18" t="s">
        <v>35</v>
      </c>
      <c r="D18" s="183">
        <f>'Normalized Therms'!P18</f>
        <v>20492334.449073855</v>
      </c>
      <c r="E18" s="155">
        <f>'[64]Margin Exhibit'!$F$18</f>
        <v>4121663.298224709</v>
      </c>
      <c r="F18" s="155">
        <f>'[64]Margin Exhibit'!$E$18</f>
        <v>14344.634114351697</v>
      </c>
      <c r="G18" s="208"/>
      <c r="H18" s="155"/>
      <c r="I18" s="155">
        <f>'Schedule 129 Revenue'!G14</f>
        <v>46107.752510416169</v>
      </c>
      <c r="J18" s="155">
        <f>'Schedule 140 Revenue'!F16</f>
        <v>183201.46997472027</v>
      </c>
      <c r="K18" s="155">
        <f>SUM('Schedule 141 Revenue'!$G$44:$G$51)</f>
        <v>175675.18</v>
      </c>
      <c r="L18" s="155">
        <f>SUM('Schedule 141X Revenue'!$G$44:$G$51)</f>
        <v>-56388.93</v>
      </c>
      <c r="M18" s="155">
        <f>'Schedule 141Y Revenue'!F16</f>
        <v>-95494.278532684169</v>
      </c>
      <c r="N18" s="155">
        <f>'Sch 142 Revenue (Decoupling)'!G36</f>
        <v>-23674.83</v>
      </c>
      <c r="O18" s="155">
        <f>'Schedule 149 Revenue'!F16</f>
        <v>127462.32027323937</v>
      </c>
      <c r="P18" s="161">
        <f>SUM(E18:O18)</f>
        <v>4492896.6165647525</v>
      </c>
      <c r="Q18" s="155">
        <f>SUM('Schedule 141X Revenue'!$H$44:$H$51)</f>
        <v>56388.931351886073</v>
      </c>
      <c r="R18" s="224">
        <f t="shared" si="1"/>
        <v>1.2550685262595868E-2</v>
      </c>
    </row>
    <row r="19" spans="2:21" x14ac:dyDescent="0.35">
      <c r="B19" t="s">
        <v>36</v>
      </c>
      <c r="C19" t="s">
        <v>37</v>
      </c>
      <c r="D19" s="183">
        <f>'Normalized Therms'!P19</f>
        <v>74773537.134971097</v>
      </c>
      <c r="E19" s="155">
        <f>'[64]Margin Exhibit'!$F$21</f>
        <v>6937069.4664573576</v>
      </c>
      <c r="F19" s="155">
        <f>'[64]Margin Exhibit'!$E$21</f>
        <v>52341.475994479762</v>
      </c>
      <c r="G19" s="208"/>
      <c r="H19" s="155"/>
      <c r="I19" s="155">
        <f>'Schedule 129 Revenue'!G38</f>
        <v>75620.592903934681</v>
      </c>
      <c r="J19" s="155">
        <f>'Schedule 140 Revenue'!F17</f>
        <v>377606.36253160401</v>
      </c>
      <c r="K19" s="155">
        <f>SUM('Schedule 141 Revenue'!$G$64:$G$70)</f>
        <v>298509.95</v>
      </c>
      <c r="L19" s="155">
        <f>SUM('Schedule 141X Revenue'!$G$64:$G$70)</f>
        <v>-95437.49</v>
      </c>
      <c r="M19" s="155">
        <f>'Schedule 141Y Revenue'!F17</f>
        <v>-191420.25506552603</v>
      </c>
      <c r="N19" s="155"/>
      <c r="O19" s="155">
        <f>'Schedule 149 Revenue'!F17</f>
        <v>247500.40791675434</v>
      </c>
      <c r="P19" s="161">
        <f t="shared" si="0"/>
        <v>7701790.5107386047</v>
      </c>
      <c r="Q19" s="155">
        <f>SUM('Schedule 141X Revenue'!$H$64:$H$70)</f>
        <v>95437.488374995097</v>
      </c>
      <c r="R19" s="224">
        <f t="shared" si="1"/>
        <v>1.2391597543704497E-2</v>
      </c>
    </row>
    <row r="20" spans="2:21" x14ac:dyDescent="0.35">
      <c r="B20" t="s">
        <v>38</v>
      </c>
      <c r="C20" t="s">
        <v>39</v>
      </c>
      <c r="D20" s="183">
        <f>'Normalized Therms'!P20</f>
        <v>351288.14999999997</v>
      </c>
      <c r="E20" s="155">
        <f>'[64]Margin Exhibit'!$F$23</f>
        <v>70956.431430000011</v>
      </c>
      <c r="F20" s="155">
        <f>'[64]Margin Exhibit'!$E$23</f>
        <v>245.90170499999999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SUM('Schedule 141X Revenue'!$H$82:$H$88)</f>
        <v>1085.8368811878063</v>
      </c>
      <c r="R20" s="224">
        <f t="shared" si="1"/>
        <v>1.4179766664941378E-2</v>
      </c>
    </row>
    <row r="21" spans="2:21" x14ac:dyDescent="0.35">
      <c r="B21" t="s">
        <v>40</v>
      </c>
      <c r="C21" t="s">
        <v>41</v>
      </c>
      <c r="D21" s="183">
        <f>'Normalized Therms'!P21</f>
        <v>100441128.37470125</v>
      </c>
      <c r="E21" s="155">
        <f>'[64]Margin Exhibit'!$F$25</f>
        <v>3532189.3071032236</v>
      </c>
      <c r="F21" s="155">
        <f>'[64]Margin Exhibit'!$E$25</f>
        <v>70308.789862290869</v>
      </c>
      <c r="G21" s="155"/>
      <c r="H21" s="155"/>
      <c r="I21" s="155">
        <f>'Schedule 129 Revenue'!G47</f>
        <v>36834.86522637531</v>
      </c>
      <c r="J21" s="155">
        <f>'Schedule 140 Revenue'!F19</f>
        <v>274204.2804629344</v>
      </c>
      <c r="K21" s="155">
        <f>SUM('Schedule 141 Revenue'!$G$104:$G$114)</f>
        <v>152926.33000000002</v>
      </c>
      <c r="L21" s="155">
        <f>SUM('Schedule 141X Revenue'!$G$104:$G$114)</f>
        <v>-48636.41</v>
      </c>
      <c r="M21" s="155">
        <f>'Schedule 141Y Revenue'!F19</f>
        <v>-138608.7571570877</v>
      </c>
      <c r="N21" s="155"/>
      <c r="O21" s="155">
        <f>'Schedule 149 Revenue'!F19</f>
        <v>202891.07931689653</v>
      </c>
      <c r="P21" s="161">
        <f t="shared" si="0"/>
        <v>4082109.4848146331</v>
      </c>
      <c r="Q21" s="155">
        <f>SUM('Schedule 141X Revenue'!$H$104:$H$114)</f>
        <v>48636.399754998762</v>
      </c>
      <c r="R21" s="224">
        <f t="shared" si="1"/>
        <v>1.1914526040010738E-2</v>
      </c>
    </row>
    <row r="22" spans="2:21" x14ac:dyDescent="0.35">
      <c r="B22" t="s">
        <v>13</v>
      </c>
      <c r="D22" s="183">
        <f>'Normalized Therms'!P22</f>
        <v>37056427.854413897</v>
      </c>
      <c r="E22" s="155">
        <f>'[64]Margin Exhibit'!$F$26</f>
        <v>1718916.583166973</v>
      </c>
      <c r="F22" s="155"/>
      <c r="G22" s="155"/>
      <c r="H22" s="155"/>
      <c r="I22" s="155"/>
      <c r="J22" s="155">
        <f>'Schedule 140 Revenue'!F20</f>
        <v>127103.54754063966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-64478.184466680184</v>
      </c>
      <c r="N22" s="155"/>
      <c r="O22" s="155">
        <f>'Schedule 149 Revenue'!F20</f>
        <v>91529.37680040233</v>
      </c>
      <c r="P22" s="161">
        <f t="shared" si="0"/>
        <v>1896683.4197041513</v>
      </c>
      <c r="Q22" s="155">
        <f>'Schedule 141X Revenue'!$H$139</f>
        <v>11662.625379653648</v>
      </c>
      <c r="R22" s="224">
        <f t="shared" si="1"/>
        <v>6.1489573106896294E-3</v>
      </c>
    </row>
    <row r="23" spans="2:21" x14ac:dyDescent="0.35">
      <c r="B23" t="s">
        <v>6</v>
      </c>
      <c r="D23" s="15">
        <f>SUM(D10:D22)</f>
        <v>1191304269.0992641</v>
      </c>
      <c r="E23" s="16">
        <f>SUM(E10:E22)</f>
        <v>444001886.38982123</v>
      </c>
      <c r="F23" s="16">
        <f t="shared" ref="F23:H23" si="2">SUM(F10:F22)</f>
        <v>306800038.06887847</v>
      </c>
      <c r="G23" s="16">
        <f t="shared" si="2"/>
        <v>-3677070.0900000003</v>
      </c>
      <c r="H23" s="16">
        <f t="shared" si="2"/>
        <v>17257421.656109452</v>
      </c>
      <c r="I23" s="16">
        <f>SUM(I10:I22)</f>
        <v>4630383.9260027641</v>
      </c>
      <c r="J23" s="16">
        <f>SUM(J10:J22)</f>
        <v>21307799.798764087</v>
      </c>
      <c r="K23" s="16">
        <f>SUM(K10:K22)</f>
        <v>27705929.76204247</v>
      </c>
      <c r="L23" s="16">
        <f>SUM(L10:L22)</f>
        <v>-6102680.9253796535</v>
      </c>
      <c r="M23" s="16">
        <f>SUM(M10:M22)</f>
        <v>-10103925.800094746</v>
      </c>
      <c r="N23" s="16">
        <f t="shared" ref="N23:P23" si="3">SUM(N10:N22)</f>
        <v>9358023</v>
      </c>
      <c r="O23" s="16">
        <f t="shared" si="3"/>
        <v>10597674.068947049</v>
      </c>
      <c r="P23" s="162">
        <f t="shared" si="3"/>
        <v>821775479.85509121</v>
      </c>
      <c r="Q23" s="16">
        <f>SUM(Q10:Q22)</f>
        <v>6102680.9427775256</v>
      </c>
      <c r="R23" s="225">
        <f t="shared" si="1"/>
        <v>7.426214449539976E-3</v>
      </c>
      <c r="S23" s="12"/>
    </row>
    <row r="24" spans="2:21" s="24" customFormat="1" x14ac:dyDescent="0.3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6.5" x14ac:dyDescent="0.35">
      <c r="B25" s="17" t="s">
        <v>286</v>
      </c>
      <c r="C25" s="17"/>
      <c r="D25" s="207">
        <f>'12ME Dec18 Rentals'!$O$30</f>
        <v>351449</v>
      </c>
      <c r="E25" s="155">
        <f>'[64]Revenue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SUM('Schedule 141X Revenue'!$H$117:$H$137)</f>
        <v>73243.629999999961</v>
      </c>
      <c r="R25" s="224">
        <f>Q25/P25</f>
        <v>1.3026471366261288E-2</v>
      </c>
      <c r="S25" s="27"/>
      <c r="T25" s="25"/>
      <c r="U25" s="28"/>
    </row>
    <row r="26" spans="2:21" s="24" customFormat="1" x14ac:dyDescent="0.35">
      <c r="B26" s="197" t="s">
        <v>6</v>
      </c>
      <c r="C26" s="197"/>
      <c r="D26" s="31"/>
      <c r="E26" s="30">
        <f>E23+E25</f>
        <v>449312267.07982123</v>
      </c>
      <c r="F26" s="30">
        <f t="shared" ref="F26:H26" si="4">F23+F25</f>
        <v>306800038.06887847</v>
      </c>
      <c r="G26" s="30">
        <f t="shared" si="4"/>
        <v>-3677070.0900000003</v>
      </c>
      <c r="H26" s="30">
        <f t="shared" si="4"/>
        <v>17257421.656109452</v>
      </c>
      <c r="I26" s="30">
        <f>I23+I25</f>
        <v>4630383.9260027641</v>
      </c>
      <c r="J26" s="30">
        <f>J23+J25</f>
        <v>21490553.278764088</v>
      </c>
      <c r="K26" s="30">
        <f>K23+K25</f>
        <v>27933316.812042471</v>
      </c>
      <c r="L26" s="30">
        <f>L23+L25</f>
        <v>-6175924.5553796533</v>
      </c>
      <c r="M26" s="30">
        <f>M23+M25</f>
        <v>-10128527.230094746</v>
      </c>
      <c r="N26" s="30">
        <f t="shared" ref="N26:Q26" si="5">N23+N25</f>
        <v>9358023</v>
      </c>
      <c r="O26" s="30">
        <f t="shared" si="5"/>
        <v>10597674.068947049</v>
      </c>
      <c r="P26" s="30">
        <f t="shared" si="5"/>
        <v>827398156.01509118</v>
      </c>
      <c r="Q26" s="30">
        <f t="shared" si="5"/>
        <v>6175924.5727775255</v>
      </c>
      <c r="R26" s="225">
        <f>Q26/P26</f>
        <v>7.4642716180586708E-3</v>
      </c>
      <c r="S26" s="27"/>
    </row>
    <row r="27" spans="2:21" x14ac:dyDescent="0.35">
      <c r="I27" s="12"/>
      <c r="L27" s="12"/>
      <c r="M27" s="12"/>
      <c r="N27" s="12"/>
      <c r="P27" s="12"/>
      <c r="R27" s="226"/>
    </row>
    <row r="28" spans="2:21" x14ac:dyDescent="0.35">
      <c r="D28" s="32"/>
      <c r="I28" s="12"/>
      <c r="M28" s="12"/>
      <c r="N28" s="12"/>
      <c r="P28" s="12"/>
      <c r="R28" s="226"/>
    </row>
    <row r="29" spans="2:21" s="24" customFormat="1" x14ac:dyDescent="0.35">
      <c r="B29" s="33" t="s">
        <v>42</v>
      </c>
      <c r="C29" s="33"/>
      <c r="Q29" s="34"/>
      <c r="R29" s="27"/>
    </row>
    <row r="30" spans="2:21" s="24" customFormat="1" x14ac:dyDescent="0.35">
      <c r="B30" s="197" t="s">
        <v>43</v>
      </c>
      <c r="C30" s="197"/>
      <c r="D30" s="252">
        <f>D10+D11</f>
        <v>609257701.15931809</v>
      </c>
      <c r="E30" s="35">
        <f>E10+E11</f>
        <v>314237754.38196468</v>
      </c>
      <c r="I30" s="35"/>
      <c r="M30" s="35"/>
      <c r="N30" s="35"/>
      <c r="P30" s="35">
        <f>P10+P11</f>
        <v>566052721.01490724</v>
      </c>
      <c r="Q30" s="12">
        <f>SUM(Q10:Q11)</f>
        <v>4328565.0999865895</v>
      </c>
      <c r="R30" s="224">
        <f t="shared" ref="R30:R37" si="6">Q30/P30</f>
        <v>7.6469292334213424E-3</v>
      </c>
      <c r="S30" s="36"/>
    </row>
    <row r="31" spans="2:21" s="24" customFormat="1" x14ac:dyDescent="0.35">
      <c r="B31" s="37" t="s">
        <v>44</v>
      </c>
      <c r="C31" s="37"/>
      <c r="D31" s="252">
        <f>D12+D17</f>
        <v>234176518.05324447</v>
      </c>
      <c r="E31" s="35">
        <f>E12+E17</f>
        <v>93373535.17081517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180505338.49333602</v>
      </c>
      <c r="Q31" s="12">
        <f>SUM(Q12,Q17)</f>
        <v>1283746.821892391</v>
      </c>
      <c r="R31" s="224">
        <f t="shared" si="6"/>
        <v>7.1119604140671162E-3</v>
      </c>
    </row>
    <row r="32" spans="2:21" s="24" customFormat="1" x14ac:dyDescent="0.35">
      <c r="B32" s="197" t="s">
        <v>45</v>
      </c>
      <c r="C32" s="197"/>
      <c r="D32" s="252">
        <f t="shared" ref="D32:D35" si="7">D13+D18</f>
        <v>86328991.912539333</v>
      </c>
      <c r="E32" s="35">
        <f>E13+E18</f>
        <v>19479056.632645205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42214666.87425936</v>
      </c>
      <c r="Q32" s="12">
        <f>SUM(Q13,Q18)</f>
        <v>269405.31870195188</v>
      </c>
      <c r="R32" s="224">
        <f t="shared" si="6"/>
        <v>6.3817942589575035E-3</v>
      </c>
    </row>
    <row r="33" spans="2:18" s="24" customFormat="1" x14ac:dyDescent="0.35">
      <c r="B33" s="197" t="s">
        <v>46</v>
      </c>
      <c r="C33" s="197"/>
      <c r="D33" s="252">
        <f t="shared" si="7"/>
        <v>90957971.20362018</v>
      </c>
      <c r="E33" s="35">
        <f>E14+E19</f>
        <v>8511725.4707787875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14174125.858131481</v>
      </c>
      <c r="Q33" s="12">
        <f>SUM(Q14,Q19)</f>
        <v>117122.99013606313</v>
      </c>
      <c r="R33" s="224">
        <f t="shared" si="6"/>
        <v>8.2631543777968823E-3</v>
      </c>
    </row>
    <row r="34" spans="2:18" s="24" customFormat="1" x14ac:dyDescent="0.35">
      <c r="B34" s="197" t="s">
        <v>47</v>
      </c>
      <c r="C34" s="197"/>
      <c r="D34" s="252">
        <f t="shared" si="7"/>
        <v>9748488.4229263533</v>
      </c>
      <c r="E34" s="35">
        <f>E15+E20</f>
        <v>2062207.6317832225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4997508.5493644169</v>
      </c>
      <c r="Q34" s="12">
        <f>SUM(Q15,Q20)</f>
        <v>28408.169591323385</v>
      </c>
      <c r="R34" s="224">
        <f t="shared" si="6"/>
        <v>5.6844664317655521E-3</v>
      </c>
    </row>
    <row r="35" spans="2:18" s="24" customFormat="1" x14ac:dyDescent="0.35">
      <c r="B35" s="17" t="s">
        <v>48</v>
      </c>
      <c r="C35" s="17"/>
      <c r="D35" s="252">
        <f t="shared" si="7"/>
        <v>123778170.49320194</v>
      </c>
      <c r="E35" s="35">
        <f>E16+E21</f>
        <v>4618690.5186672322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11934435.645388348</v>
      </c>
      <c r="Q35" s="12">
        <f>SUM(Q16,Q21)</f>
        <v>63769.917089553339</v>
      </c>
      <c r="R35" s="224">
        <f t="shared" si="6"/>
        <v>5.3433542217134521E-3</v>
      </c>
    </row>
    <row r="36" spans="2:18" s="24" customFormat="1" x14ac:dyDescent="0.35">
      <c r="B36" s="253" t="s">
        <v>13</v>
      </c>
      <c r="C36" s="17"/>
      <c r="D36" s="252">
        <f>D22</f>
        <v>37056427.854413897</v>
      </c>
      <c r="E36" s="35">
        <f>E22</f>
        <v>1718916.583166973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1896683.4197041513</v>
      </c>
      <c r="Q36" s="12">
        <f>Q22</f>
        <v>11662.625379653648</v>
      </c>
      <c r="R36" s="224">
        <f t="shared" si="6"/>
        <v>6.1489573106896294E-3</v>
      </c>
    </row>
    <row r="37" spans="2:18" s="24" customFormat="1" x14ac:dyDescent="0.35">
      <c r="B37" s="40" t="s">
        <v>14</v>
      </c>
      <c r="C37" s="40"/>
      <c r="D37" s="254">
        <f>SUM(D30:D36)</f>
        <v>1191304269.0992644</v>
      </c>
      <c r="E37" s="41">
        <f>SUM(E30:E36)</f>
        <v>444001886.38982123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821775479.85509121</v>
      </c>
      <c r="Q37" s="41">
        <f>SUM(Q30:Q36)</f>
        <v>6102680.9427775256</v>
      </c>
      <c r="R37" s="225">
        <f t="shared" si="6"/>
        <v>7.426214449539976E-3</v>
      </c>
    </row>
    <row r="38" spans="2:18" s="24" customFormat="1" x14ac:dyDescent="0.35">
      <c r="B38" s="17"/>
      <c r="C38" s="17"/>
      <c r="D38" s="252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35">
      <c r="B39" s="17" t="s">
        <v>267</v>
      </c>
      <c r="C39" s="17"/>
      <c r="D39" s="252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73243.629999999961</v>
      </c>
      <c r="R39" s="224">
        <f>Q39/P39</f>
        <v>1.3026471366261288E-2</v>
      </c>
    </row>
    <row r="40" spans="2:18" s="31" customFormat="1" x14ac:dyDescent="0.35">
      <c r="B40" s="197" t="s">
        <v>6</v>
      </c>
      <c r="C40" s="197"/>
      <c r="D40" s="254">
        <f>D39+D37</f>
        <v>1191304269.0992644</v>
      </c>
      <c r="E40" s="41">
        <f>E39+E37</f>
        <v>449312267.07982123</v>
      </c>
      <c r="I40" s="195"/>
      <c r="M40" s="195"/>
      <c r="N40" s="195"/>
      <c r="P40" s="41">
        <f>P39+P37</f>
        <v>827398156.01509118</v>
      </c>
      <c r="Q40" s="41">
        <f>Q39+Q37</f>
        <v>6175924.5727775255</v>
      </c>
      <c r="R40" s="225">
        <f>Q40/P40</f>
        <v>7.4642716180586708E-3</v>
      </c>
    </row>
    <row r="41" spans="2:18" s="24" customFormat="1" x14ac:dyDescent="0.3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6.5" x14ac:dyDescent="0.35">
      <c r="B42" t="s">
        <v>357</v>
      </c>
      <c r="E42" s="165"/>
      <c r="I42" s="32"/>
      <c r="M42" s="32"/>
      <c r="N42" s="32"/>
      <c r="P42" s="32"/>
    </row>
    <row r="43" spans="2:18" ht="16.5" x14ac:dyDescent="0.35">
      <c r="B43" t="s">
        <v>317</v>
      </c>
      <c r="I43" s="32"/>
      <c r="M43" s="32"/>
      <c r="N43" s="32"/>
      <c r="P43" s="32"/>
    </row>
    <row r="44" spans="2:18" ht="16.5" x14ac:dyDescent="0.35">
      <c r="B44" t="s">
        <v>319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H35" sqref="H35"/>
    </sheetView>
  </sheetViews>
  <sheetFormatPr defaultRowHeight="14.5" x14ac:dyDescent="0.35"/>
  <cols>
    <col min="1" max="1" width="2.81640625" customWidth="1"/>
    <col min="2" max="2" width="38.7265625" customWidth="1"/>
    <col min="3" max="3" width="9.1796875" bestFit="1" customWidth="1"/>
    <col min="4" max="4" width="16.54296875" bestFit="1" customWidth="1"/>
    <col min="5" max="6" width="14.54296875" bestFit="1" customWidth="1"/>
    <col min="7" max="7" width="14" bestFit="1" customWidth="1"/>
    <col min="8" max="8" width="13.26953125" bestFit="1" customWidth="1"/>
    <col min="9" max="9" width="12.1796875" customWidth="1"/>
    <col min="10" max="11" width="13.26953125" bestFit="1" customWidth="1"/>
    <col min="12" max="12" width="12.81640625" bestFit="1" customWidth="1"/>
    <col min="13" max="13" width="14" bestFit="1" customWidth="1"/>
    <col min="14" max="15" width="13.26953125" bestFit="1" customWidth="1"/>
    <col min="16" max="16" width="15.7265625" bestFit="1" customWidth="1"/>
    <col min="17" max="17" width="14.54296875" bestFit="1" customWidth="1"/>
    <col min="18" max="18" width="7.81640625" customWidth="1"/>
    <col min="19" max="19" width="9.26953125" customWidth="1"/>
  </cols>
  <sheetData>
    <row r="1" spans="2:19" x14ac:dyDescent="0.35">
      <c r="B1" s="333" t="s">
        <v>0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</row>
    <row r="2" spans="2:19" x14ac:dyDescent="0.35">
      <c r="B2" s="333" t="s">
        <v>316</v>
      </c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</row>
    <row r="3" spans="2:19" x14ac:dyDescent="0.35">
      <c r="B3" s="334" t="s">
        <v>320</v>
      </c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</row>
    <row r="4" spans="2:19" x14ac:dyDescent="0.35">
      <c r="B4" s="334" t="s">
        <v>337</v>
      </c>
      <c r="C4" s="334"/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</row>
    <row r="5" spans="2:19" x14ac:dyDescent="0.35">
      <c r="K5" s="325"/>
      <c r="O5" s="325"/>
    </row>
    <row r="6" spans="2:19" x14ac:dyDescent="0.35">
      <c r="B6" s="5"/>
      <c r="C6" s="5"/>
      <c r="D6" s="5" t="s">
        <v>314</v>
      </c>
      <c r="E6" s="325" t="s">
        <v>314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326</v>
      </c>
      <c r="Q6" s="230" t="s">
        <v>340</v>
      </c>
      <c r="R6" s="5"/>
    </row>
    <row r="7" spans="2:19" x14ac:dyDescent="0.35">
      <c r="B7" s="5"/>
      <c r="C7" s="5" t="s">
        <v>17</v>
      </c>
      <c r="D7" s="5" t="s">
        <v>3</v>
      </c>
      <c r="E7" s="325" t="s">
        <v>281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274</v>
      </c>
      <c r="L7" s="5" t="s">
        <v>278</v>
      </c>
      <c r="M7" s="5" t="s">
        <v>294</v>
      </c>
      <c r="N7" s="5" t="s">
        <v>272</v>
      </c>
      <c r="O7" s="5" t="s">
        <v>110</v>
      </c>
      <c r="P7" s="5" t="s">
        <v>327</v>
      </c>
      <c r="Q7" s="5" t="s">
        <v>2</v>
      </c>
      <c r="R7" s="5" t="s">
        <v>20</v>
      </c>
    </row>
    <row r="8" spans="2:19" ht="16.5" x14ac:dyDescent="0.35">
      <c r="B8" s="326" t="s">
        <v>4</v>
      </c>
      <c r="C8" s="326" t="s">
        <v>21</v>
      </c>
      <c r="D8" s="249" t="s">
        <v>315</v>
      </c>
      <c r="E8" s="326" t="s">
        <v>283</v>
      </c>
      <c r="F8" s="326" t="s">
        <v>2</v>
      </c>
      <c r="G8" s="326" t="s">
        <v>2</v>
      </c>
      <c r="H8" s="326" t="s">
        <v>2</v>
      </c>
      <c r="I8" s="326" t="s">
        <v>2</v>
      </c>
      <c r="J8" s="326" t="s">
        <v>2</v>
      </c>
      <c r="K8" s="326" t="s">
        <v>2</v>
      </c>
      <c r="L8" s="326" t="s">
        <v>2</v>
      </c>
      <c r="M8" s="326" t="s">
        <v>2</v>
      </c>
      <c r="N8" s="326" t="s">
        <v>2</v>
      </c>
      <c r="O8" s="326" t="s">
        <v>2</v>
      </c>
      <c r="P8" s="326" t="s">
        <v>328</v>
      </c>
      <c r="Q8" s="326" t="s">
        <v>24</v>
      </c>
      <c r="R8" s="326" t="s">
        <v>24</v>
      </c>
    </row>
    <row r="9" spans="2:19" x14ac:dyDescent="0.35">
      <c r="B9" s="5" t="s">
        <v>25</v>
      </c>
      <c r="C9" s="5" t="s">
        <v>26</v>
      </c>
      <c r="D9" s="250" t="s">
        <v>27</v>
      </c>
      <c r="E9" s="7" t="s">
        <v>28</v>
      </c>
      <c r="F9" s="5" t="s">
        <v>260</v>
      </c>
      <c r="G9" s="5" t="s">
        <v>285</v>
      </c>
      <c r="H9" s="5" t="s">
        <v>262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318</v>
      </c>
      <c r="S9" s="7"/>
    </row>
    <row r="10" spans="2:19" x14ac:dyDescent="0.35">
      <c r="B10" t="s">
        <v>7</v>
      </c>
      <c r="C10" s="8" t="s">
        <v>30</v>
      </c>
      <c r="D10" s="183">
        <f>SUM('Normalized Therms'!P9,'Normalized Therms'!P11)</f>
        <v>609248315.15931809</v>
      </c>
      <c r="E10" s="155">
        <f>SUM('[64]Margin Exhibit'!$F$13:$F$14)</f>
        <v>314232967.52196467</v>
      </c>
      <c r="F10" s="155">
        <f>SUM('[64]Margin Exhibit'!$E$13:$E$14)</f>
        <v>199011335.5518544</v>
      </c>
      <c r="G10" s="155">
        <f>'Schedule 106 Revenue'!F8</f>
        <v>-2345605.69</v>
      </c>
      <c r="H10" s="155">
        <f>'Schedule 120 Revenue'!F8</f>
        <v>11057856.920141622</v>
      </c>
      <c r="I10" s="155">
        <f>'Schedule 129 Revenue'!G8</f>
        <v>3271663.4524055379</v>
      </c>
      <c r="J10" s="155">
        <f>'Schedule 140 Revenue'!F8</f>
        <v>13616699.843810759</v>
      </c>
      <c r="K10" s="155">
        <f>SUM('Schedule 141 Revenue'!$G$9:$G$14)</f>
        <v>19233241.550000001</v>
      </c>
      <c r="L10" s="155">
        <f>SUM('Schedule 141X Revenue'!$G$9:$G$14)</f>
        <v>-4328500.88</v>
      </c>
      <c r="M10" s="155">
        <f>'Schedule 141Y Revenue'!F8</f>
        <v>-6445847.1743855858</v>
      </c>
      <c r="N10" s="155">
        <f>'Sch 142 Revenue (Decoupling)'!G10</f>
        <v>11910804.560000001</v>
      </c>
      <c r="O10" s="155">
        <f>'Schedule 149 Revenue'!$F$8</f>
        <v>6829673.6129359556</v>
      </c>
      <c r="P10" s="161">
        <f>SUM(E10:O10)</f>
        <v>566044289.26872718</v>
      </c>
      <c r="Q10" s="155">
        <f>'Schedule 149 Revenue'!$G$8</f>
        <v>-6829673.6129359556</v>
      </c>
      <c r="R10" s="224">
        <f>Q10/P10</f>
        <v>-1.206561702399509E-2</v>
      </c>
    </row>
    <row r="11" spans="2:19" x14ac:dyDescent="0.35">
      <c r="B11" t="s">
        <v>31</v>
      </c>
      <c r="C11" s="8">
        <v>16</v>
      </c>
      <c r="D11" s="183">
        <f>'Normalized Therms'!P10</f>
        <v>9386</v>
      </c>
      <c r="E11" s="155">
        <f>'[64]Margin Exhibit'!$F$12</f>
        <v>4786.8599999999988</v>
      </c>
      <c r="F11" s="155">
        <f>'[64]Margin Exhibit'!$E$12</f>
        <v>3067.7400000000002</v>
      </c>
      <c r="G11" s="155">
        <f>'Schedule 106 Revenue'!F9</f>
        <v>-36.14</v>
      </c>
      <c r="H11" s="155">
        <f>'Schedule 120 Revenue'!F9</f>
        <v>170.35589999999999</v>
      </c>
      <c r="I11" s="155"/>
      <c r="J11" s="155">
        <f>'Schedule 140 Revenue'!F9</f>
        <v>209.77710000000002</v>
      </c>
      <c r="K11" s="155">
        <f>'Schedule 141 Revenue'!$G$17</f>
        <v>291.45999999999998</v>
      </c>
      <c r="L11" s="155">
        <f>'Schedule 141X Revenue'!$G$17</f>
        <v>-64.22</v>
      </c>
      <c r="M11" s="155">
        <f>'Schedule 141Y Revenue'!F9</f>
        <v>-99.303880000000007</v>
      </c>
      <c r="N11" s="155"/>
      <c r="O11" s="155">
        <f>'Schedule 149 Revenue'!$F$9</f>
        <v>105.21705999999999</v>
      </c>
      <c r="P11" s="161">
        <f t="shared" ref="P11:P22" si="0">SUM(E11:O11)</f>
        <v>8431.7461799999983</v>
      </c>
      <c r="Q11" s="155">
        <f>'Schedule 149 Revenue'!$G$9</f>
        <v>-105.21705999999999</v>
      </c>
      <c r="R11" s="224">
        <f t="shared" ref="R11:R23" si="1">Q11/P11</f>
        <v>-1.2478679712818396E-2</v>
      </c>
    </row>
    <row r="12" spans="2:19" x14ac:dyDescent="0.35">
      <c r="B12" t="s">
        <v>8</v>
      </c>
      <c r="C12" s="8">
        <v>31</v>
      </c>
      <c r="D12" s="183">
        <f>'Normalized Therms'!P12</f>
        <v>234140158.08963937</v>
      </c>
      <c r="E12" s="155">
        <f>'[64]Margin Exhibit'!$F$15</f>
        <v>93351851.201542571</v>
      </c>
      <c r="F12" s="155">
        <f>'[64]Margin Exhibit'!$E$15</f>
        <v>74627492.587910756</v>
      </c>
      <c r="G12" s="155">
        <f>'Schedule 106 Revenue'!F10</f>
        <v>-899098.21</v>
      </c>
      <c r="H12" s="155">
        <f>'Schedule 120 Revenue'!F10</f>
        <v>4249643.8693269547</v>
      </c>
      <c r="I12" s="155">
        <f>'Schedule 129 Revenue'!G10</f>
        <v>1002119.8766236565</v>
      </c>
      <c r="J12" s="155">
        <f>'Schedule 140 Revenue'!F10</f>
        <v>5919063.196506083</v>
      </c>
      <c r="K12" s="155">
        <f>SUM('Schedule 141 Revenue'!$G$20:$G$22)</f>
        <v>6148767.6599999992</v>
      </c>
      <c r="L12" s="155">
        <f>SUM('Schedule 141X Revenue'!$G$20:$G$22)</f>
        <v>-1283448.5900000001</v>
      </c>
      <c r="M12" s="155">
        <f>'Schedule 141Y Revenue'!F10</f>
        <v>-2746464.0543914698</v>
      </c>
      <c r="N12" s="155">
        <f>'Sch 142 Revenue (Decoupling)'!G15</f>
        <v>-2435057.65</v>
      </c>
      <c r="O12" s="155">
        <f>'Schedule 149 Revenue'!$F$10</f>
        <v>2547444.9200152764</v>
      </c>
      <c r="P12" s="161">
        <f t="shared" si="0"/>
        <v>180482314.8075338</v>
      </c>
      <c r="Q12" s="155">
        <f>'Schedule 149 Revenue'!$G$10</f>
        <v>-2547444.9200152764</v>
      </c>
      <c r="R12" s="224">
        <f t="shared" si="1"/>
        <v>-1.4114651193009519E-2</v>
      </c>
    </row>
    <row r="13" spans="2:19" x14ac:dyDescent="0.35">
      <c r="B13" t="s">
        <v>9</v>
      </c>
      <c r="C13" s="8">
        <v>41</v>
      </c>
      <c r="D13" s="183">
        <f>'Normalized Therms'!P13</f>
        <v>65836657.463465482</v>
      </c>
      <c r="E13" s="155">
        <f>'[64]Margin Exhibit'!$F$17</f>
        <v>15357393.334420495</v>
      </c>
      <c r="F13" s="155">
        <f>'[64]Margin Exhibit'!$E$17</f>
        <v>19641243.467653014</v>
      </c>
      <c r="G13" s="155">
        <f>'Schedule 106 Revenue'!F11</f>
        <v>-248862.57</v>
      </c>
      <c r="H13" s="155">
        <f>'Schedule 120 Revenue'!F11</f>
        <v>1194935.3329618985</v>
      </c>
      <c r="I13" s="155">
        <f>'Schedule 129 Revenue'!G13</f>
        <v>148132.47929279733</v>
      </c>
      <c r="J13" s="155">
        <f>'Schedule 140 Revenue'!F11</f>
        <v>588579.71772338136</v>
      </c>
      <c r="K13" s="155">
        <f>SUM('Schedule 141 Revenue'!$G$32:$G$41)</f>
        <v>1234386.9100000001</v>
      </c>
      <c r="L13" s="155">
        <f>SUM('Schedule 141X Revenue'!$G$32:$G$41)</f>
        <v>-213016.37</v>
      </c>
      <c r="M13" s="155">
        <f>'Schedule 141Y Revenue'!F11</f>
        <v>-306798.82377974916</v>
      </c>
      <c r="N13" s="155">
        <f>'Sch 142 Revenue (Decoupling)'!G28</f>
        <v>-83727.23</v>
      </c>
      <c r="O13" s="155">
        <f>'Schedule 149 Revenue'!$F$11</f>
        <v>409504.00942275528</v>
      </c>
      <c r="P13" s="161">
        <f t="shared" si="0"/>
        <v>37721770.257694609</v>
      </c>
      <c r="Q13" s="155">
        <f>'Schedule 149 Revenue'!$G$11</f>
        <v>-409504.00942275528</v>
      </c>
      <c r="R13" s="224">
        <f t="shared" si="1"/>
        <v>-1.0855906459989727E-2</v>
      </c>
    </row>
    <row r="14" spans="2:19" x14ac:dyDescent="0.35">
      <c r="B14" t="s">
        <v>10</v>
      </c>
      <c r="C14" s="8">
        <v>85</v>
      </c>
      <c r="D14" s="183">
        <f>'Normalized Therms'!P14</f>
        <v>16184434.068649085</v>
      </c>
      <c r="E14" s="155">
        <f>'[64]Margin Exhibit'!$F$20</f>
        <v>1574656.0043214299</v>
      </c>
      <c r="F14" s="155">
        <f>'[64]Margin Exhibit'!$E$20</f>
        <v>4463767.6376989819</v>
      </c>
      <c r="G14" s="155">
        <f>'Schedule 106 Revenue'!F12</f>
        <v>-60853.47</v>
      </c>
      <c r="H14" s="155">
        <f>'Schedule 120 Revenue'!F12</f>
        <v>249725.81767925539</v>
      </c>
      <c r="I14" s="155">
        <f>'Schedule 129 Revenue'!G20</f>
        <v>17884.310095044017</v>
      </c>
      <c r="J14" s="155">
        <f>'Schedule 140 Revenue'!F12</f>
        <v>81731.39204667788</v>
      </c>
      <c r="K14" s="155">
        <f>SUM('Schedule 141 Revenue'!$G$54:$G$61)</f>
        <v>154970.82999999999</v>
      </c>
      <c r="L14" s="155">
        <f>SUM('Schedule 141X Revenue'!$G$54:$G$61)</f>
        <v>-21685.5</v>
      </c>
      <c r="M14" s="155">
        <f>'Schedule 141Y Revenue'!F12</f>
        <v>-41432.151215741658</v>
      </c>
      <c r="N14" s="155"/>
      <c r="O14" s="155">
        <f>'Schedule 149 Revenue'!$F$12</f>
        <v>53570.476767228472</v>
      </c>
      <c r="P14" s="161">
        <f t="shared" si="0"/>
        <v>6472335.3473928766</v>
      </c>
      <c r="Q14" s="155">
        <f>'Schedule 149 Revenue'!$G$12</f>
        <v>-53570.476767228472</v>
      </c>
      <c r="R14" s="224">
        <f t="shared" si="1"/>
        <v>-8.2768388675669002E-3</v>
      </c>
    </row>
    <row r="15" spans="2:19" x14ac:dyDescent="0.35">
      <c r="B15" t="s">
        <v>11</v>
      </c>
      <c r="C15" s="8">
        <v>86</v>
      </c>
      <c r="D15" s="183">
        <f>'Normalized Therms'!P15</f>
        <v>9397200.2729263529</v>
      </c>
      <c r="E15" s="155">
        <f>'[64]Margin Exhibit'!$F$22</f>
        <v>1991251.2003532224</v>
      </c>
      <c r="F15" s="155">
        <f>'[64]Margin Exhibit'!$E$22</f>
        <v>2604595.1595833455</v>
      </c>
      <c r="G15" s="155">
        <f>'Schedule 106 Revenue'!F13</f>
        <v>-35333.47</v>
      </c>
      <c r="H15" s="155">
        <f>'Schedule 120 Revenue'!F13</f>
        <v>144998.80021125361</v>
      </c>
      <c r="I15" s="155">
        <f>'Schedule 129 Revenue'!G22</f>
        <v>20579.868597708715</v>
      </c>
      <c r="J15" s="155">
        <f>'Schedule 140 Revenue'!F13</f>
        <v>72076.526093345121</v>
      </c>
      <c r="K15" s="155">
        <f>SUM('Schedule 141 Revenue'!$G$73:$G$79)</f>
        <v>159857.76</v>
      </c>
      <c r="L15" s="155">
        <f>SUM('Schedule 141X Revenue'!$G$73:$G$79)</f>
        <v>-27322.34</v>
      </c>
      <c r="M15" s="155">
        <f>'Schedule 141Y Revenue'!F13</f>
        <v>-39186.325138102889</v>
      </c>
      <c r="N15" s="155">
        <f>'Sch 142 Revenue (Decoupling)'!G46</f>
        <v>-9583.51</v>
      </c>
      <c r="O15" s="155">
        <f>'Schedule 149 Revenue'!$F$13</f>
        <v>38998.381132644368</v>
      </c>
      <c r="P15" s="161">
        <f t="shared" si="0"/>
        <v>4920932.0508334171</v>
      </c>
      <c r="Q15" s="155">
        <f>'Schedule 149 Revenue'!$G$13</f>
        <v>-38998.381132644368</v>
      </c>
      <c r="R15" s="224">
        <f t="shared" si="1"/>
        <v>-7.9249989087005462E-3</v>
      </c>
    </row>
    <row r="16" spans="2:19" x14ac:dyDescent="0.35">
      <c r="B16" t="s">
        <v>12</v>
      </c>
      <c r="C16" s="8">
        <v>87</v>
      </c>
      <c r="D16" s="183">
        <f>'Normalized Therms'!P16</f>
        <v>23337042.118500698</v>
      </c>
      <c r="E16" s="155">
        <f>'[64]Margin Exhibit'!$F$24</f>
        <v>1086501.2115640081</v>
      </c>
      <c r="F16" s="155">
        <f>'[64]Margin Exhibit'!$E$24</f>
        <v>6311269.6705273287</v>
      </c>
      <c r="G16" s="155">
        <f>'Schedule 106 Revenue'!F14</f>
        <v>-87280.54</v>
      </c>
      <c r="H16" s="155">
        <f>'Schedule 120 Revenue'!F14</f>
        <v>360090.55988846574</v>
      </c>
      <c r="I16" s="155">
        <f>'Schedule 129 Revenue'!G32</f>
        <v>10515.786654565174</v>
      </c>
      <c r="J16" s="155">
        <f>'Schedule 140 Revenue'!F14</f>
        <v>63710.124983506903</v>
      </c>
      <c r="K16" s="155">
        <f>SUM('Schedule 141 Revenue'!$G$91:$G$101)</f>
        <v>107717.15</v>
      </c>
      <c r="L16" s="155">
        <f>SUM('Schedule 141X Revenue'!$G$91:$G$101)</f>
        <v>-15133.51</v>
      </c>
      <c r="M16" s="155">
        <f>'Schedule 141Y Revenue'!F14</f>
        <v>-32205.118123530963</v>
      </c>
      <c r="N16" s="155"/>
      <c r="O16" s="155">
        <f>'Schedule 149 Revenue'!$F$14</f>
        <v>47140.825079371411</v>
      </c>
      <c r="P16" s="161">
        <f t="shared" si="0"/>
        <v>7852326.1605737153</v>
      </c>
      <c r="Q16" s="155">
        <f>'Schedule 149 Revenue'!$G$14</f>
        <v>-47140.825079371411</v>
      </c>
      <c r="R16" s="224">
        <f t="shared" si="1"/>
        <v>-6.0034216759950725E-3</v>
      </c>
    </row>
    <row r="17" spans="2:21" x14ac:dyDescent="0.35">
      <c r="B17" t="s">
        <v>32</v>
      </c>
      <c r="C17" s="8" t="s">
        <v>33</v>
      </c>
      <c r="D17" s="183">
        <f>'Normalized Therms'!P17</f>
        <v>36359.963605097219</v>
      </c>
      <c r="E17" s="155">
        <f>'[64]Margin Exhibit'!$F$16</f>
        <v>21683.969272602408</v>
      </c>
      <c r="F17" s="155">
        <f>'[64]Margin Exhibit'!$E$16</f>
        <v>25.451974523568055</v>
      </c>
      <c r="G17" s="208"/>
      <c r="H17" s="155"/>
      <c r="I17" s="155">
        <f>'Schedule 129 Revenue'!G11</f>
        <v>155.62064422981609</v>
      </c>
      <c r="J17" s="155">
        <f>'Schedule 140 Revenue'!F15</f>
        <v>919.17987993685767</v>
      </c>
      <c r="K17" s="155">
        <f>SUM('Schedule 141 Revenue'!$G$25:$G$26)</f>
        <v>927.83999999999992</v>
      </c>
      <c r="L17" s="155">
        <f>SUM('Schedule 141X Revenue'!$G$25:$G$26)</f>
        <v>-298.23</v>
      </c>
      <c r="M17" s="155">
        <f>'Schedule 141Y Revenue'!F15</f>
        <v>-426.50237308779043</v>
      </c>
      <c r="N17" s="155">
        <f>'Sch 142 Revenue (Decoupling)'!G20</f>
        <v>-359.24</v>
      </c>
      <c r="O17" s="155">
        <f>'Schedule 149 Revenue'!$F$15</f>
        <v>395.59640402345775</v>
      </c>
      <c r="P17" s="161">
        <f t="shared" si="0"/>
        <v>23023.685802228316</v>
      </c>
      <c r="Q17" s="155">
        <f>'Schedule 149 Revenue'!$G$15</f>
        <v>-395.59640402345775</v>
      </c>
      <c r="R17" s="224">
        <f t="shared" si="1"/>
        <v>-1.718214917548825E-2</v>
      </c>
    </row>
    <row r="18" spans="2:21" x14ac:dyDescent="0.35">
      <c r="B18" t="s">
        <v>34</v>
      </c>
      <c r="C18" t="s">
        <v>35</v>
      </c>
      <c r="D18" s="183">
        <f>'Normalized Therms'!P18</f>
        <v>20492334.449073855</v>
      </c>
      <c r="E18" s="155">
        <f>'[64]Margin Exhibit'!$F$18</f>
        <v>4121663.298224709</v>
      </c>
      <c r="F18" s="155">
        <f>'[64]Margin Exhibit'!$E$18</f>
        <v>14344.634114351697</v>
      </c>
      <c r="G18" s="208"/>
      <c r="H18" s="155"/>
      <c r="I18" s="155">
        <f>'Schedule 129 Revenue'!G14</f>
        <v>46107.752510416169</v>
      </c>
      <c r="J18" s="155">
        <f>'Schedule 140 Revenue'!F16</f>
        <v>183201.46997472027</v>
      </c>
      <c r="K18" s="155">
        <f>SUM('Schedule 141 Revenue'!$G$44:$G$51)</f>
        <v>175675.18</v>
      </c>
      <c r="L18" s="155">
        <f>SUM('Schedule 141X Revenue'!$G$44:$G$51)</f>
        <v>-56388.93</v>
      </c>
      <c r="M18" s="155">
        <f>'Schedule 141Y Revenue'!F16</f>
        <v>-95494.278532684169</v>
      </c>
      <c r="N18" s="155">
        <f>'Sch 142 Revenue (Decoupling)'!G36</f>
        <v>-23674.83</v>
      </c>
      <c r="O18" s="155">
        <f>'Schedule 149 Revenue'!$F$16</f>
        <v>127462.32027323937</v>
      </c>
      <c r="P18" s="161">
        <f>SUM(E18:O18)</f>
        <v>4492896.6165647525</v>
      </c>
      <c r="Q18" s="155">
        <f>'Schedule 149 Revenue'!$G$16</f>
        <v>-127462.32027323937</v>
      </c>
      <c r="R18" s="224">
        <f t="shared" si="1"/>
        <v>-2.8369742540547586E-2</v>
      </c>
    </row>
    <row r="19" spans="2:21" x14ac:dyDescent="0.35">
      <c r="B19" t="s">
        <v>36</v>
      </c>
      <c r="C19" t="s">
        <v>37</v>
      </c>
      <c r="D19" s="183">
        <f>'Normalized Therms'!P19</f>
        <v>74773537.134971097</v>
      </c>
      <c r="E19" s="155">
        <f>'[64]Margin Exhibit'!$F$21</f>
        <v>6937069.4664573576</v>
      </c>
      <c r="F19" s="155">
        <f>'[64]Margin Exhibit'!$E$21</f>
        <v>52341.475994479762</v>
      </c>
      <c r="G19" s="208"/>
      <c r="H19" s="155"/>
      <c r="I19" s="155">
        <f>'Schedule 129 Revenue'!G38</f>
        <v>75620.592903934681</v>
      </c>
      <c r="J19" s="155">
        <f>'Schedule 140 Revenue'!F17</f>
        <v>377606.36253160401</v>
      </c>
      <c r="K19" s="155">
        <f>SUM('Schedule 141 Revenue'!$G$64:$G$70)</f>
        <v>298509.95</v>
      </c>
      <c r="L19" s="155">
        <f>SUM('Schedule 141X Revenue'!$G$64:$G$70)</f>
        <v>-95437.49</v>
      </c>
      <c r="M19" s="155">
        <f>'Schedule 141Y Revenue'!F17</f>
        <v>-191420.25506552603</v>
      </c>
      <c r="N19" s="155"/>
      <c r="O19" s="155">
        <f>'Schedule 149 Revenue'!$F$17</f>
        <v>247500.40791675434</v>
      </c>
      <c r="P19" s="161">
        <f t="shared" si="0"/>
        <v>7701790.5107386047</v>
      </c>
      <c r="Q19" s="155">
        <f>'Schedule 149 Revenue'!$G$17</f>
        <v>-247500.40791675434</v>
      </c>
      <c r="R19" s="224">
        <f t="shared" si="1"/>
        <v>-3.2135437541655355E-2</v>
      </c>
    </row>
    <row r="20" spans="2:21" x14ac:dyDescent="0.35">
      <c r="B20" t="s">
        <v>38</v>
      </c>
      <c r="C20" t="s">
        <v>39</v>
      </c>
      <c r="D20" s="183">
        <f>'Normalized Therms'!P20</f>
        <v>351288.14999999997</v>
      </c>
      <c r="E20" s="155">
        <f>'[64]Margin Exhibit'!$F$23</f>
        <v>70956.431430000011</v>
      </c>
      <c r="F20" s="155">
        <f>'[64]Margin Exhibit'!$E$23</f>
        <v>245.90170499999999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Revenue'!$F$18</f>
        <v>1457.8458224999999</v>
      </c>
      <c r="P20" s="161">
        <f t="shared" si="0"/>
        <v>76576.498531000005</v>
      </c>
      <c r="Q20" s="155">
        <f>'Schedule 149 Revenue'!$G$18</f>
        <v>-1457.8458224999999</v>
      </c>
      <c r="R20" s="224">
        <f t="shared" si="1"/>
        <v>-1.9037770732097774E-2</v>
      </c>
    </row>
    <row r="21" spans="2:21" x14ac:dyDescent="0.35">
      <c r="B21" t="s">
        <v>40</v>
      </c>
      <c r="C21" t="s">
        <v>41</v>
      </c>
      <c r="D21" s="183">
        <f>'Normalized Therms'!P21</f>
        <v>100441128.37470125</v>
      </c>
      <c r="E21" s="155">
        <f>'[64]Margin Exhibit'!$F$25</f>
        <v>3532189.3071032236</v>
      </c>
      <c r="F21" s="155">
        <f>'[64]Margin Exhibit'!$E$25</f>
        <v>70308.789862290869</v>
      </c>
      <c r="G21" s="155"/>
      <c r="H21" s="155"/>
      <c r="I21" s="155">
        <f>'Schedule 129 Revenue'!G47</f>
        <v>36834.86522637531</v>
      </c>
      <c r="J21" s="155">
        <f>'Schedule 140 Revenue'!F19</f>
        <v>274204.2804629344</v>
      </c>
      <c r="K21" s="155">
        <f>SUM('Schedule 141 Revenue'!$G$104:$G$114)</f>
        <v>152926.33000000002</v>
      </c>
      <c r="L21" s="155">
        <f>SUM('Schedule 141X Revenue'!$G$104:$G$114)</f>
        <v>-48636.41</v>
      </c>
      <c r="M21" s="155">
        <f>'Schedule 141Y Revenue'!F19</f>
        <v>-138608.7571570877</v>
      </c>
      <c r="N21" s="155"/>
      <c r="O21" s="155">
        <f>'Schedule 149 Revenue'!$F$19</f>
        <v>202891.07931689653</v>
      </c>
      <c r="P21" s="161">
        <f t="shared" si="0"/>
        <v>4082109.4848146331</v>
      </c>
      <c r="Q21" s="155">
        <f>'Schedule 149 Revenue'!$G$19</f>
        <v>-202891.07931689653</v>
      </c>
      <c r="R21" s="224">
        <f t="shared" si="1"/>
        <v>-4.9702507997800488E-2</v>
      </c>
    </row>
    <row r="22" spans="2:21" x14ac:dyDescent="0.35">
      <c r="B22" t="s">
        <v>13</v>
      </c>
      <c r="D22" s="183">
        <f>'Normalized Therms'!P22</f>
        <v>37056427.854413897</v>
      </c>
      <c r="E22" s="155">
        <f>'[64]Margin Exhibit'!$F$26</f>
        <v>1718916.583166973</v>
      </c>
      <c r="F22" s="155"/>
      <c r="G22" s="155"/>
      <c r="H22" s="155"/>
      <c r="I22" s="155"/>
      <c r="J22" s="155">
        <f>'Schedule 140 Revenue'!F20</f>
        <v>127103.54754063966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-64478.184466680184</v>
      </c>
      <c r="N22" s="155"/>
      <c r="O22" s="155">
        <f>'Schedule 149 Revenue'!$F$20</f>
        <v>91529.37680040233</v>
      </c>
      <c r="P22" s="161">
        <f t="shared" si="0"/>
        <v>1896683.4197041513</v>
      </c>
      <c r="Q22" s="155">
        <f>'Schedule 149 Revenue'!$G$20</f>
        <v>-91529.37680040233</v>
      </c>
      <c r="R22" s="224">
        <f t="shared" si="1"/>
        <v>-4.8257593148929023E-2</v>
      </c>
    </row>
    <row r="23" spans="2:21" x14ac:dyDescent="0.35">
      <c r="B23" t="s">
        <v>6</v>
      </c>
      <c r="D23" s="15">
        <f>SUM(D10:D22)</f>
        <v>1191304269.0992641</v>
      </c>
      <c r="E23" s="16">
        <f>SUM(E10:E22)</f>
        <v>444001886.38982123</v>
      </c>
      <c r="F23" s="16">
        <f t="shared" ref="F23:H23" si="2">SUM(F10:F22)</f>
        <v>306800038.06887847</v>
      </c>
      <c r="G23" s="16">
        <f t="shared" si="2"/>
        <v>-3677070.0900000003</v>
      </c>
      <c r="H23" s="16">
        <f t="shared" si="2"/>
        <v>17257421.656109452</v>
      </c>
      <c r="I23" s="16">
        <f>SUM(I10:I22)</f>
        <v>4630383.9260027641</v>
      </c>
      <c r="J23" s="16">
        <f>SUM(J10:J22)</f>
        <v>21307799.798764087</v>
      </c>
      <c r="K23" s="16">
        <f>SUM(K10:K22)</f>
        <v>27705929.76204247</v>
      </c>
      <c r="L23" s="16">
        <f>SUM(L10:L22)</f>
        <v>-6102680.9253796535</v>
      </c>
      <c r="M23" s="16">
        <f>SUM(M10:M22)</f>
        <v>-10103925.800094746</v>
      </c>
      <c r="N23" s="16">
        <f t="shared" ref="N23:P23" si="3">SUM(N10:N22)</f>
        <v>9358023</v>
      </c>
      <c r="O23" s="16">
        <f t="shared" si="3"/>
        <v>10597674.068947049</v>
      </c>
      <c r="P23" s="162">
        <f t="shared" si="3"/>
        <v>821775479.85509121</v>
      </c>
      <c r="Q23" s="16">
        <f>SUM(Q10:Q22)</f>
        <v>-10597674.068947049</v>
      </c>
      <c r="R23" s="225">
        <f t="shared" si="1"/>
        <v>-1.289606994700767E-2</v>
      </c>
      <c r="S23" s="12"/>
    </row>
    <row r="24" spans="2:21" s="24" customFormat="1" x14ac:dyDescent="0.3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6.5" x14ac:dyDescent="0.35">
      <c r="B25" s="17" t="s">
        <v>286</v>
      </c>
      <c r="C25" s="17"/>
      <c r="D25" s="207">
        <f>'12ME Dec18 Rentals'!$O$30</f>
        <v>351449</v>
      </c>
      <c r="E25" s="155">
        <f>'[64]Revenue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/>
      <c r="R25" s="224">
        <f>Q25/P25</f>
        <v>0</v>
      </c>
      <c r="S25" s="27"/>
      <c r="T25" s="25"/>
      <c r="U25" s="28"/>
    </row>
    <row r="26" spans="2:21" s="24" customFormat="1" x14ac:dyDescent="0.35">
      <c r="B26" s="197" t="s">
        <v>6</v>
      </c>
      <c r="C26" s="197"/>
      <c r="D26" s="31"/>
      <c r="E26" s="30">
        <f>E23+E25</f>
        <v>449312267.07982123</v>
      </c>
      <c r="F26" s="30">
        <f t="shared" ref="F26:H26" si="4">F23+F25</f>
        <v>306800038.06887847</v>
      </c>
      <c r="G26" s="30">
        <f t="shared" si="4"/>
        <v>-3677070.0900000003</v>
      </c>
      <c r="H26" s="30">
        <f t="shared" si="4"/>
        <v>17257421.656109452</v>
      </c>
      <c r="I26" s="30">
        <f>I23+I25</f>
        <v>4630383.9260027641</v>
      </c>
      <c r="J26" s="30">
        <f>J23+J25</f>
        <v>21490553.278764088</v>
      </c>
      <c r="K26" s="30">
        <f>K23+K25</f>
        <v>27933316.812042471</v>
      </c>
      <c r="L26" s="30">
        <f>L23+L25</f>
        <v>-6175924.5553796533</v>
      </c>
      <c r="M26" s="30">
        <f>M23+M25</f>
        <v>-10128527.230094746</v>
      </c>
      <c r="N26" s="30">
        <f t="shared" ref="N26:Q26" si="5">N23+N25</f>
        <v>9358023</v>
      </c>
      <c r="O26" s="30">
        <f t="shared" si="5"/>
        <v>10597674.068947049</v>
      </c>
      <c r="P26" s="30">
        <f t="shared" si="5"/>
        <v>827398156.01509118</v>
      </c>
      <c r="Q26" s="30">
        <f t="shared" si="5"/>
        <v>-10597674.068947049</v>
      </c>
      <c r="R26" s="225">
        <f>Q26/P26</f>
        <v>-1.2808433269887242E-2</v>
      </c>
      <c r="S26" s="27"/>
    </row>
    <row r="27" spans="2:21" x14ac:dyDescent="0.35">
      <c r="I27" s="12"/>
      <c r="L27" s="12"/>
      <c r="M27" s="12"/>
      <c r="N27" s="12"/>
      <c r="P27" s="12"/>
      <c r="R27" s="226"/>
    </row>
    <row r="28" spans="2:21" x14ac:dyDescent="0.35">
      <c r="D28" s="32"/>
      <c r="I28" s="12"/>
      <c r="M28" s="12"/>
      <c r="N28" s="12"/>
      <c r="P28" s="12"/>
      <c r="R28" s="226"/>
    </row>
    <row r="29" spans="2:21" s="24" customFormat="1" x14ac:dyDescent="0.35">
      <c r="B29" s="33" t="s">
        <v>42</v>
      </c>
      <c r="C29" s="33"/>
      <c r="Q29" s="34"/>
      <c r="R29" s="27"/>
    </row>
    <row r="30" spans="2:21" s="24" customFormat="1" x14ac:dyDescent="0.35">
      <c r="B30" s="197" t="s">
        <v>43</v>
      </c>
      <c r="C30" s="197"/>
      <c r="D30" s="252">
        <f>D10+D11</f>
        <v>609257701.15931809</v>
      </c>
      <c r="E30" s="35">
        <f>E10+E11</f>
        <v>314237754.38196468</v>
      </c>
      <c r="I30" s="35"/>
      <c r="M30" s="35"/>
      <c r="N30" s="35"/>
      <c r="P30" s="35">
        <f>P10+P11</f>
        <v>566052721.01490724</v>
      </c>
      <c r="Q30" s="12">
        <f>SUM(Q10:Q11)</f>
        <v>-6829778.8299959553</v>
      </c>
      <c r="R30" s="224">
        <f t="shared" ref="R30:R37" si="6">Q30/P30</f>
        <v>-1.2065623176849087E-2</v>
      </c>
      <c r="S30" s="36"/>
    </row>
    <row r="31" spans="2:21" s="24" customFormat="1" x14ac:dyDescent="0.35">
      <c r="B31" s="37" t="s">
        <v>44</v>
      </c>
      <c r="C31" s="37"/>
      <c r="D31" s="252">
        <f>D12+D17</f>
        <v>234176518.05324447</v>
      </c>
      <c r="E31" s="35">
        <f>E12+E17</f>
        <v>93373535.17081517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180505338.49333602</v>
      </c>
      <c r="Q31" s="12">
        <f>SUM(Q12,Q17)</f>
        <v>-2547840.5164192999</v>
      </c>
      <c r="R31" s="224">
        <f t="shared" si="6"/>
        <v>-1.4115042456283708E-2</v>
      </c>
    </row>
    <row r="32" spans="2:21" s="24" customFormat="1" x14ac:dyDescent="0.35">
      <c r="B32" s="197" t="s">
        <v>45</v>
      </c>
      <c r="C32" s="197"/>
      <c r="D32" s="252">
        <f t="shared" ref="D32:D35" si="7">D13+D18</f>
        <v>86328991.912539333</v>
      </c>
      <c r="E32" s="35">
        <f>E13+E18</f>
        <v>19479056.632645205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42214666.87425936</v>
      </c>
      <c r="Q32" s="12">
        <f>SUM(Q13,Q18)</f>
        <v>-536966.32969599462</v>
      </c>
      <c r="R32" s="224">
        <f t="shared" si="6"/>
        <v>-1.2719899728106417E-2</v>
      </c>
    </row>
    <row r="33" spans="2:18" s="24" customFormat="1" x14ac:dyDescent="0.35">
      <c r="B33" s="197" t="s">
        <v>46</v>
      </c>
      <c r="C33" s="197"/>
      <c r="D33" s="252">
        <f t="shared" si="7"/>
        <v>90957971.20362018</v>
      </c>
      <c r="E33" s="35">
        <f>E14+E19</f>
        <v>8511725.4707787875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14174125.858131481</v>
      </c>
      <c r="Q33" s="12">
        <f>SUM(Q14,Q19)</f>
        <v>-301070.88468398282</v>
      </c>
      <c r="R33" s="224">
        <f t="shared" si="6"/>
        <v>-2.1240878463856944E-2</v>
      </c>
    </row>
    <row r="34" spans="2:18" s="24" customFormat="1" x14ac:dyDescent="0.35">
      <c r="B34" s="197" t="s">
        <v>47</v>
      </c>
      <c r="C34" s="197"/>
      <c r="D34" s="252">
        <f t="shared" si="7"/>
        <v>9748488.4229263533</v>
      </c>
      <c r="E34" s="35">
        <f>E15+E20</f>
        <v>2062207.6317832225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4997508.5493644169</v>
      </c>
      <c r="Q34" s="12">
        <f>SUM(Q15,Q20)</f>
        <v>-40456.226955144368</v>
      </c>
      <c r="R34" s="224">
        <f t="shared" si="6"/>
        <v>-8.0952791887248677E-3</v>
      </c>
    </row>
    <row r="35" spans="2:18" s="24" customFormat="1" x14ac:dyDescent="0.35">
      <c r="B35" s="17" t="s">
        <v>48</v>
      </c>
      <c r="C35" s="17"/>
      <c r="D35" s="252">
        <f t="shared" si="7"/>
        <v>123778170.49320194</v>
      </c>
      <c r="E35" s="35">
        <f>E16+E21</f>
        <v>4618690.5186672322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11934435.645388348</v>
      </c>
      <c r="Q35" s="12">
        <f>SUM(Q16,Q21)</f>
        <v>-250031.90439626796</v>
      </c>
      <c r="R35" s="224">
        <f t="shared" si="6"/>
        <v>-2.095045897648995E-2</v>
      </c>
    </row>
    <row r="36" spans="2:18" s="24" customFormat="1" x14ac:dyDescent="0.35">
      <c r="B36" s="253" t="s">
        <v>13</v>
      </c>
      <c r="C36" s="17"/>
      <c r="D36" s="252">
        <f>D22</f>
        <v>37056427.854413897</v>
      </c>
      <c r="E36" s="35">
        <f>E22</f>
        <v>1718916.583166973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1896683.4197041513</v>
      </c>
      <c r="Q36" s="12">
        <f>Q22</f>
        <v>-91529.37680040233</v>
      </c>
      <c r="R36" s="224">
        <f t="shared" si="6"/>
        <v>-4.8257593148929023E-2</v>
      </c>
    </row>
    <row r="37" spans="2:18" s="24" customFormat="1" x14ac:dyDescent="0.35">
      <c r="B37" s="40" t="s">
        <v>14</v>
      </c>
      <c r="C37" s="40"/>
      <c r="D37" s="254">
        <f>SUM(D30:D36)</f>
        <v>1191304269.0992644</v>
      </c>
      <c r="E37" s="41">
        <f>SUM(E30:E36)</f>
        <v>444001886.38982123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821775479.85509121</v>
      </c>
      <c r="Q37" s="41">
        <f>SUM(Q30:Q36)</f>
        <v>-10597674.068947047</v>
      </c>
      <c r="R37" s="225">
        <f t="shared" si="6"/>
        <v>-1.2896069947007668E-2</v>
      </c>
    </row>
    <row r="38" spans="2:18" s="24" customFormat="1" x14ac:dyDescent="0.35">
      <c r="B38" s="17"/>
      <c r="C38" s="17"/>
      <c r="D38" s="252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35">
      <c r="B39" s="17" t="s">
        <v>267</v>
      </c>
      <c r="C39" s="17"/>
      <c r="D39" s="252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0</v>
      </c>
      <c r="R39" s="224">
        <f>Q39/P39</f>
        <v>0</v>
      </c>
    </row>
    <row r="40" spans="2:18" s="31" customFormat="1" x14ac:dyDescent="0.35">
      <c r="B40" s="197" t="s">
        <v>6</v>
      </c>
      <c r="C40" s="197"/>
      <c r="D40" s="254">
        <f>D39+D37</f>
        <v>1191304269.0992644</v>
      </c>
      <c r="E40" s="41">
        <f>E39+E37</f>
        <v>449312267.07982123</v>
      </c>
      <c r="I40" s="195"/>
      <c r="M40" s="195"/>
      <c r="N40" s="195"/>
      <c r="P40" s="41">
        <f>P39+P37</f>
        <v>827398156.01509118</v>
      </c>
      <c r="Q40" s="41">
        <f>Q39+Q37</f>
        <v>-10597674.068947047</v>
      </c>
      <c r="R40" s="225">
        <f>Q40/P40</f>
        <v>-1.280843326988724E-2</v>
      </c>
    </row>
    <row r="41" spans="2:18" s="24" customFormat="1" x14ac:dyDescent="0.3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6.5" x14ac:dyDescent="0.35">
      <c r="B42" t="s">
        <v>357</v>
      </c>
      <c r="E42" s="165"/>
      <c r="I42" s="32"/>
      <c r="M42" s="32"/>
      <c r="N42" s="32"/>
      <c r="P42" s="32"/>
    </row>
    <row r="43" spans="2:18" ht="16.5" x14ac:dyDescent="0.35">
      <c r="B43" t="s">
        <v>317</v>
      </c>
      <c r="I43" s="32"/>
      <c r="M43" s="32"/>
      <c r="N43" s="32"/>
      <c r="P43" s="32"/>
    </row>
    <row r="44" spans="2:18" ht="16.5" x14ac:dyDescent="0.35">
      <c r="B44" t="s">
        <v>319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2020-03-02T08:00:00+00:00</Date1>
    <DocumentSetType xmlns="dc463f71-b30c-4ab2-9473-d307f9d35888">Response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113AEE1-4617-4C05-A4B7-3DAD92EA7EE5}"/>
</file>

<file path=customXml/itemProps2.xml><?xml version="1.0" encoding="utf-8"?>
<ds:datastoreItem xmlns:ds="http://schemas.openxmlformats.org/officeDocument/2006/customXml" ds:itemID="{FD01536A-3C66-4E67-9DC4-FA3EC715F5D1}"/>
</file>

<file path=customXml/itemProps3.xml><?xml version="1.0" encoding="utf-8"?>
<ds:datastoreItem xmlns:ds="http://schemas.openxmlformats.org/officeDocument/2006/customXml" ds:itemID="{F5B95891-0361-4EC5-9F5B-E4E151B7C81A}"/>
</file>

<file path=customXml/itemProps4.xml><?xml version="1.0" encoding="utf-8"?>
<ds:datastoreItem xmlns:ds="http://schemas.openxmlformats.org/officeDocument/2006/customXml" ds:itemID="{114A338E-BDD9-4BFA-9433-A44C59CA77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23</vt:i4>
      </vt:variant>
    </vt:vector>
  </HeadingPairs>
  <TitlesOfParts>
    <vt:vector size="51" baseType="lpstr">
      <vt:lpstr>Combined Impacts</vt:lpstr>
      <vt:lpstr>Typical Res Bill Impact</vt:lpstr>
      <vt:lpstr>Work Papers--&gt;</vt:lpstr>
      <vt:lpstr>Individual Impacts--&gt;</vt:lpstr>
      <vt:lpstr>Average Rate Impacts</vt:lpstr>
      <vt:lpstr>Base Rate Impacts</vt:lpstr>
      <vt:lpstr>Sch. 141 Impacts</vt:lpstr>
      <vt:lpstr>Sch. 141X Impacts</vt:lpstr>
      <vt:lpstr>Sch. 149 Impacts</vt:lpstr>
      <vt:lpstr>Rider Revenue Calculation--&gt;</vt:lpstr>
      <vt:lpstr>Schedule 106 Revenue</vt:lpstr>
      <vt:lpstr>Schedule 120 Revenue</vt:lpstr>
      <vt:lpstr>Schedule 129 Revenue</vt:lpstr>
      <vt:lpstr>Schedule 132 Revenue</vt:lpstr>
      <vt:lpstr>Schedule 140 Revenue</vt:lpstr>
      <vt:lpstr>Schedule 141 Revenue</vt:lpstr>
      <vt:lpstr>Schedule 141X Revenue</vt:lpstr>
      <vt:lpstr>Schedule 141Y Revenue</vt:lpstr>
      <vt:lpstr>Sch 142 Revenue (Decoupling)</vt:lpstr>
      <vt:lpstr>Sch 142 Revenue (Rate Plan)</vt:lpstr>
      <vt:lpstr>Schedule 149 Revenue</vt:lpstr>
      <vt:lpstr>Data--&gt;</vt:lpstr>
      <vt:lpstr>Normalized Therms</vt:lpstr>
      <vt:lpstr>12ME Dec18 Rentals</vt:lpstr>
      <vt:lpstr>12ME Dec18 Data</vt:lpstr>
      <vt:lpstr>12ME Dec18 Bill Freq</vt:lpstr>
      <vt:lpstr>12ME Dec18 Norm Therms</vt:lpstr>
      <vt:lpstr>12ME Dec18 Cal Bill Freq</vt:lpstr>
      <vt:lpstr>'12ME Dec18 Bill Freq'!Print_Area</vt:lpstr>
      <vt:lpstr>'12ME Dec18 Cal Bill Freq'!Print_Area</vt:lpstr>
      <vt:lpstr>'12ME Dec18 Norm Therms'!Print_Area</vt:lpstr>
      <vt:lpstr>'Average Rate Impacts'!Print_Area</vt:lpstr>
      <vt:lpstr>'Base Rate Impacts'!Print_Area</vt:lpstr>
      <vt:lpstr>'Combined Impacts'!Print_Area</vt:lpstr>
      <vt:lpstr>'Sch. 141 Impacts'!Print_Area</vt:lpstr>
      <vt:lpstr>'Sch. 141X Impacts'!Print_Area</vt:lpstr>
      <vt:lpstr>'Sch. 149 Impacts'!Print_Area</vt:lpstr>
      <vt:lpstr>'Schedule 129 Revenue'!Print_Area</vt:lpstr>
      <vt:lpstr>'Schedule 140 Revenue'!Print_Area</vt:lpstr>
      <vt:lpstr>'Schedule 141 Revenue'!Print_Area</vt:lpstr>
      <vt:lpstr>'Schedule 141X Revenue'!Print_Area</vt:lpstr>
      <vt:lpstr>'Schedule 141Y Revenue'!Print_Area</vt:lpstr>
      <vt:lpstr>'Schedule 149 Revenue'!Print_Area</vt:lpstr>
      <vt:lpstr>'Typical Res Bill Impact'!Print_Area</vt:lpstr>
      <vt:lpstr>'12ME Dec18 Bill Freq'!Print_Titles</vt:lpstr>
      <vt:lpstr>'12ME Dec18 Cal Bill Freq'!Print_Titles</vt:lpstr>
      <vt:lpstr>'12ME Dec18 Norm Therms'!Print_Titles</vt:lpstr>
      <vt:lpstr>'Sch 142 Revenue (Decoupling)'!Print_Titles</vt:lpstr>
      <vt:lpstr>'Sch 142 Revenue (Rate Plan)'!Print_Titles</vt:lpstr>
      <vt:lpstr>'Schedule 141 Revenue'!Print_Titles</vt:lpstr>
      <vt:lpstr>'Schedule 141X Revenue'!Print_Titles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KXu</dc:creator>
  <cp:lastModifiedBy>Paul Schmidt</cp:lastModifiedBy>
  <cp:lastPrinted>2019-06-12T18:23:23Z</cp:lastPrinted>
  <dcterms:created xsi:type="dcterms:W3CDTF">2015-03-25T23:20:22Z</dcterms:created>
  <dcterms:modified xsi:type="dcterms:W3CDTF">2020-02-27T23:50:30Z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