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150" yWindow="500" windowWidth="22100" windowHeight="8250" tabRatio="883"/>
  </bookViews>
  <sheets>
    <sheet name="Exh. JAP-13 Page 1" sheetId="32" r:id="rId1"/>
    <sheet name="Exh. JAP-13 Page 2" sheetId="5" r:id="rId2"/>
    <sheet name="Exh. JAP-13 Page 3" sheetId="223" r:id="rId3"/>
    <sheet name="Exh. JAP-13 Page 4" sheetId="54" r:id="rId4"/>
    <sheet name="Work Papers For Exhibits--&gt;" sheetId="36" r:id="rId5"/>
    <sheet name="12ME Dec 2018 Cust Data" sheetId="218" r:id="rId6"/>
    <sheet name="WP - Gas Blended Rate" sheetId="224" r:id="rId7"/>
  </sheets>
  <externalReferences>
    <externalReference r:id="rId8"/>
    <externalReference r:id="rId9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iterate="1" calcOnSave="0"/>
</workbook>
</file>

<file path=xl/calcChain.xml><?xml version="1.0" encoding="utf-8"?>
<calcChain xmlns="http://schemas.openxmlformats.org/spreadsheetml/2006/main">
  <c r="F18" i="54" l="1"/>
  <c r="G18" i="54"/>
  <c r="H18" i="54"/>
  <c r="I18" i="54"/>
  <c r="J18" i="54"/>
  <c r="K18" i="54"/>
  <c r="L18" i="54"/>
  <c r="M18" i="54"/>
  <c r="N18" i="54"/>
  <c r="O18" i="54"/>
  <c r="P18" i="54"/>
  <c r="E18" i="54"/>
  <c r="F14" i="54"/>
  <c r="G14" i="54"/>
  <c r="H14" i="54"/>
  <c r="I14" i="54"/>
  <c r="J14" i="54"/>
  <c r="K14" i="54"/>
  <c r="L14" i="54"/>
  <c r="M14" i="54"/>
  <c r="N14" i="54"/>
  <c r="O14" i="54"/>
  <c r="P14" i="54"/>
  <c r="E14" i="54"/>
  <c r="F10" i="54"/>
  <c r="G10" i="54"/>
  <c r="H10" i="54"/>
  <c r="I10" i="54"/>
  <c r="J10" i="54"/>
  <c r="K10" i="54"/>
  <c r="L10" i="54"/>
  <c r="M10" i="54"/>
  <c r="N10" i="54"/>
  <c r="O10" i="54"/>
  <c r="P10" i="54"/>
  <c r="E10" i="54"/>
  <c r="F54" i="223" l="1"/>
  <c r="F53" i="223"/>
  <c r="F50" i="223"/>
  <c r="F47" i="223"/>
  <c r="F45" i="223"/>
  <c r="F44" i="223"/>
  <c r="F41" i="223"/>
  <c r="O14" i="32"/>
  <c r="N14" i="32"/>
  <c r="O13" i="32"/>
  <c r="N13" i="32"/>
  <c r="O11" i="32"/>
  <c r="N11" i="32"/>
  <c r="F38" i="223"/>
  <c r="F37" i="223"/>
  <c r="F34" i="223"/>
  <c r="F31" i="223"/>
  <c r="F29" i="223"/>
  <c r="F28" i="223"/>
  <c r="F25" i="223"/>
  <c r="F22" i="223"/>
  <c r="F19" i="223"/>
  <c r="F17" i="223"/>
  <c r="M14" i="32"/>
  <c r="L14" i="32"/>
  <c r="M13" i="32"/>
  <c r="L13" i="32"/>
  <c r="K13" i="32"/>
  <c r="J13" i="32"/>
  <c r="M11" i="32"/>
  <c r="L11" i="32"/>
  <c r="K11" i="32"/>
  <c r="J11" i="32"/>
  <c r="F14" i="223"/>
  <c r="F11" i="223"/>
  <c r="I13" i="32"/>
  <c r="H13" i="32"/>
  <c r="I11" i="32"/>
  <c r="H11" i="32"/>
  <c r="N19" i="218"/>
  <c r="M19" i="218"/>
  <c r="L19" i="218"/>
  <c r="K19" i="218"/>
  <c r="J19" i="218"/>
  <c r="I19" i="218"/>
  <c r="H19" i="218"/>
  <c r="G19" i="218"/>
  <c r="F19" i="218"/>
  <c r="E19" i="218"/>
  <c r="D19" i="218"/>
  <c r="C19" i="218"/>
  <c r="N18" i="218"/>
  <c r="M18" i="218"/>
  <c r="L18" i="218"/>
  <c r="K18" i="218"/>
  <c r="J18" i="218"/>
  <c r="I18" i="218"/>
  <c r="H18" i="218"/>
  <c r="G18" i="218"/>
  <c r="F18" i="218"/>
  <c r="E18" i="218"/>
  <c r="D18" i="218"/>
  <c r="C18" i="218"/>
  <c r="N17" i="218"/>
  <c r="M17" i="218"/>
  <c r="L17" i="218"/>
  <c r="K17" i="218"/>
  <c r="J17" i="218"/>
  <c r="I17" i="218"/>
  <c r="H17" i="218"/>
  <c r="G17" i="218"/>
  <c r="F17" i="218"/>
  <c r="E17" i="218"/>
  <c r="D17" i="218"/>
  <c r="C17" i="218"/>
  <c r="N16" i="218"/>
  <c r="M16" i="218"/>
  <c r="L16" i="218"/>
  <c r="K16" i="218"/>
  <c r="J16" i="218"/>
  <c r="I16" i="218"/>
  <c r="H16" i="218"/>
  <c r="G16" i="218"/>
  <c r="F16" i="218"/>
  <c r="E16" i="218"/>
  <c r="D16" i="218"/>
  <c r="C16" i="218"/>
  <c r="N15" i="218"/>
  <c r="M15" i="218"/>
  <c r="L15" i="218"/>
  <c r="K15" i="218"/>
  <c r="J15" i="218"/>
  <c r="I15" i="218"/>
  <c r="H15" i="218"/>
  <c r="G15" i="218"/>
  <c r="F15" i="218"/>
  <c r="E15" i="218"/>
  <c r="D15" i="218"/>
  <c r="C15" i="218"/>
  <c r="N14" i="218"/>
  <c r="M14" i="218"/>
  <c r="L14" i="218"/>
  <c r="K14" i="218"/>
  <c r="J14" i="218"/>
  <c r="I14" i="218"/>
  <c r="H14" i="218"/>
  <c r="G14" i="218"/>
  <c r="F14" i="218"/>
  <c r="E14" i="218"/>
  <c r="D14" i="218"/>
  <c r="C14" i="218"/>
  <c r="N13" i="218"/>
  <c r="M13" i="218"/>
  <c r="L13" i="218"/>
  <c r="K13" i="218"/>
  <c r="J13" i="218"/>
  <c r="I13" i="218"/>
  <c r="H13" i="218"/>
  <c r="G13" i="218"/>
  <c r="F13" i="218"/>
  <c r="E13" i="218"/>
  <c r="D13" i="218"/>
  <c r="C13" i="218"/>
  <c r="N12" i="218"/>
  <c r="M12" i="218"/>
  <c r="L12" i="218"/>
  <c r="K12" i="218"/>
  <c r="J12" i="218"/>
  <c r="I12" i="218"/>
  <c r="H12" i="218"/>
  <c r="G12" i="218"/>
  <c r="F12" i="218"/>
  <c r="E12" i="218"/>
  <c r="D12" i="218"/>
  <c r="C12" i="218"/>
  <c r="N11" i="218"/>
  <c r="M11" i="218"/>
  <c r="L11" i="218"/>
  <c r="K11" i="218"/>
  <c r="J11" i="218"/>
  <c r="I11" i="218"/>
  <c r="H11" i="218"/>
  <c r="G11" i="218"/>
  <c r="F11" i="218"/>
  <c r="E11" i="218"/>
  <c r="D11" i="218"/>
  <c r="C11" i="218"/>
  <c r="N10" i="218"/>
  <c r="M10" i="218"/>
  <c r="L10" i="218"/>
  <c r="K10" i="218"/>
  <c r="J10" i="218"/>
  <c r="I10" i="218"/>
  <c r="H10" i="218"/>
  <c r="G10" i="218"/>
  <c r="F10" i="218"/>
  <c r="E10" i="218"/>
  <c r="D10" i="218"/>
  <c r="C10" i="218"/>
  <c r="N9" i="218"/>
  <c r="M9" i="218"/>
  <c r="L9" i="218"/>
  <c r="K9" i="218"/>
  <c r="J9" i="218"/>
  <c r="I9" i="218"/>
  <c r="H9" i="218"/>
  <c r="G9" i="218"/>
  <c r="F9" i="218"/>
  <c r="E9" i="218"/>
  <c r="D9" i="218"/>
  <c r="C9" i="218"/>
  <c r="N8" i="218"/>
  <c r="M8" i="218"/>
  <c r="L8" i="218"/>
  <c r="K8" i="218"/>
  <c r="J8" i="218"/>
  <c r="I8" i="218"/>
  <c r="H8" i="218"/>
  <c r="G8" i="218"/>
  <c r="F8" i="218"/>
  <c r="E8" i="218"/>
  <c r="D8" i="218"/>
  <c r="C8" i="218"/>
  <c r="N7" i="218"/>
  <c r="M7" i="218"/>
  <c r="L7" i="218"/>
  <c r="K7" i="218"/>
  <c r="J7" i="218"/>
  <c r="I7" i="218"/>
  <c r="H7" i="218"/>
  <c r="G7" i="218"/>
  <c r="F7" i="218"/>
  <c r="E7" i="218"/>
  <c r="D7" i="218"/>
  <c r="C7" i="218"/>
  <c r="N6" i="218"/>
  <c r="M6" i="218"/>
  <c r="L6" i="218"/>
  <c r="K6" i="218"/>
  <c r="J6" i="218"/>
  <c r="I6" i="218"/>
  <c r="H6" i="218"/>
  <c r="G6" i="218"/>
  <c r="F6" i="218"/>
  <c r="E6" i="218"/>
  <c r="D6" i="218"/>
  <c r="C6" i="218"/>
  <c r="A11" i="224" l="1"/>
  <c r="A12" i="224" s="1"/>
  <c r="A13" i="224" l="1"/>
  <c r="A14" i="224" s="1"/>
  <c r="C14" i="224"/>
  <c r="A2" i="224" l="1"/>
  <c r="A2" i="54" l="1"/>
  <c r="A2" i="223"/>
  <c r="A2" i="5"/>
  <c r="O19" i="218" l="1"/>
  <c r="P19" i="218" s="1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8" i="218" l="1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O21" i="218" s="1"/>
  <c r="P20" i="218" l="1"/>
  <c r="D13" i="5"/>
  <c r="K15" i="32"/>
  <c r="D11" i="32" l="1"/>
  <c r="Q14" i="54" l="1"/>
  <c r="E12" i="224" l="1"/>
  <c r="C18" i="54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F12" i="224" l="1"/>
  <c r="I19" i="54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0" i="224" l="1"/>
  <c r="D11" i="5"/>
  <c r="D15" i="5" s="1"/>
  <c r="E13" i="32"/>
  <c r="E15" i="32" s="1"/>
  <c r="E11" i="32" l="1"/>
  <c r="E17" i="32" l="1"/>
  <c r="F11" i="32"/>
  <c r="E11" i="5" l="1"/>
  <c r="E10" i="224"/>
  <c r="E14" i="224" s="1"/>
  <c r="F17" i="32"/>
  <c r="D24" i="54"/>
  <c r="F11" i="5" l="1"/>
  <c r="F15" i="5" s="1"/>
  <c r="F10" i="224"/>
  <c r="F14" i="224" s="1"/>
  <c r="D28" i="54"/>
  <c r="Q31" i="54" l="1"/>
  <c r="L32" i="54" s="1"/>
  <c r="Q10" i="54"/>
  <c r="H32" i="54" l="1"/>
  <c r="J32" i="54"/>
  <c r="F32" i="54"/>
  <c r="K32" i="54"/>
  <c r="I32" i="54"/>
  <c r="N32" i="54"/>
  <c r="G32" i="54"/>
  <c r="D12" i="224"/>
  <c r="D14" i="224" s="1"/>
  <c r="E32" i="54"/>
  <c r="O32" i="54"/>
  <c r="M32" i="54"/>
  <c r="P32" i="54"/>
  <c r="K11" i="54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A15" i="32" s="1"/>
  <c r="A16" i="32" l="1"/>
  <c r="A17" i="32" s="1"/>
  <c r="C15" i="32"/>
  <c r="C17" i="32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l="1"/>
  <c r="H28" i="54" s="1"/>
  <c r="E24" i="54"/>
  <c r="A13" i="5"/>
  <c r="I28" i="54" l="1"/>
  <c r="J28" i="54"/>
  <c r="E28" i="54"/>
  <c r="O28" i="54"/>
  <c r="F28" i="54"/>
  <c r="G28" i="54"/>
  <c r="P28" i="54"/>
  <c r="N28" i="54"/>
  <c r="L28" i="54"/>
  <c r="K28" i="54"/>
  <c r="M28" i="54"/>
  <c r="C15" i="5"/>
  <c r="A14" i="5"/>
  <c r="A15" i="5" s="1"/>
  <c r="Q24" i="54"/>
  <c r="Q28" i="54" l="1"/>
</calcChain>
</file>

<file path=xl/sharedStrings.xml><?xml version="1.0" encoding="utf-8"?>
<sst xmlns="http://schemas.openxmlformats.org/spreadsheetml/2006/main" count="240" uniqueCount="116">
  <si>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</si>
  <si>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</si>
  <si>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</si>
  <si>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</si>
  <si>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</si>
  <si>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</si>
  <si>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</si>
  <si>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</si>
  <si>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</si>
  <si>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</si>
  <si>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</si>
  <si>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</si>
  <si>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</si>
  <si>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</si>
  <si>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</si>
  <si>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</si>
  <si>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</si>
  <si>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</si>
  <si>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</si>
  <si>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</si>
  <si>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</si>
  <si>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</si>
  <si>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</si>
  <si>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</si>
  <si>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</si>
  <si>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</si>
  <si>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</si>
  <si>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</si>
  <si>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</si>
  <si>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</si>
  <si>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</si>
  <si>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</si>
  <si>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</si>
  <si>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</si>
  <si>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</si>
  <si>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</si>
  <si>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</si>
  <si>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</si>
  <si>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</si>
  <si>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</si>
  <si>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</si>
  <si>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</si>
  <si>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</si>
  <si>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</si>
  <si>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</si>
  <si>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</si>
  <si>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</si>
  <si>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</si>
  <si>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</si>
  <si>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</si>
  <si>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</si>
  <si>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</si>
  <si>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</si>
  <si>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</si>
  <si>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</si>
  <si>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</si>
  <si>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</si>
  <si>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</si>
  <si>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</si>
  <si>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</si>
  <si>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</si>
  <si>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</si>
  <si>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</si>
  <si>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</si>
  <si>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</si>
  <si>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</si>
  <si>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</si>
  <si>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</si>
  <si>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</si>
  <si>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</si>
  <si>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</si>
  <si>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</si>
  <si>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</si>
  <si>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</si>
  <si>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</si>
  <si>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</si>
  <si>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</si>
  <si>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</si>
  <si>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</si>
  <si>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</si>
  <si>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</si>
  <si>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</si>
  <si>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</si>
  <si>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</si>
  <si>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</si>
  <si>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</si>
  <si>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</si>
  <si>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</si>
  <si>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</si>
  <si>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</si>
  <si>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</si>
  <si>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Work Paper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</si>
  <si>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</si>
  <si>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</si>
  <si>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</si>
  <si>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</si>
  <si>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</si>
  <si>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</si>
  <si>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</si>
  <si>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 xml:space="preserve">Weather-Normalized Therm Sales </t>
  </si>
  <si>
    <t>Gas Decoupling Mechanism (Schedule 142)</t>
  </si>
  <si>
    <t>Development of Decoupled Delivery Revenue by Decoupling Group</t>
  </si>
  <si>
    <t>Cross check</t>
  </si>
  <si>
    <t>31 &amp; 31T*</t>
  </si>
  <si>
    <t>41, 41T, 86 &amp; 86T*</t>
  </si>
  <si>
    <t>Test Year Base Sales (therms)</t>
  </si>
  <si>
    <t>Volumetric Delivery Revenue Per Unit ($/therm)</t>
  </si>
  <si>
    <t>* Actual delivery revenue will be calculated using actual delivery rates.</t>
  </si>
  <si>
    <t>Gas Volumetric Delivery Revenue Per Unit ($/therm) (Informational Only!)</t>
  </si>
  <si>
    <t>JAP-13 Page 2</t>
  </si>
  <si>
    <t>JAP-13 Page 1</t>
  </si>
  <si>
    <t>2019 Gas General Rate Case (GRC)</t>
  </si>
  <si>
    <t>Exhibit JDT-07</t>
  </si>
  <si>
    <t>Exhibit JAP-04 Work Paper</t>
  </si>
  <si>
    <t>JAP-13 Page 4</t>
  </si>
  <si>
    <r>
      <t xml:space="preserve">Test Year Ended </t>
    </r>
    <r>
      <rPr>
        <b/>
        <sz val="10"/>
        <color rgb="FF0000FF"/>
        <rFont val="Arial"/>
        <family val="2"/>
      </rPr>
      <t>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</si>
</sst>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  <numFmt numFmtId="174" formatCode="_(&quot;$&quot;* #,##0.00000_);_(&quot;$&quot;* \(#,##0.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i/>
      <u/>
      <sz val="10"/>
      <color theme="1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5" fillId="0" borderId="0"/>
    <xf numFmtId="0" fontId="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5" fillId="4" borderId="0"/>
    <xf numFmtId="0" fontId="10" fillId="4" borderId="8"/>
    <xf numFmtId="0" fontId="11" fillId="5" borderId="9"/>
    <xf numFmtId="0" fontId="12" fillId="4" borderId="10"/>
    <xf numFmtId="42" fontId="13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14" fillId="2" borderId="5">
      <alignment horizontal="left"/>
    </xf>
    <xf numFmtId="38" fontId="6" fillId="0" borderId="11"/>
    <xf numFmtId="38" fontId="9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5" fillId="0" borderId="0"/>
    <xf numFmtId="0" fontId="10" fillId="4" borderId="0"/>
    <xf numFmtId="173" fontId="15" fillId="0" borderId="0">
      <alignment horizontal="left" vertical="center"/>
    </xf>
    <xf numFmtId="0" fontId="2" fillId="2" borderId="0">
      <alignment horizontal="left" wrapText="1"/>
    </xf>
    <xf numFmtId="0" fontId="16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7" fillId="0" borderId="4" xfId="0" applyNumberFormat="1" applyFont="1" applyFill="1" applyBorder="1" applyAlignment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165" fontId="17" fillId="0" borderId="0" xfId="0" applyNumberFormat="1" applyFont="1" applyFill="1"/>
    <xf numFmtId="165" fontId="20" fillId="0" borderId="0" xfId="0" applyNumberFormat="1" applyFont="1" applyFill="1"/>
    <xf numFmtId="165" fontId="20" fillId="0" borderId="0" xfId="0" applyNumberFormat="1" applyFont="1" applyFill="1" applyBorder="1"/>
    <xf numFmtId="165" fontId="21" fillId="0" borderId="0" xfId="0" applyNumberFormat="1" applyFont="1" applyFill="1" applyBorder="1"/>
    <xf numFmtId="165" fontId="17" fillId="0" borderId="1" xfId="0" applyNumberFormat="1" applyFont="1" applyFill="1" applyBorder="1"/>
    <xf numFmtId="165" fontId="17" fillId="0" borderId="0" xfId="0" applyNumberFormat="1" applyFont="1" applyFill="1" applyBorder="1"/>
    <xf numFmtId="165" fontId="17" fillId="0" borderId="3" xfId="0" applyNumberFormat="1" applyFont="1" applyFill="1" applyBorder="1"/>
    <xf numFmtId="0" fontId="17" fillId="0" borderId="0" xfId="0" applyFont="1" applyFill="1" applyBorder="1"/>
    <xf numFmtId="0" fontId="2" fillId="0" borderId="0" xfId="0" applyFont="1" applyAlignment="1"/>
    <xf numFmtId="0" fontId="22" fillId="0" borderId="0" xfId="0" applyFont="1" applyFill="1" applyAlignment="1">
      <alignment horizontal="center"/>
    </xf>
    <xf numFmtId="0" fontId="2" fillId="0" borderId="0" xfId="0" applyFont="1" applyFill="1" applyAlignment="1"/>
    <xf numFmtId="0" fontId="17" fillId="0" borderId="4" xfId="0" applyFont="1" applyFill="1" applyBorder="1"/>
    <xf numFmtId="0" fontId="17" fillId="0" borderId="0" xfId="0" quotePrefix="1" applyFont="1" applyFill="1" applyAlignment="1">
      <alignment horizontal="center"/>
    </xf>
    <xf numFmtId="0" fontId="20" fillId="0" borderId="0" xfId="0" applyFont="1" applyFill="1"/>
    <xf numFmtId="164" fontId="20" fillId="0" borderId="0" xfId="0" applyNumberFormat="1" applyFont="1" applyFill="1" applyBorder="1"/>
    <xf numFmtId="164" fontId="17" fillId="0" borderId="0" xfId="0" applyNumberFormat="1" applyFont="1" applyFill="1" applyBorder="1"/>
    <xf numFmtId="44" fontId="17" fillId="0" borderId="3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/>
    <xf numFmtId="0" fontId="23" fillId="0" borderId="0" xfId="0" applyFont="1" applyFill="1" applyAlignment="1">
      <alignment horizontal="center"/>
    </xf>
    <xf numFmtId="0" fontId="2" fillId="0" borderId="0" xfId="0" applyFont="1" applyFill="1"/>
    <xf numFmtId="0" fontId="2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169" fontId="20" fillId="0" borderId="0" xfId="0" applyNumberFormat="1" applyFont="1" applyFill="1" applyAlignment="1"/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20" fillId="0" borderId="0" xfId="0" applyNumberFormat="1" applyFont="1" applyFill="1" applyAlignment="1"/>
    <xf numFmtId="166" fontId="2" fillId="0" borderId="4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Fill="1"/>
    <xf numFmtId="3" fontId="17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10" fontId="17" fillId="0" borderId="0" xfId="0" applyNumberFormat="1" applyFont="1" applyFill="1"/>
    <xf numFmtId="44" fontId="20" fillId="0" borderId="0" xfId="0" applyNumberFormat="1" applyFont="1" applyFill="1" applyAlignment="1">
      <alignment horizontal="center"/>
    </xf>
    <xf numFmtId="44" fontId="17" fillId="0" borderId="0" xfId="0" applyNumberFormat="1" applyFont="1" applyFill="1"/>
    <xf numFmtId="44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26" fillId="0" borderId="0" xfId="0" applyFont="1"/>
    <xf numFmtId="0" fontId="17" fillId="0" borderId="0" xfId="0" applyFont="1" applyAlignment="1">
      <alignment horizontal="center"/>
    </xf>
    <xf numFmtId="0" fontId="27" fillId="0" borderId="0" xfId="7" applyFont="1" applyAlignment="1">
      <alignment horizontal="center"/>
    </xf>
    <xf numFmtId="0" fontId="28" fillId="0" borderId="0" xfId="7" applyFont="1"/>
    <xf numFmtId="0" fontId="27" fillId="0" borderId="4" xfId="7" applyFont="1" applyBorder="1" applyAlignment="1">
      <alignment horizontal="center"/>
    </xf>
    <xf numFmtId="17" fontId="23" fillId="0" borderId="4" xfId="7" applyNumberFormat="1" applyFont="1" applyBorder="1" applyAlignment="1">
      <alignment horizontal="center"/>
    </xf>
    <xf numFmtId="0" fontId="28" fillId="0" borderId="0" xfId="7" applyFont="1" applyBorder="1" applyAlignment="1">
      <alignment horizontal="left"/>
    </xf>
    <xf numFmtId="3" fontId="20" fillId="0" borderId="0" xfId="7" applyNumberFormat="1" applyFont="1" applyFill="1" applyBorder="1"/>
    <xf numFmtId="3" fontId="28" fillId="0" borderId="0" xfId="7" applyNumberFormat="1" applyFont="1" applyFill="1" applyBorder="1"/>
    <xf numFmtId="3" fontId="1" fillId="0" borderId="0" xfId="7" applyNumberFormat="1" applyFont="1" applyFill="1" applyBorder="1"/>
    <xf numFmtId="0" fontId="1" fillId="0" borderId="0" xfId="7" applyFont="1" applyBorder="1" applyAlignment="1">
      <alignment horizontal="left"/>
    </xf>
    <xf numFmtId="3" fontId="28" fillId="0" borderId="5" xfId="7" applyNumberFormat="1" applyFont="1" applyBorder="1"/>
    <xf numFmtId="3" fontId="29" fillId="0" borderId="0" xfId="7" applyNumberFormat="1" applyFont="1"/>
    <xf numFmtId="0" fontId="29" fillId="0" borderId="0" xfId="7" applyFont="1"/>
    <xf numFmtId="43" fontId="29" fillId="0" borderId="0" xfId="8" applyFont="1"/>
    <xf numFmtId="3" fontId="28" fillId="0" borderId="0" xfId="7" applyNumberFormat="1" applyFont="1"/>
    <xf numFmtId="0" fontId="30" fillId="0" borderId="0" xfId="0" applyFont="1"/>
    <xf numFmtId="41" fontId="2" fillId="0" borderId="0" xfId="0" applyNumberFormat="1" applyFont="1" applyFill="1" applyBorder="1" applyAlignment="1">
      <alignment horizontal="center" wrapText="1"/>
    </xf>
    <xf numFmtId="0" fontId="26" fillId="0" borderId="0" xfId="0" applyFont="1" applyFill="1"/>
    <xf numFmtId="41" fontId="2" fillId="0" borderId="4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/>
    <xf numFmtId="41" fontId="2" fillId="0" borderId="4" xfId="0" applyNumberFormat="1" applyFont="1" applyFill="1" applyBorder="1" applyAlignment="1">
      <alignment horizontal="center"/>
    </xf>
    <xf numFmtId="174" fontId="17" fillId="0" borderId="1" xfId="0" applyNumberFormat="1" applyFont="1" applyFill="1" applyBorder="1"/>
    <xf numFmtId="44" fontId="26" fillId="0" borderId="0" xfId="0" applyNumberFormat="1" applyFont="1" applyFill="1"/>
    <xf numFmtId="43" fontId="26" fillId="0" borderId="0" xfId="0" applyNumberFormat="1" applyFont="1" applyFill="1"/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AP-19-GAS-NORMALIZED-REVENUE-19GRC-01-20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4-GAS-RATE-SPREAD-DESIGN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6">
          <cell r="D36">
            <v>7</v>
          </cell>
          <cell r="E36">
            <v>6</v>
          </cell>
          <cell r="F36">
            <v>6</v>
          </cell>
          <cell r="G36">
            <v>6</v>
          </cell>
          <cell r="H36">
            <v>6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  <cell r="M36">
            <v>8</v>
          </cell>
          <cell r="N36">
            <v>7</v>
          </cell>
          <cell r="O36">
            <v>6</v>
          </cell>
        </row>
        <row r="37">
          <cell r="D37">
            <v>768037</v>
          </cell>
          <cell r="E37">
            <v>769182</v>
          </cell>
          <cell r="F37">
            <v>769904</v>
          </cell>
          <cell r="G37">
            <v>770294</v>
          </cell>
          <cell r="H37">
            <v>770940</v>
          </cell>
          <cell r="I37">
            <v>771256</v>
          </cell>
          <cell r="J37">
            <v>771472</v>
          </cell>
          <cell r="K37">
            <v>772026</v>
          </cell>
          <cell r="L37">
            <v>772614</v>
          </cell>
          <cell r="M37">
            <v>774702</v>
          </cell>
          <cell r="N37">
            <v>776863</v>
          </cell>
          <cell r="O37">
            <v>778192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D40">
            <v>54410</v>
          </cell>
          <cell r="E40">
            <v>54413</v>
          </cell>
          <cell r="F40">
            <v>54486</v>
          </cell>
          <cell r="G40">
            <v>54455</v>
          </cell>
          <cell r="H40">
            <v>54442</v>
          </cell>
          <cell r="I40">
            <v>54374</v>
          </cell>
          <cell r="J40">
            <v>54349</v>
          </cell>
          <cell r="K40">
            <v>54342</v>
          </cell>
          <cell r="L40">
            <v>54331</v>
          </cell>
          <cell r="M40">
            <v>54478</v>
          </cell>
          <cell r="N40">
            <v>54612</v>
          </cell>
          <cell r="O40">
            <v>54744</v>
          </cell>
        </row>
        <row r="41">
          <cell r="D41">
            <v>1289</v>
          </cell>
          <cell r="E41">
            <v>1284</v>
          </cell>
          <cell r="F41">
            <v>1287</v>
          </cell>
          <cell r="G41">
            <v>1290</v>
          </cell>
          <cell r="H41">
            <v>1288</v>
          </cell>
          <cell r="I41">
            <v>1280</v>
          </cell>
          <cell r="J41">
            <v>1243</v>
          </cell>
          <cell r="K41">
            <v>1230</v>
          </cell>
          <cell r="L41">
            <v>1230</v>
          </cell>
          <cell r="M41">
            <v>1237</v>
          </cell>
          <cell r="N41">
            <v>1245</v>
          </cell>
          <cell r="O41">
            <v>1247</v>
          </cell>
        </row>
        <row r="44">
          <cell r="D44">
            <v>25</v>
          </cell>
          <cell r="E44">
            <v>25</v>
          </cell>
          <cell r="F44">
            <v>25</v>
          </cell>
          <cell r="G44">
            <v>25</v>
          </cell>
          <cell r="H44">
            <v>25</v>
          </cell>
          <cell r="I44">
            <v>24</v>
          </cell>
          <cell r="J44">
            <v>24</v>
          </cell>
          <cell r="K44">
            <v>24</v>
          </cell>
          <cell r="L44">
            <v>24</v>
          </cell>
          <cell r="M44">
            <v>24</v>
          </cell>
          <cell r="N44">
            <v>24</v>
          </cell>
          <cell r="O44">
            <v>24</v>
          </cell>
        </row>
        <row r="45">
          <cell r="D45">
            <v>222</v>
          </cell>
          <cell r="E45">
            <v>222</v>
          </cell>
          <cell r="F45">
            <v>222</v>
          </cell>
          <cell r="G45">
            <v>222</v>
          </cell>
          <cell r="H45">
            <v>221</v>
          </cell>
          <cell r="I45">
            <v>221</v>
          </cell>
          <cell r="J45">
            <v>220</v>
          </cell>
          <cell r="K45">
            <v>220</v>
          </cell>
          <cell r="L45">
            <v>220</v>
          </cell>
          <cell r="M45">
            <v>220</v>
          </cell>
          <cell r="N45">
            <v>217</v>
          </cell>
          <cell r="O45">
            <v>213</v>
          </cell>
        </row>
        <row r="46"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</row>
        <row r="47">
          <cell r="D47">
            <v>2248</v>
          </cell>
          <cell r="E47">
            <v>2248</v>
          </cell>
          <cell r="F47">
            <v>2252</v>
          </cell>
          <cell r="G47">
            <v>2245</v>
          </cell>
          <cell r="H47">
            <v>2242</v>
          </cell>
          <cell r="I47">
            <v>2235</v>
          </cell>
          <cell r="J47">
            <v>2232</v>
          </cell>
          <cell r="K47">
            <v>2223</v>
          </cell>
          <cell r="L47">
            <v>2218</v>
          </cell>
          <cell r="M47">
            <v>2221</v>
          </cell>
          <cell r="N47">
            <v>2230</v>
          </cell>
          <cell r="O47">
            <v>2232</v>
          </cell>
        </row>
        <row r="48">
          <cell r="D48">
            <v>73</v>
          </cell>
          <cell r="E48">
            <v>73</v>
          </cell>
          <cell r="F48">
            <v>73</v>
          </cell>
          <cell r="G48">
            <v>73</v>
          </cell>
          <cell r="H48">
            <v>73</v>
          </cell>
          <cell r="I48">
            <v>72</v>
          </cell>
          <cell r="J48">
            <v>72</v>
          </cell>
          <cell r="K48">
            <v>72</v>
          </cell>
          <cell r="L48">
            <v>71</v>
          </cell>
          <cell r="M48">
            <v>71</v>
          </cell>
          <cell r="N48">
            <v>73</v>
          </cell>
          <cell r="O48">
            <v>72</v>
          </cell>
        </row>
        <row r="50"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  <cell r="O50">
            <v>4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</row>
        <row r="53"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3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  <cell r="O53">
            <v>2</v>
          </cell>
        </row>
        <row r="54">
          <cell r="D54">
            <v>77</v>
          </cell>
          <cell r="E54">
            <v>79</v>
          </cell>
          <cell r="F54">
            <v>79</v>
          </cell>
          <cell r="G54">
            <v>80</v>
          </cell>
          <cell r="H54">
            <v>81</v>
          </cell>
          <cell r="I54">
            <v>85</v>
          </cell>
          <cell r="J54">
            <v>84</v>
          </cell>
          <cell r="K54">
            <v>84</v>
          </cell>
          <cell r="L54">
            <v>84</v>
          </cell>
          <cell r="M54">
            <v>84</v>
          </cell>
          <cell r="N54">
            <v>82</v>
          </cell>
          <cell r="O54">
            <v>82</v>
          </cell>
        </row>
        <row r="55">
          <cell r="D55">
            <v>33</v>
          </cell>
          <cell r="E55">
            <v>33</v>
          </cell>
          <cell r="F55">
            <v>33</v>
          </cell>
          <cell r="G55">
            <v>33</v>
          </cell>
          <cell r="H55">
            <v>33</v>
          </cell>
          <cell r="I55">
            <v>33</v>
          </cell>
          <cell r="J55">
            <v>33</v>
          </cell>
          <cell r="K55">
            <v>33</v>
          </cell>
          <cell r="L55">
            <v>33</v>
          </cell>
          <cell r="M55">
            <v>33</v>
          </cell>
          <cell r="N55">
            <v>33</v>
          </cell>
          <cell r="O55">
            <v>33</v>
          </cell>
        </row>
        <row r="56">
          <cell r="O56">
            <v>1</v>
          </cell>
        </row>
        <row r="57"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26</v>
          </cell>
          <cell r="E59">
            <v>26</v>
          </cell>
          <cell r="F59">
            <v>26</v>
          </cell>
          <cell r="G59">
            <v>25</v>
          </cell>
          <cell r="H59">
            <v>24</v>
          </cell>
          <cell r="I59">
            <v>24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24</v>
          </cell>
          <cell r="O59">
            <v>24</v>
          </cell>
        </row>
        <row r="60">
          <cell r="D60">
            <v>68</v>
          </cell>
          <cell r="E60">
            <v>68</v>
          </cell>
          <cell r="F60">
            <v>68</v>
          </cell>
          <cell r="G60">
            <v>68</v>
          </cell>
          <cell r="H60">
            <v>69</v>
          </cell>
          <cell r="I60">
            <v>70</v>
          </cell>
          <cell r="J60">
            <v>70</v>
          </cell>
          <cell r="K60">
            <v>70</v>
          </cell>
          <cell r="L60">
            <v>70</v>
          </cell>
          <cell r="M60">
            <v>70</v>
          </cell>
          <cell r="N60">
            <v>70</v>
          </cell>
          <cell r="O60">
            <v>70</v>
          </cell>
        </row>
        <row r="61"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</row>
        <row r="62"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</row>
        <row r="63"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10</v>
          </cell>
          <cell r="O63">
            <v>10</v>
          </cell>
        </row>
        <row r="64">
          <cell r="P64">
            <v>9967759</v>
          </cell>
        </row>
        <row r="199">
          <cell r="D199">
            <v>93421414.228518099</v>
          </cell>
          <cell r="E199">
            <v>80765776.695281148</v>
          </cell>
          <cell r="F199">
            <v>73588981.052105859</v>
          </cell>
          <cell r="G199">
            <v>54225390.576538458</v>
          </cell>
          <cell r="H199">
            <v>29283078.131864034</v>
          </cell>
          <cell r="I199">
            <v>20073081.825583894</v>
          </cell>
          <cell r="J199">
            <v>13034137.192011889</v>
          </cell>
          <cell r="K199">
            <v>12666894.05795379</v>
          </cell>
          <cell r="L199">
            <v>18783605.989420865</v>
          </cell>
          <cell r="M199">
            <v>44226800.543073878</v>
          </cell>
          <cell r="N199">
            <v>71485047.417921156</v>
          </cell>
          <cell r="O199">
            <v>97694107.449045002</v>
          </cell>
        </row>
        <row r="200">
          <cell r="D200">
            <v>32852638.671714101</v>
          </cell>
          <cell r="E200">
            <v>29006589.329172958</v>
          </cell>
          <cell r="F200">
            <v>27640317.097351622</v>
          </cell>
          <cell r="G200">
            <v>19072747.091606524</v>
          </cell>
          <cell r="H200">
            <v>13094665.303904446</v>
          </cell>
          <cell r="I200">
            <v>10441868.971499177</v>
          </cell>
          <cell r="J200">
            <v>7644096.0075623002</v>
          </cell>
          <cell r="K200">
            <v>8241900.0369669097</v>
          </cell>
          <cell r="L200">
            <v>9238365.1368257962</v>
          </cell>
          <cell r="M200">
            <v>16422128.384004632</v>
          </cell>
          <cell r="N200">
            <v>24464696.048186779</v>
          </cell>
          <cell r="O200">
            <v>36020146.010844097</v>
          </cell>
        </row>
        <row r="201">
          <cell r="D201">
            <v>8209208.2939787712</v>
          </cell>
          <cell r="E201">
            <v>7171673.5921670441</v>
          </cell>
          <cell r="F201">
            <v>6858805.0163550498</v>
          </cell>
          <cell r="G201">
            <v>5800978.8662811778</v>
          </cell>
          <cell r="H201">
            <v>4058647.0116447923</v>
          </cell>
          <cell r="I201">
            <v>4583960.921302883</v>
          </cell>
          <cell r="J201">
            <v>622642.19161639689</v>
          </cell>
          <cell r="K201">
            <v>5317375.6049357168</v>
          </cell>
          <cell r="L201">
            <v>3402076.3808797454</v>
          </cell>
          <cell r="M201">
            <v>4831151.2302754819</v>
          </cell>
          <cell r="N201">
            <v>6324418.3226982355</v>
          </cell>
          <cell r="O201">
            <v>8655720.031330198</v>
          </cell>
        </row>
        <row r="205">
          <cell r="D205">
            <v>1326920.78215962</v>
          </cell>
          <cell r="E205">
            <v>1049801.0412697112</v>
          </cell>
          <cell r="F205">
            <v>1087987.6920276775</v>
          </cell>
          <cell r="G205">
            <v>965229.59035049553</v>
          </cell>
          <cell r="H205">
            <v>674304.57821747451</v>
          </cell>
          <cell r="I205">
            <v>463043.80454248143</v>
          </cell>
          <cell r="J205">
            <v>229069.38598556269</v>
          </cell>
          <cell r="K205">
            <v>210625.33194923261</v>
          </cell>
          <cell r="L205">
            <v>313557.82154155365</v>
          </cell>
          <cell r="M205">
            <v>699245.35289394844</v>
          </cell>
          <cell r="N205">
            <v>931860.96731208719</v>
          </cell>
          <cell r="O205">
            <v>1445553.9246765082</v>
          </cell>
        </row>
        <row r="207">
          <cell r="D207">
            <v>6664.6625658499997</v>
          </cell>
          <cell r="E207">
            <v>5897.9395264166669</v>
          </cell>
          <cell r="F207">
            <v>4605.515821077779</v>
          </cell>
          <cell r="G207">
            <v>4707.0025577333336</v>
          </cell>
          <cell r="H207">
            <v>3308.5745063944451</v>
          </cell>
          <cell r="I207">
            <v>1401.2286276249993</v>
          </cell>
          <cell r="J207">
            <v>220.76999999999998</v>
          </cell>
          <cell r="K207">
            <v>1962.5200000000004</v>
          </cell>
          <cell r="L207">
            <v>548.85999999999945</v>
          </cell>
          <cell r="M207">
            <v>2932.3549999999996</v>
          </cell>
          <cell r="N207">
            <v>89384.865000000005</v>
          </cell>
          <cell r="O207">
            <v>-85274.33</v>
          </cell>
        </row>
        <row r="208">
          <cell r="D208">
            <v>2036956.235849211</v>
          </cell>
          <cell r="E208">
            <v>2923851.8185548889</v>
          </cell>
          <cell r="F208">
            <v>741073.62715784507</v>
          </cell>
          <cell r="G208">
            <v>1694763.5437733326</v>
          </cell>
          <cell r="H208">
            <v>1677916.6393041252</v>
          </cell>
          <cell r="I208">
            <v>1470403.8599999999</v>
          </cell>
          <cell r="J208">
            <v>1208674.2000000002</v>
          </cell>
          <cell r="K208">
            <v>1883968.17</v>
          </cell>
          <cell r="L208">
            <v>1445352.4800000002</v>
          </cell>
          <cell r="M208">
            <v>1706734.8338025003</v>
          </cell>
          <cell r="N208">
            <v>2048070.4670088862</v>
          </cell>
          <cell r="O208">
            <v>1654568.5736230663</v>
          </cell>
        </row>
        <row r="210">
          <cell r="D210">
            <v>49343.94</v>
          </cell>
          <cell r="E210">
            <v>43260.89</v>
          </cell>
          <cell r="F210">
            <v>47997.709999999992</v>
          </cell>
          <cell r="G210">
            <v>20571.19000000001</v>
          </cell>
          <cell r="H210">
            <v>28894.409999999993</v>
          </cell>
          <cell r="I210">
            <v>16796.61</v>
          </cell>
          <cell r="J210">
            <v>16355.810000000003</v>
          </cell>
          <cell r="K210">
            <v>13575.84</v>
          </cell>
          <cell r="L210">
            <v>18921.03</v>
          </cell>
          <cell r="M210">
            <v>36888.018333333326</v>
          </cell>
          <cell r="N210">
            <v>30447.391666666674</v>
          </cell>
          <cell r="O210">
            <v>28235.309999999998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/>
      <sheetData sheetId="1">
        <row r="12">
          <cell r="I12">
            <v>108303454.27624403</v>
          </cell>
        </row>
        <row r="13">
          <cell r="H13">
            <v>0.44468000000000002</v>
          </cell>
        </row>
        <row r="14">
          <cell r="I14">
            <v>379223958.00624406</v>
          </cell>
        </row>
        <row r="23">
          <cell r="I23">
            <v>17.112436363636363</v>
          </cell>
        </row>
        <row r="24">
          <cell r="H24">
            <v>0.44468000000000002</v>
          </cell>
        </row>
        <row r="25">
          <cell r="I25">
            <v>54.172436363636365</v>
          </cell>
        </row>
      </sheetData>
      <sheetData sheetId="2">
        <row r="12">
          <cell r="I12">
            <v>23437486.57</v>
          </cell>
        </row>
        <row r="13">
          <cell r="H13">
            <v>0.40522999999999998</v>
          </cell>
        </row>
        <row r="14">
          <cell r="H14">
            <v>1.7069999999999998E-2</v>
          </cell>
        </row>
        <row r="15">
          <cell r="I15">
            <v>122314875.33000001</v>
          </cell>
        </row>
        <row r="24">
          <cell r="I24">
            <v>11285.24</v>
          </cell>
        </row>
        <row r="25">
          <cell r="H25">
            <v>0.40522999999999998</v>
          </cell>
        </row>
        <row r="27">
          <cell r="I27">
            <v>26019.39</v>
          </cell>
        </row>
        <row r="47">
          <cell r="I47">
            <v>1811918.46</v>
          </cell>
        </row>
        <row r="48">
          <cell r="I48">
            <v>2046317.43</v>
          </cell>
        </row>
        <row r="49">
          <cell r="H49">
            <v>1.25</v>
          </cell>
        </row>
        <row r="53">
          <cell r="H53">
            <v>0.14230000000000001</v>
          </cell>
        </row>
        <row r="54">
          <cell r="H54">
            <v>0.11454</v>
          </cell>
        </row>
        <row r="56">
          <cell r="H56">
            <v>1.149E-2</v>
          </cell>
        </row>
        <row r="57">
          <cell r="I57">
            <v>17026127.61425522</v>
          </cell>
        </row>
        <row r="69">
          <cell r="I69">
            <v>521441.97</v>
          </cell>
        </row>
        <row r="70">
          <cell r="I70">
            <v>157953.29999999999</v>
          </cell>
        </row>
        <row r="71">
          <cell r="H71">
            <v>1.25</v>
          </cell>
        </row>
        <row r="75">
          <cell r="H75">
            <v>0.14230000000000001</v>
          </cell>
        </row>
        <row r="76">
          <cell r="H76">
            <v>0.11454</v>
          </cell>
        </row>
        <row r="79">
          <cell r="I79">
            <v>4467056.9272769196</v>
          </cell>
        </row>
      </sheetData>
      <sheetData sheetId="3">
        <row r="72">
          <cell r="I72">
            <v>396092.84</v>
          </cell>
        </row>
        <row r="73">
          <cell r="H73">
            <v>1.35</v>
          </cell>
        </row>
        <row r="74">
          <cell r="H74">
            <v>1.2460000000000001E-2</v>
          </cell>
        </row>
        <row r="75">
          <cell r="I75">
            <v>35297.54</v>
          </cell>
        </row>
        <row r="78">
          <cell r="H78">
            <v>0.18351999999999999</v>
          </cell>
        </row>
        <row r="79">
          <cell r="H79">
            <v>0.13009999999999999</v>
          </cell>
        </row>
        <row r="80">
          <cell r="I80">
            <v>1992035.13</v>
          </cell>
        </row>
        <row r="92">
          <cell r="I92">
            <v>10085.98</v>
          </cell>
        </row>
        <row r="93">
          <cell r="H93">
            <v>1.35</v>
          </cell>
        </row>
        <row r="94">
          <cell r="I94">
            <v>0</v>
          </cell>
        </row>
        <row r="97">
          <cell r="H97">
            <v>0.18351999999999999</v>
          </cell>
        </row>
        <row r="98">
          <cell r="H98">
            <v>0.13009999999999999</v>
          </cell>
        </row>
        <row r="99">
          <cell r="I99">
            <v>70180.350000000006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90" zoomScaleNormal="90" workbookViewId="0">
      <pane ySplit="8" topLeftCell="A9" activePane="bottomLeft" state="frozen"/>
      <selection activeCell="D1" sqref="D1"/>
      <selection pane="bottomLeft" activeCell="I20" sqref="I20"/>
    </sheetView>
  </sheetViews>
  <sheetFormatPr defaultColWidth="9.1796875" defaultRowHeight="12.5" x14ac:dyDescent="0.25"/>
  <cols>
    <col min="1" max="1" width="5.26953125" style="3" customWidth="1"/>
    <col min="2" max="2" width="33.36328125" style="3" bestFit="1" customWidth="1"/>
    <col min="3" max="3" width="12.81640625" style="3" bestFit="1" customWidth="1"/>
    <col min="4" max="5" width="13.26953125" style="3" bestFit="1" customWidth="1"/>
    <col min="6" max="6" width="15.81640625" style="3" bestFit="1" customWidth="1"/>
    <col min="7" max="7" width="0.7265625" style="3" customWidth="1"/>
    <col min="8" max="8" width="13.26953125" style="3" bestFit="1" customWidth="1"/>
    <col min="9" max="9" width="11.26953125" style="3" bestFit="1" customWidth="1"/>
    <col min="10" max="10" width="13.26953125" style="3" bestFit="1" customWidth="1"/>
    <col min="11" max="11" width="12.453125" style="3" bestFit="1" customWidth="1"/>
    <col min="12" max="12" width="12.1796875" style="3" bestFit="1" customWidth="1"/>
    <col min="13" max="13" width="12.453125" style="3" bestFit="1" customWidth="1"/>
    <col min="14" max="14" width="11.26953125" style="3" bestFit="1" customWidth="1"/>
    <col min="15" max="15" width="12.453125" style="3" bestFit="1" customWidth="1"/>
    <col min="16" max="18" width="14" style="3" customWidth="1"/>
    <col min="19" max="16384" width="9.1796875" style="3"/>
  </cols>
  <sheetData>
    <row r="1" spans="1:17" ht="13" x14ac:dyDescent="0.3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7" ht="13" x14ac:dyDescent="0.3">
      <c r="A2" s="4" t="s">
        <v>111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</row>
    <row r="3" spans="1:17" ht="13" x14ac:dyDescent="0.3">
      <c r="A3" s="1" t="s">
        <v>100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7" ht="13" x14ac:dyDescent="0.3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7" ht="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</row>
    <row r="6" spans="1:17" ht="13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3" x14ac:dyDescent="0.3">
      <c r="A7" s="7" t="s">
        <v>72</v>
      </c>
      <c r="B7" s="8"/>
      <c r="C7" s="8"/>
      <c r="D7" s="7" t="s">
        <v>71</v>
      </c>
      <c r="E7" s="7" t="s">
        <v>71</v>
      </c>
      <c r="F7" s="7" t="s">
        <v>71</v>
      </c>
      <c r="G7" s="8"/>
      <c r="H7" s="8"/>
      <c r="I7" s="8"/>
      <c r="J7" s="8"/>
      <c r="K7" s="8"/>
      <c r="L7" s="8"/>
      <c r="M7" s="8"/>
      <c r="N7" s="8"/>
      <c r="O7" s="8"/>
      <c r="P7" s="5"/>
      <c r="Q7" s="6"/>
    </row>
    <row r="8" spans="1:17" ht="13" x14ac:dyDescent="0.3">
      <c r="A8" s="9" t="s">
        <v>70</v>
      </c>
      <c r="B8" s="10"/>
      <c r="C8" s="9" t="s">
        <v>14</v>
      </c>
      <c r="D8" s="9" t="s">
        <v>73</v>
      </c>
      <c r="E8" s="9" t="s">
        <v>74</v>
      </c>
      <c r="F8" s="9" t="s">
        <v>75</v>
      </c>
      <c r="G8" s="9"/>
      <c r="H8" s="9" t="s">
        <v>51</v>
      </c>
      <c r="I8" s="9" t="s">
        <v>52</v>
      </c>
      <c r="J8" s="9" t="s">
        <v>18</v>
      </c>
      <c r="K8" s="9" t="s">
        <v>54</v>
      </c>
      <c r="L8" s="9" t="s">
        <v>19</v>
      </c>
      <c r="M8" s="9" t="s">
        <v>31</v>
      </c>
      <c r="N8" s="9" t="s">
        <v>20</v>
      </c>
      <c r="O8" s="9" t="s">
        <v>30</v>
      </c>
      <c r="P8" s="2"/>
    </row>
    <row r="9" spans="1:17" x14ac:dyDescent="0.25">
      <c r="A9" s="2"/>
      <c r="B9" s="11" t="s">
        <v>13</v>
      </c>
      <c r="C9" s="11" t="s">
        <v>12</v>
      </c>
      <c r="D9" s="11" t="s">
        <v>55</v>
      </c>
      <c r="E9" s="11" t="s">
        <v>56</v>
      </c>
      <c r="F9" s="11" t="s">
        <v>57</v>
      </c>
      <c r="G9" s="11"/>
      <c r="H9" s="11" t="s">
        <v>8</v>
      </c>
      <c r="I9" s="11" t="s">
        <v>7</v>
      </c>
      <c r="J9" s="11" t="s">
        <v>6</v>
      </c>
      <c r="K9" s="11" t="s">
        <v>5</v>
      </c>
      <c r="L9" s="11" t="s">
        <v>4</v>
      </c>
      <c r="M9" s="11" t="s">
        <v>3</v>
      </c>
      <c r="N9" s="11" t="s">
        <v>2</v>
      </c>
      <c r="O9" s="11" t="s">
        <v>1</v>
      </c>
      <c r="P9" s="2"/>
    </row>
    <row r="10" spans="1:17" ht="13" x14ac:dyDescent="0.3">
      <c r="A10" s="11">
        <v>1</v>
      </c>
      <c r="B10" s="12"/>
      <c r="C10" s="11"/>
      <c r="D10" s="11"/>
      <c r="E10" s="2"/>
      <c r="F10" s="2"/>
      <c r="G10" s="2"/>
      <c r="H10" s="2"/>
      <c r="I10" s="2"/>
      <c r="J10" s="11"/>
      <c r="K10" s="11"/>
      <c r="L10" s="11"/>
      <c r="M10" s="11"/>
      <c r="N10" s="11"/>
      <c r="O10" s="11"/>
      <c r="P10" s="2"/>
    </row>
    <row r="11" spans="1:17" x14ac:dyDescent="0.25">
      <c r="A11" s="11">
        <f>A10+1</f>
        <v>2</v>
      </c>
      <c r="B11" s="2" t="s">
        <v>97</v>
      </c>
      <c r="C11" s="11" t="s">
        <v>112</v>
      </c>
      <c r="D11" s="13">
        <f>SUM(H11:I11)</f>
        <v>379224012.17868042</v>
      </c>
      <c r="E11" s="13">
        <f>SUM(J11:K11)</f>
        <v>122340894.72000001</v>
      </c>
      <c r="F11" s="13">
        <f>SUM(L11:O11)</f>
        <v>23555400.021532141</v>
      </c>
      <c r="G11" s="13"/>
      <c r="H11" s="14">
        <f>'[2]Rate Design Res'!$I$14</f>
        <v>379223958.00624406</v>
      </c>
      <c r="I11" s="14">
        <f>'[2]Rate Design Res'!$I$25</f>
        <v>54.172436363636365</v>
      </c>
      <c r="J11" s="14">
        <f>'[2]Rate Design C&amp;I'!$I$15</f>
        <v>122314875.33000001</v>
      </c>
      <c r="K11" s="14">
        <f>'[2]Rate Design C&amp;I'!$I$27</f>
        <v>26019.39</v>
      </c>
      <c r="L11" s="14">
        <f>'[2]Rate Design C&amp;I'!$I$57</f>
        <v>17026127.61425522</v>
      </c>
      <c r="M11" s="14">
        <f>'[2]Rate Design C&amp;I'!$I$79</f>
        <v>4467056.9272769196</v>
      </c>
      <c r="N11" s="14">
        <f>'[2]Rate Design Int &amp; Trans'!$I$80</f>
        <v>1992035.13</v>
      </c>
      <c r="O11" s="14">
        <f>'[2]Rate Design Int &amp; Trans'!$I$99</f>
        <v>70180.350000000006</v>
      </c>
      <c r="P11" s="2"/>
    </row>
    <row r="12" spans="1:17" x14ac:dyDescent="0.25">
      <c r="A12" s="11">
        <f t="shared" ref="A12:A17" si="0">A11+1</f>
        <v>3</v>
      </c>
      <c r="B12" s="2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"/>
    </row>
    <row r="13" spans="1:17" x14ac:dyDescent="0.25">
      <c r="A13" s="11">
        <f t="shared" si="0"/>
        <v>4</v>
      </c>
      <c r="B13" s="2" t="s">
        <v>65</v>
      </c>
      <c r="C13" s="11" t="s">
        <v>112</v>
      </c>
      <c r="D13" s="13">
        <f t="shared" ref="D13:D14" si="1">SUM(H13:I13)</f>
        <v>108303471.3886804</v>
      </c>
      <c r="E13" s="13">
        <f t="shared" ref="E13:E14" si="2">SUM(J13:K13)</f>
        <v>23448771.809999999</v>
      </c>
      <c r="F13" s="13">
        <f t="shared" ref="F13:F14" si="3">SUM(L13:O13)</f>
        <v>2739539.2499999995</v>
      </c>
      <c r="G13" s="13"/>
      <c r="H13" s="15">
        <f>'[2]Rate Design Res'!$I$12</f>
        <v>108303454.27624403</v>
      </c>
      <c r="I13" s="15">
        <f>'[2]Rate Design Res'!$I$23</f>
        <v>17.112436363636363</v>
      </c>
      <c r="J13" s="15">
        <f>'[2]Rate Design C&amp;I'!$I$12</f>
        <v>23437486.57</v>
      </c>
      <c r="K13" s="15">
        <f>'[2]Rate Design C&amp;I'!$I$24</f>
        <v>11285.24</v>
      </c>
      <c r="L13" s="15">
        <f>'[2]Rate Design C&amp;I'!$I$47</f>
        <v>1811918.46</v>
      </c>
      <c r="M13" s="15">
        <f>'[2]Rate Design C&amp;I'!$I$69</f>
        <v>521441.97</v>
      </c>
      <c r="N13" s="15">
        <f>'[2]Rate Design Int &amp; Trans'!$I$72</f>
        <v>396092.84</v>
      </c>
      <c r="O13" s="15">
        <f>'[2]Rate Design Int &amp; Trans'!$I$92</f>
        <v>10085.98</v>
      </c>
      <c r="P13" s="2"/>
    </row>
    <row r="14" spans="1:17" x14ac:dyDescent="0.25">
      <c r="A14" s="11">
        <f t="shared" si="0"/>
        <v>5</v>
      </c>
      <c r="B14" s="2" t="s">
        <v>66</v>
      </c>
      <c r="C14" s="11" t="s">
        <v>112</v>
      </c>
      <c r="D14" s="13">
        <f t="shared" si="1"/>
        <v>0</v>
      </c>
      <c r="E14" s="13">
        <f t="shared" si="2"/>
        <v>0</v>
      </c>
      <c r="F14" s="13">
        <f t="shared" si="3"/>
        <v>2239568.27</v>
      </c>
      <c r="G14" s="13"/>
      <c r="H14" s="16">
        <v>0</v>
      </c>
      <c r="I14" s="16">
        <v>0</v>
      </c>
      <c r="J14" s="16">
        <v>0</v>
      </c>
      <c r="K14" s="16">
        <v>0</v>
      </c>
      <c r="L14" s="15">
        <f>'[2]Rate Design C&amp;I'!$I$48</f>
        <v>2046317.43</v>
      </c>
      <c r="M14" s="15">
        <f>'[2]Rate Design C&amp;I'!$I$70</f>
        <v>157953.29999999999</v>
      </c>
      <c r="N14" s="15">
        <f>'[2]Rate Design Int &amp; Trans'!$I$75</f>
        <v>35297.54</v>
      </c>
      <c r="O14" s="15">
        <f>'[2]Rate Design Int &amp; Trans'!$I$94</f>
        <v>0</v>
      </c>
      <c r="P14" s="2"/>
    </row>
    <row r="15" spans="1:17" x14ac:dyDescent="0.25">
      <c r="A15" s="11">
        <f t="shared" si="0"/>
        <v>6</v>
      </c>
      <c r="B15" s="2" t="s">
        <v>81</v>
      </c>
      <c r="C15" s="11" t="str">
        <f>"("&amp;A$13&amp;") + ("&amp;A$14&amp;")"</f>
        <v>(4) + (5)</v>
      </c>
      <c r="D15" s="17">
        <f>SUM(D13:D14)</f>
        <v>108303471.3886804</v>
      </c>
      <c r="E15" s="17">
        <f>SUM(E13:E14)</f>
        <v>23448771.809999999</v>
      </c>
      <c r="F15" s="17">
        <f>SUM(F13:F14)</f>
        <v>4979107.5199999996</v>
      </c>
      <c r="G15" s="13"/>
      <c r="H15" s="17">
        <f t="shared" ref="H15:O15" si="4">SUM(H13:H14)</f>
        <v>108303454.27624403</v>
      </c>
      <c r="I15" s="17">
        <f t="shared" si="4"/>
        <v>17.112436363636363</v>
      </c>
      <c r="J15" s="17">
        <f t="shared" si="4"/>
        <v>23437486.57</v>
      </c>
      <c r="K15" s="17">
        <f>SUM(K13:K14)</f>
        <v>11285.24</v>
      </c>
      <c r="L15" s="17">
        <f t="shared" si="4"/>
        <v>3858235.8899999997</v>
      </c>
      <c r="M15" s="17">
        <f t="shared" si="4"/>
        <v>679395.27</v>
      </c>
      <c r="N15" s="17">
        <f t="shared" si="4"/>
        <v>431390.38</v>
      </c>
      <c r="O15" s="17">
        <f t="shared" si="4"/>
        <v>10085.98</v>
      </c>
      <c r="P15" s="2"/>
    </row>
    <row r="16" spans="1:17" x14ac:dyDescent="0.25">
      <c r="A16" s="11">
        <f t="shared" si="0"/>
        <v>7</v>
      </c>
      <c r="B16" s="2"/>
      <c r="C16" s="11"/>
      <c r="D16" s="13"/>
      <c r="E16" s="13"/>
      <c r="F16" s="13"/>
      <c r="G16" s="18"/>
      <c r="H16" s="18"/>
      <c r="I16" s="18"/>
      <c r="J16" s="18"/>
      <c r="K16" s="18"/>
      <c r="L16" s="18"/>
      <c r="M16" s="18"/>
      <c r="N16" s="18"/>
      <c r="O16" s="18"/>
      <c r="P16" s="2"/>
    </row>
    <row r="17" spans="1:16" ht="13" thickBot="1" x14ac:dyDescent="0.3">
      <c r="A17" s="11">
        <f t="shared" si="0"/>
        <v>8</v>
      </c>
      <c r="B17" s="2" t="s">
        <v>98</v>
      </c>
      <c r="C17" s="11" t="str">
        <f>"("&amp;A11&amp;") - ("&amp;A$15&amp;")"</f>
        <v>(2) - (6)</v>
      </c>
      <c r="D17" s="19">
        <f>D11-D15</f>
        <v>270920540.79000002</v>
      </c>
      <c r="E17" s="19">
        <f>E11-E15</f>
        <v>98892122.910000011</v>
      </c>
      <c r="F17" s="19">
        <f>F11-F15</f>
        <v>18576292.501532141</v>
      </c>
      <c r="G17" s="18"/>
      <c r="H17" s="19">
        <f t="shared" ref="H17:O17" si="5">H11-H15</f>
        <v>270920503.73000002</v>
      </c>
      <c r="I17" s="19">
        <f t="shared" si="5"/>
        <v>37.06</v>
      </c>
      <c r="J17" s="19">
        <f t="shared" si="5"/>
        <v>98877388.76000002</v>
      </c>
      <c r="K17" s="19">
        <f t="shared" si="5"/>
        <v>14734.15</v>
      </c>
      <c r="L17" s="19">
        <f t="shared" si="5"/>
        <v>13167891.724255219</v>
      </c>
      <c r="M17" s="19">
        <f t="shared" si="5"/>
        <v>3787661.6572769196</v>
      </c>
      <c r="N17" s="19">
        <f t="shared" si="5"/>
        <v>1560644.75</v>
      </c>
      <c r="O17" s="19">
        <f t="shared" si="5"/>
        <v>60094.37000000001</v>
      </c>
      <c r="P17" s="2"/>
    </row>
    <row r="18" spans="1:16" ht="13" thickTop="1" x14ac:dyDescent="0.25">
      <c r="A18" s="2"/>
      <c r="B18" s="2"/>
      <c r="C18" s="2"/>
      <c r="D18" s="2"/>
      <c r="E18" s="2"/>
      <c r="F18" s="2"/>
      <c r="G18" s="20"/>
      <c r="H18" s="2"/>
      <c r="I18" s="2"/>
      <c r="J18" s="2"/>
      <c r="K18" s="2"/>
      <c r="L18" s="2"/>
      <c r="M18" s="2"/>
      <c r="N18" s="2"/>
      <c r="O18" s="2"/>
      <c r="P18" s="2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="90" zoomScaleNormal="90" workbookViewId="0">
      <pane ySplit="8" topLeftCell="A9" activePane="bottomLeft" state="frozen"/>
      <selection pane="bottomLeft" activeCell="C22" sqref="C22"/>
    </sheetView>
  </sheetViews>
  <sheetFormatPr defaultColWidth="9.1796875" defaultRowHeight="12.5" x14ac:dyDescent="0.25"/>
  <cols>
    <col min="1" max="1" width="5.26953125" style="3" customWidth="1"/>
    <col min="2" max="2" width="39.54296875" style="3" bestFit="1" customWidth="1"/>
    <col min="3" max="3" width="13.08984375" style="3" bestFit="1" customWidth="1"/>
    <col min="4" max="4" width="13.26953125" style="3" bestFit="1" customWidth="1"/>
    <col min="5" max="5" width="12.1796875" style="3" bestFit="1" customWidth="1"/>
    <col min="6" max="6" width="15.81640625" style="3" bestFit="1" customWidth="1"/>
    <col min="7" max="7" width="14.54296875" style="3" bestFit="1" customWidth="1"/>
    <col min="8" max="8" width="9.1796875" style="3"/>
    <col min="9" max="9" width="10.26953125" style="3" bestFit="1" customWidth="1"/>
    <col min="10" max="16384" width="9.1796875" style="3"/>
  </cols>
  <sheetData>
    <row r="1" spans="1:16" ht="13" x14ac:dyDescent="0.3">
      <c r="A1" s="1" t="s">
        <v>16</v>
      </c>
      <c r="B1" s="1"/>
      <c r="C1" s="1"/>
      <c r="D1" s="1"/>
      <c r="E1" s="1"/>
      <c r="F1" s="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3" x14ac:dyDescent="0.3">
      <c r="A2" s="22" t="str">
        <f>'Exh. JAP-13 Page 1'!A2:O2</f>
        <v>2019 Gas General Rate Case (GRC)</v>
      </c>
      <c r="B2" s="22"/>
      <c r="C2" s="22"/>
      <c r="D2" s="22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3" x14ac:dyDescent="0.3">
      <c r="A3" s="1" t="s">
        <v>100</v>
      </c>
      <c r="B3" s="1"/>
      <c r="C3" s="1"/>
      <c r="D3" s="1"/>
      <c r="E3" s="1"/>
      <c r="F3" s="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3" x14ac:dyDescent="0.3">
      <c r="A4" s="1" t="s">
        <v>76</v>
      </c>
      <c r="B4" s="1"/>
      <c r="C4" s="1"/>
      <c r="D4" s="1"/>
      <c r="E4" s="1"/>
      <c r="F4" s="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3" x14ac:dyDescent="0.3">
      <c r="A5" s="23"/>
      <c r="B5" s="23"/>
      <c r="C5" s="23"/>
      <c r="D5" s="23"/>
      <c r="E5" s="23"/>
      <c r="F5" s="5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"/>
      <c r="B6" s="2"/>
      <c r="C6" s="2"/>
      <c r="D6" s="2"/>
      <c r="E6" s="2"/>
      <c r="F6" s="2"/>
    </row>
    <row r="7" spans="1:16" ht="13" x14ac:dyDescent="0.3">
      <c r="A7" s="7" t="s">
        <v>72</v>
      </c>
      <c r="B7" s="2"/>
      <c r="C7" s="2"/>
      <c r="D7" s="7" t="s">
        <v>71</v>
      </c>
      <c r="E7" s="7" t="s">
        <v>71</v>
      </c>
      <c r="F7" s="7" t="s">
        <v>71</v>
      </c>
    </row>
    <row r="8" spans="1:16" ht="13" x14ac:dyDescent="0.3">
      <c r="A8" s="9" t="s">
        <v>70</v>
      </c>
      <c r="B8" s="24"/>
      <c r="C8" s="9" t="s">
        <v>14</v>
      </c>
      <c r="D8" s="9" t="s">
        <v>73</v>
      </c>
      <c r="E8" s="9" t="s">
        <v>74</v>
      </c>
      <c r="F8" s="9" t="s">
        <v>75</v>
      </c>
    </row>
    <row r="9" spans="1:16" x14ac:dyDescent="0.25">
      <c r="A9" s="2"/>
      <c r="B9" s="11" t="s">
        <v>13</v>
      </c>
      <c r="C9" s="11" t="s">
        <v>12</v>
      </c>
      <c r="D9" s="11" t="s">
        <v>11</v>
      </c>
      <c r="E9" s="11" t="s">
        <v>10</v>
      </c>
      <c r="F9" s="11" t="s">
        <v>9</v>
      </c>
    </row>
    <row r="10" spans="1:16" ht="13" x14ac:dyDescent="0.3">
      <c r="A10" s="11"/>
      <c r="B10" s="12"/>
      <c r="C10" s="11"/>
      <c r="D10" s="11"/>
      <c r="E10" s="11"/>
      <c r="F10" s="11"/>
    </row>
    <row r="11" spans="1:16" x14ac:dyDescent="0.25">
      <c r="A11" s="11">
        <v>1</v>
      </c>
      <c r="B11" s="2" t="s">
        <v>77</v>
      </c>
      <c r="C11" s="25" t="s">
        <v>110</v>
      </c>
      <c r="D11" s="14">
        <f>'Exh. JAP-13 Page 1'!D17</f>
        <v>270920540.79000002</v>
      </c>
      <c r="E11" s="14">
        <f>'Exh. JAP-13 Page 1'!E17</f>
        <v>98892122.910000011</v>
      </c>
      <c r="F11" s="14">
        <f>'Exh. JAP-13 Page 1'!F17</f>
        <v>18576292.501532141</v>
      </c>
    </row>
    <row r="12" spans="1:16" x14ac:dyDescent="0.25">
      <c r="A12" s="11">
        <f>A11+1</f>
        <v>2</v>
      </c>
      <c r="B12" s="2"/>
      <c r="C12" s="2"/>
      <c r="D12" s="26"/>
      <c r="E12" s="26"/>
      <c r="F12" s="26"/>
    </row>
    <row r="13" spans="1:16" x14ac:dyDescent="0.25">
      <c r="A13" s="11">
        <f t="shared" ref="A13:A15" si="0">A12+1</f>
        <v>3</v>
      </c>
      <c r="B13" s="2" t="s">
        <v>17</v>
      </c>
      <c r="C13" s="25" t="s">
        <v>91</v>
      </c>
      <c r="D13" s="27">
        <f>SUM('12ME Dec 2018 Cust Data'!P6:P7)</f>
        <v>772124</v>
      </c>
      <c r="E13" s="27">
        <f>SUM('12ME Dec 2018 Cust Data'!P9:P10)</f>
        <v>56692</v>
      </c>
      <c r="F13" s="27">
        <f>SUM('12ME Dec 2018 Cust Data'!P11:P12,'12ME Dec 2018 Cust Data'!P15:P16)</f>
        <v>1670</v>
      </c>
    </row>
    <row r="14" spans="1:16" x14ac:dyDescent="0.25">
      <c r="A14" s="11">
        <f t="shared" si="0"/>
        <v>4</v>
      </c>
      <c r="B14" s="2"/>
      <c r="C14" s="2"/>
      <c r="D14" s="28"/>
      <c r="E14" s="28"/>
      <c r="F14" s="28"/>
    </row>
    <row r="15" spans="1:16" ht="13" thickBot="1" x14ac:dyDescent="0.3">
      <c r="A15" s="11">
        <f t="shared" si="0"/>
        <v>5</v>
      </c>
      <c r="B15" s="2" t="s">
        <v>78</v>
      </c>
      <c r="C15" s="11" t="str">
        <f>"("&amp;A11&amp;") / ("&amp;A13&amp;")"</f>
        <v>(1) / (3)</v>
      </c>
      <c r="D15" s="29">
        <f>ROUND(D11/D13,2)</f>
        <v>350.88</v>
      </c>
      <c r="E15" s="29">
        <f>ROUND(E11/E13,2)</f>
        <v>1744.38</v>
      </c>
      <c r="F15" s="29">
        <f>ROUND(F11/F13,2)</f>
        <v>11123.53</v>
      </c>
    </row>
    <row r="16" spans="1:16" ht="13" thickTop="1" x14ac:dyDescent="0.25">
      <c r="A16" s="2"/>
      <c r="B16" s="2"/>
      <c r="C16" s="2"/>
      <c r="D16" s="2"/>
      <c r="E16" s="2"/>
      <c r="F16" s="2"/>
      <c r="G16" s="2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90" zoomScaleNormal="90" workbookViewId="0">
      <pane ySplit="8" topLeftCell="A9" activePane="bottomLeft" state="frozen"/>
      <selection pane="bottomLeft" activeCell="G13" sqref="G13"/>
    </sheetView>
  </sheetViews>
  <sheetFormatPr defaultColWidth="9.1796875" defaultRowHeight="15" customHeight="1" x14ac:dyDescent="0.25"/>
  <cols>
    <col min="1" max="1" width="5.54296875" style="31" bestFit="1" customWidth="1"/>
    <col min="2" max="2" width="3.26953125" style="31" customWidth="1"/>
    <col min="3" max="3" width="51.1796875" style="42" customWidth="1"/>
    <col min="4" max="4" width="9.81640625" style="42" bestFit="1" customWidth="1"/>
    <col min="5" max="5" width="14.26953125" style="42" customWidth="1"/>
    <col min="6" max="6" width="17" style="42" bestFit="1" customWidth="1"/>
    <col min="7" max="16384" width="9.1796875" style="31"/>
  </cols>
  <sheetData>
    <row r="1" spans="1:12" ht="15" customHeight="1" x14ac:dyDescent="0.3">
      <c r="A1" s="1" t="s">
        <v>16</v>
      </c>
      <c r="B1" s="1"/>
      <c r="C1" s="1"/>
      <c r="D1" s="1"/>
      <c r="E1" s="1"/>
      <c r="F1" s="1"/>
      <c r="G1" s="30"/>
      <c r="H1" s="30"/>
      <c r="I1" s="30"/>
    </row>
    <row r="2" spans="1:12" ht="15" customHeight="1" x14ac:dyDescent="0.3">
      <c r="A2" s="22" t="str">
        <f>'Exh. JAP-13 Page 1'!A2:O2</f>
        <v>2019 Gas General Rate Case (GRC)</v>
      </c>
      <c r="B2" s="22"/>
      <c r="C2" s="22"/>
      <c r="D2" s="22"/>
      <c r="E2" s="22"/>
      <c r="F2" s="22"/>
      <c r="G2" s="30"/>
      <c r="H2" s="30"/>
      <c r="I2" s="30"/>
    </row>
    <row r="3" spans="1:12" ht="15" customHeight="1" x14ac:dyDescent="0.3">
      <c r="A3" s="32" t="s">
        <v>100</v>
      </c>
      <c r="B3" s="32"/>
      <c r="C3" s="32"/>
      <c r="D3" s="32"/>
      <c r="E3" s="32"/>
      <c r="F3" s="32"/>
      <c r="G3" s="30"/>
      <c r="H3" s="30"/>
      <c r="I3" s="30"/>
    </row>
    <row r="4" spans="1:12" ht="15" customHeight="1" x14ac:dyDescent="0.3">
      <c r="A4" s="32" t="s">
        <v>94</v>
      </c>
      <c r="B4" s="32"/>
      <c r="C4" s="32"/>
      <c r="D4" s="32"/>
      <c r="E4" s="32"/>
      <c r="F4" s="32"/>
      <c r="G4" s="23"/>
      <c r="H4" s="23"/>
      <c r="I4" s="23"/>
      <c r="J4" s="33"/>
      <c r="K4" s="33"/>
      <c r="L4" s="33"/>
    </row>
    <row r="5" spans="1:12" ht="15" customHeight="1" x14ac:dyDescent="0.3">
      <c r="B5" s="34"/>
      <c r="C5" s="34"/>
      <c r="D5" s="34"/>
      <c r="E5" s="34"/>
      <c r="F5" s="34"/>
      <c r="G5" s="23"/>
      <c r="H5" s="23"/>
      <c r="I5" s="23"/>
      <c r="J5" s="33"/>
      <c r="K5" s="33"/>
      <c r="L5" s="33"/>
    </row>
    <row r="6" spans="1:12" ht="15" customHeight="1" x14ac:dyDescent="0.3">
      <c r="B6" s="35"/>
      <c r="C6" s="35"/>
      <c r="D6" s="35"/>
      <c r="E6" s="35"/>
      <c r="F6" s="36"/>
      <c r="G6" s="23"/>
      <c r="H6" s="23"/>
      <c r="I6" s="23"/>
      <c r="J6" s="33"/>
      <c r="K6" s="33"/>
      <c r="L6" s="33"/>
    </row>
    <row r="7" spans="1:12" s="33" customFormat="1" ht="15" customHeight="1" x14ac:dyDescent="0.3">
      <c r="A7" s="5" t="s">
        <v>72</v>
      </c>
      <c r="C7" s="37"/>
      <c r="D7" s="37"/>
      <c r="E7" s="37"/>
      <c r="F7" s="37" t="s">
        <v>95</v>
      </c>
      <c r="G7" s="23"/>
      <c r="H7" s="23"/>
      <c r="I7" s="23"/>
    </row>
    <row r="8" spans="1:12" s="33" customFormat="1" ht="15" customHeight="1" x14ac:dyDescent="0.3">
      <c r="A8" s="38" t="s">
        <v>70</v>
      </c>
      <c r="B8" s="39"/>
      <c r="C8" s="40"/>
      <c r="D8" s="40" t="s">
        <v>21</v>
      </c>
      <c r="E8" s="40" t="s">
        <v>14</v>
      </c>
      <c r="F8" s="40" t="s">
        <v>96</v>
      </c>
      <c r="G8" s="23"/>
      <c r="H8" s="23"/>
      <c r="I8" s="23"/>
    </row>
    <row r="9" spans="1:12" ht="15" customHeight="1" x14ac:dyDescent="0.25">
      <c r="A9" s="41"/>
      <c r="B9" s="42"/>
      <c r="C9" s="36" t="s">
        <v>13</v>
      </c>
      <c r="D9" s="36" t="s">
        <v>12</v>
      </c>
      <c r="E9" s="11" t="s">
        <v>11</v>
      </c>
      <c r="F9" s="11" t="s">
        <v>10</v>
      </c>
      <c r="G9" s="30"/>
      <c r="H9" s="30"/>
      <c r="I9" s="30"/>
    </row>
    <row r="10" spans="1:12" ht="12.75" customHeight="1" x14ac:dyDescent="0.3">
      <c r="A10" s="11">
        <v>1</v>
      </c>
      <c r="B10" s="43" t="s">
        <v>83</v>
      </c>
      <c r="C10" s="44"/>
      <c r="D10" s="36"/>
      <c r="E10" s="36"/>
      <c r="F10" s="11"/>
      <c r="G10" s="30"/>
      <c r="H10" s="30"/>
      <c r="I10" s="30"/>
    </row>
    <row r="11" spans="1:12" ht="12.75" customHeight="1" x14ac:dyDescent="0.25">
      <c r="A11" s="11">
        <f>A10+1</f>
        <v>2</v>
      </c>
      <c r="B11" s="44"/>
      <c r="C11" s="45" t="s">
        <v>22</v>
      </c>
      <c r="D11" s="42" t="s">
        <v>92</v>
      </c>
      <c r="E11" s="11" t="s">
        <v>112</v>
      </c>
      <c r="F11" s="46">
        <f>'[2]Rate Design Res'!$H$13</f>
        <v>0.44468000000000002</v>
      </c>
      <c r="G11" s="30"/>
      <c r="H11" s="30"/>
      <c r="I11" s="30"/>
    </row>
    <row r="12" spans="1:12" ht="12.75" customHeight="1" x14ac:dyDescent="0.25">
      <c r="A12" s="11">
        <f t="shared" ref="A12:A54" si="0">A11+1</f>
        <v>3</v>
      </c>
      <c r="B12" s="44"/>
      <c r="C12" s="31"/>
      <c r="F12" s="46"/>
      <c r="G12" s="30"/>
      <c r="H12" s="30"/>
      <c r="I12" s="30"/>
    </row>
    <row r="13" spans="1:12" ht="12.75" customHeight="1" x14ac:dyDescent="0.3">
      <c r="A13" s="11">
        <f t="shared" si="0"/>
        <v>4</v>
      </c>
      <c r="B13" s="47" t="s">
        <v>84</v>
      </c>
      <c r="C13" s="44"/>
      <c r="F13" s="46"/>
      <c r="G13" s="30"/>
      <c r="H13" s="30"/>
      <c r="I13" s="30"/>
    </row>
    <row r="14" spans="1:12" ht="12.75" customHeight="1" x14ac:dyDescent="0.25">
      <c r="A14" s="11">
        <f t="shared" si="0"/>
        <v>5</v>
      </c>
      <c r="C14" s="45" t="s">
        <v>22</v>
      </c>
      <c r="D14" s="42" t="s">
        <v>92</v>
      </c>
      <c r="E14" s="11" t="s">
        <v>112</v>
      </c>
      <c r="F14" s="46">
        <f>'[2]Rate Design Res'!$H$24</f>
        <v>0.44468000000000002</v>
      </c>
      <c r="G14" s="30"/>
      <c r="H14" s="30"/>
      <c r="I14" s="30"/>
    </row>
    <row r="15" spans="1:12" ht="12.75" customHeight="1" x14ac:dyDescent="0.25">
      <c r="A15" s="11">
        <f t="shared" si="0"/>
        <v>6</v>
      </c>
      <c r="C15" s="31"/>
      <c r="D15" s="36"/>
      <c r="E15" s="36"/>
      <c r="F15" s="46"/>
      <c r="G15" s="30"/>
      <c r="H15" s="30"/>
      <c r="I15" s="30"/>
    </row>
    <row r="16" spans="1:12" ht="12.75" customHeight="1" x14ac:dyDescent="0.3">
      <c r="A16" s="11">
        <f t="shared" si="0"/>
        <v>7</v>
      </c>
      <c r="B16" s="47" t="s">
        <v>85</v>
      </c>
      <c r="C16" s="31"/>
      <c r="D16" s="48"/>
      <c r="E16" s="48"/>
      <c r="F16" s="46"/>
    </row>
    <row r="17" spans="1:6" ht="12.75" customHeight="1" x14ac:dyDescent="0.25">
      <c r="A17" s="11">
        <f t="shared" si="0"/>
        <v>8</v>
      </c>
      <c r="C17" s="42" t="s">
        <v>22</v>
      </c>
      <c r="D17" s="42" t="s">
        <v>92</v>
      </c>
      <c r="E17" s="11" t="s">
        <v>112</v>
      </c>
      <c r="F17" s="46">
        <f>'[2]Rate Design C&amp;I'!$H$13</f>
        <v>0.40522999999999998</v>
      </c>
    </row>
    <row r="18" spans="1:6" ht="12.75" customHeight="1" x14ac:dyDescent="0.25">
      <c r="A18" s="11">
        <f t="shared" si="0"/>
        <v>9</v>
      </c>
      <c r="F18" s="46"/>
    </row>
    <row r="19" spans="1:6" ht="12.75" customHeight="1" x14ac:dyDescent="0.25">
      <c r="A19" s="11">
        <f t="shared" si="0"/>
        <v>10</v>
      </c>
      <c r="C19" s="42" t="s">
        <v>23</v>
      </c>
      <c r="D19" s="42" t="s">
        <v>92</v>
      </c>
      <c r="E19" s="11" t="s">
        <v>112</v>
      </c>
      <c r="F19" s="46">
        <f>'[2]Rate Design C&amp;I'!$H$14</f>
        <v>1.7069999999999998E-2</v>
      </c>
    </row>
    <row r="20" spans="1:6" ht="12.75" customHeight="1" x14ac:dyDescent="0.25">
      <c r="A20" s="11">
        <f t="shared" si="0"/>
        <v>11</v>
      </c>
      <c r="F20" s="46"/>
    </row>
    <row r="21" spans="1:6" ht="12.75" customHeight="1" x14ac:dyDescent="0.3">
      <c r="A21" s="11">
        <f t="shared" si="0"/>
        <v>12</v>
      </c>
      <c r="B21" s="47" t="s">
        <v>86</v>
      </c>
      <c r="C21" s="31"/>
      <c r="D21" s="48"/>
      <c r="E21" s="48"/>
      <c r="F21" s="46"/>
    </row>
    <row r="22" spans="1:6" ht="12.75" customHeight="1" x14ac:dyDescent="0.25">
      <c r="A22" s="11">
        <f t="shared" si="0"/>
        <v>13</v>
      </c>
      <c r="B22" s="42"/>
      <c r="C22" s="42" t="s">
        <v>22</v>
      </c>
      <c r="D22" s="42" t="s">
        <v>92</v>
      </c>
      <c r="E22" s="11" t="s">
        <v>112</v>
      </c>
      <c r="F22" s="46">
        <f>'[2]Rate Design C&amp;I'!$H$25</f>
        <v>0.40522999999999998</v>
      </c>
    </row>
    <row r="23" spans="1:6" ht="12.75" customHeight="1" x14ac:dyDescent="0.25">
      <c r="A23" s="11">
        <f t="shared" si="0"/>
        <v>14</v>
      </c>
      <c r="B23" s="42"/>
      <c r="F23" s="46"/>
    </row>
    <row r="24" spans="1:6" ht="12.75" customHeight="1" x14ac:dyDescent="0.3">
      <c r="A24" s="11">
        <f t="shared" si="0"/>
        <v>15</v>
      </c>
      <c r="B24" s="47" t="s">
        <v>87</v>
      </c>
      <c r="C24" s="31"/>
      <c r="D24" s="48"/>
      <c r="E24" s="48"/>
      <c r="F24" s="46"/>
    </row>
    <row r="25" spans="1:6" ht="12.75" customHeight="1" x14ac:dyDescent="0.25">
      <c r="A25" s="11">
        <f t="shared" si="0"/>
        <v>16</v>
      </c>
      <c r="C25" s="42" t="s">
        <v>24</v>
      </c>
      <c r="D25" s="42" t="s">
        <v>92</v>
      </c>
      <c r="E25" s="11" t="s">
        <v>112</v>
      </c>
      <c r="F25" s="49">
        <f>'[2]Rate Design C&amp;I'!$H$49</f>
        <v>1.25</v>
      </c>
    </row>
    <row r="26" spans="1:6" ht="12.75" customHeight="1" x14ac:dyDescent="0.25">
      <c r="A26" s="11">
        <f t="shared" si="0"/>
        <v>17</v>
      </c>
      <c r="F26" s="46"/>
    </row>
    <row r="27" spans="1:6" ht="12.75" customHeight="1" x14ac:dyDescent="0.25">
      <c r="A27" s="11">
        <f t="shared" si="0"/>
        <v>18</v>
      </c>
      <c r="C27" s="42" t="s">
        <v>25</v>
      </c>
      <c r="F27" s="46"/>
    </row>
    <row r="28" spans="1:6" ht="12.75" customHeight="1" x14ac:dyDescent="0.25">
      <c r="A28" s="11">
        <f t="shared" si="0"/>
        <v>19</v>
      </c>
      <c r="C28" s="42" t="s">
        <v>93</v>
      </c>
      <c r="D28" s="42" t="s">
        <v>92</v>
      </c>
      <c r="E28" s="11" t="s">
        <v>112</v>
      </c>
      <c r="F28" s="46">
        <f>'[2]Rate Design C&amp;I'!$H$53</f>
        <v>0.14230000000000001</v>
      </c>
    </row>
    <row r="29" spans="1:6" ht="12.75" customHeight="1" x14ac:dyDescent="0.25">
      <c r="A29" s="11">
        <f t="shared" si="0"/>
        <v>20</v>
      </c>
      <c r="C29" s="42" t="s">
        <v>26</v>
      </c>
      <c r="D29" s="42" t="s">
        <v>92</v>
      </c>
      <c r="E29" s="11" t="s">
        <v>112</v>
      </c>
      <c r="F29" s="46">
        <f>'[2]Rate Design C&amp;I'!$H$54</f>
        <v>0.11454</v>
      </c>
    </row>
    <row r="30" spans="1:6" ht="12.75" customHeight="1" x14ac:dyDescent="0.25">
      <c r="A30" s="11">
        <f t="shared" si="0"/>
        <v>21</v>
      </c>
      <c r="F30" s="46"/>
    </row>
    <row r="31" spans="1:6" ht="12.75" customHeight="1" x14ac:dyDescent="0.25">
      <c r="A31" s="11">
        <f t="shared" si="0"/>
        <v>22</v>
      </c>
      <c r="C31" s="42" t="s">
        <v>23</v>
      </c>
      <c r="D31" s="42" t="s">
        <v>92</v>
      </c>
      <c r="E31" s="11" t="s">
        <v>112</v>
      </c>
      <c r="F31" s="46">
        <f>'[2]Rate Design C&amp;I'!$H$56</f>
        <v>1.149E-2</v>
      </c>
    </row>
    <row r="32" spans="1:6" ht="12.75" customHeight="1" x14ac:dyDescent="0.25">
      <c r="A32" s="11">
        <f t="shared" si="0"/>
        <v>23</v>
      </c>
      <c r="C32" s="48"/>
      <c r="D32" s="48"/>
      <c r="E32" s="48"/>
      <c r="F32" s="46"/>
    </row>
    <row r="33" spans="1:6" ht="12.75" customHeight="1" x14ac:dyDescent="0.3">
      <c r="A33" s="11">
        <f t="shared" si="0"/>
        <v>24</v>
      </c>
      <c r="B33" s="47" t="s">
        <v>88</v>
      </c>
      <c r="C33" s="31"/>
      <c r="D33" s="48"/>
      <c r="E33" s="48"/>
      <c r="F33" s="46"/>
    </row>
    <row r="34" spans="1:6" ht="12.75" customHeight="1" x14ac:dyDescent="0.25">
      <c r="A34" s="11">
        <f t="shared" si="0"/>
        <v>25</v>
      </c>
      <c r="B34" s="42"/>
      <c r="C34" s="42" t="s">
        <v>24</v>
      </c>
      <c r="D34" s="42" t="s">
        <v>92</v>
      </c>
      <c r="E34" s="11" t="s">
        <v>112</v>
      </c>
      <c r="F34" s="49">
        <f>'[2]Rate Design C&amp;I'!$H$71</f>
        <v>1.25</v>
      </c>
    </row>
    <row r="35" spans="1:6" ht="12.75" customHeight="1" x14ac:dyDescent="0.25">
      <c r="A35" s="11">
        <f t="shared" si="0"/>
        <v>26</v>
      </c>
      <c r="B35" s="42"/>
      <c r="F35" s="46"/>
    </row>
    <row r="36" spans="1:6" ht="12.75" customHeight="1" x14ac:dyDescent="0.25">
      <c r="A36" s="11">
        <f t="shared" si="0"/>
        <v>27</v>
      </c>
      <c r="B36" s="42"/>
      <c r="C36" s="42" t="s">
        <v>25</v>
      </c>
      <c r="F36" s="46"/>
    </row>
    <row r="37" spans="1:6" ht="12.75" customHeight="1" x14ac:dyDescent="0.25">
      <c r="A37" s="11">
        <f t="shared" si="0"/>
        <v>28</v>
      </c>
      <c r="B37" s="42"/>
      <c r="C37" s="42" t="s">
        <v>93</v>
      </c>
      <c r="D37" s="42" t="s">
        <v>92</v>
      </c>
      <c r="E37" s="11" t="s">
        <v>112</v>
      </c>
      <c r="F37" s="46">
        <f>'[2]Rate Design C&amp;I'!$H$75</f>
        <v>0.14230000000000001</v>
      </c>
    </row>
    <row r="38" spans="1:6" ht="12.75" customHeight="1" x14ac:dyDescent="0.25">
      <c r="A38" s="11">
        <f t="shared" si="0"/>
        <v>29</v>
      </c>
      <c r="B38" s="42"/>
      <c r="C38" s="42" t="s">
        <v>26</v>
      </c>
      <c r="D38" s="42" t="s">
        <v>92</v>
      </c>
      <c r="E38" s="11" t="s">
        <v>112</v>
      </c>
      <c r="F38" s="46">
        <f>'[2]Rate Design C&amp;I'!$H$76</f>
        <v>0.11454</v>
      </c>
    </row>
    <row r="39" spans="1:6" ht="12.75" customHeight="1" x14ac:dyDescent="0.25">
      <c r="A39" s="11">
        <f t="shared" si="0"/>
        <v>30</v>
      </c>
      <c r="B39" s="42"/>
      <c r="F39" s="46"/>
    </row>
    <row r="40" spans="1:6" ht="12.75" customHeight="1" x14ac:dyDescent="0.3">
      <c r="A40" s="11">
        <f t="shared" si="0"/>
        <v>31</v>
      </c>
      <c r="B40" s="47" t="s">
        <v>89</v>
      </c>
      <c r="C40" s="31"/>
      <c r="D40" s="48"/>
      <c r="E40" s="48"/>
      <c r="F40" s="46"/>
    </row>
    <row r="41" spans="1:6" ht="12.75" customHeight="1" x14ac:dyDescent="0.25">
      <c r="A41" s="11">
        <f t="shared" si="0"/>
        <v>32</v>
      </c>
      <c r="C41" s="42" t="s">
        <v>24</v>
      </c>
      <c r="D41" s="42" t="s">
        <v>92</v>
      </c>
      <c r="E41" s="11" t="s">
        <v>112</v>
      </c>
      <c r="F41" s="49">
        <f>'[2]Rate Design Int &amp; Trans'!$H$73</f>
        <v>1.35</v>
      </c>
    </row>
    <row r="42" spans="1:6" ht="12.75" customHeight="1" x14ac:dyDescent="0.25">
      <c r="A42" s="11">
        <f t="shared" si="0"/>
        <v>33</v>
      </c>
      <c r="F42" s="46"/>
    </row>
    <row r="43" spans="1:6" ht="12.75" customHeight="1" x14ac:dyDescent="0.25">
      <c r="A43" s="11">
        <f t="shared" si="0"/>
        <v>34</v>
      </c>
      <c r="C43" s="42" t="s">
        <v>25</v>
      </c>
      <c r="F43" s="46"/>
    </row>
    <row r="44" spans="1:6" ht="12.75" customHeight="1" x14ac:dyDescent="0.25">
      <c r="A44" s="11">
        <f t="shared" si="0"/>
        <v>35</v>
      </c>
      <c r="C44" s="42" t="s">
        <v>28</v>
      </c>
      <c r="D44" s="42" t="s">
        <v>92</v>
      </c>
      <c r="E44" s="11" t="s">
        <v>112</v>
      </c>
      <c r="F44" s="46">
        <f>'[2]Rate Design Int &amp; Trans'!$H$78</f>
        <v>0.18351999999999999</v>
      </c>
    </row>
    <row r="45" spans="1:6" ht="12.75" customHeight="1" x14ac:dyDescent="0.25">
      <c r="A45" s="11">
        <f t="shared" si="0"/>
        <v>36</v>
      </c>
      <c r="C45" s="42" t="s">
        <v>29</v>
      </c>
      <c r="D45" s="42" t="s">
        <v>92</v>
      </c>
      <c r="E45" s="11" t="s">
        <v>112</v>
      </c>
      <c r="F45" s="46">
        <f>'[2]Rate Design Int &amp; Trans'!$H$79</f>
        <v>0.13009999999999999</v>
      </c>
    </row>
    <row r="46" spans="1:6" ht="12.75" customHeight="1" x14ac:dyDescent="0.25">
      <c r="A46" s="11">
        <f t="shared" si="0"/>
        <v>37</v>
      </c>
      <c r="F46" s="46"/>
    </row>
    <row r="47" spans="1:6" ht="12.75" customHeight="1" x14ac:dyDescent="0.25">
      <c r="A47" s="11">
        <f t="shared" si="0"/>
        <v>38</v>
      </c>
      <c r="C47" s="42" t="s">
        <v>23</v>
      </c>
      <c r="D47" s="42" t="s">
        <v>92</v>
      </c>
      <c r="E47" s="11" t="s">
        <v>112</v>
      </c>
      <c r="F47" s="46">
        <f>'[2]Rate Design Int &amp; Trans'!$H$74</f>
        <v>1.2460000000000001E-2</v>
      </c>
    </row>
    <row r="48" spans="1:6" ht="12.75" customHeight="1" x14ac:dyDescent="0.25">
      <c r="A48" s="11">
        <f t="shared" si="0"/>
        <v>39</v>
      </c>
      <c r="C48" s="48"/>
      <c r="D48" s="48"/>
      <c r="E48" s="48"/>
      <c r="F48" s="46"/>
    </row>
    <row r="49" spans="1:6" ht="12.75" customHeight="1" x14ac:dyDescent="0.3">
      <c r="A49" s="11">
        <f t="shared" si="0"/>
        <v>40</v>
      </c>
      <c r="B49" s="47" t="s">
        <v>90</v>
      </c>
      <c r="C49" s="31"/>
      <c r="D49" s="48"/>
      <c r="E49" s="48"/>
      <c r="F49" s="46"/>
    </row>
    <row r="50" spans="1:6" ht="12.75" customHeight="1" x14ac:dyDescent="0.25">
      <c r="A50" s="11">
        <f t="shared" si="0"/>
        <v>41</v>
      </c>
      <c r="B50" s="42"/>
      <c r="C50" s="42" t="s">
        <v>24</v>
      </c>
      <c r="D50" s="42" t="s">
        <v>92</v>
      </c>
      <c r="E50" s="11" t="s">
        <v>112</v>
      </c>
      <c r="F50" s="49">
        <f>'[2]Rate Design Int &amp; Trans'!$H$93</f>
        <v>1.35</v>
      </c>
    </row>
    <row r="51" spans="1:6" ht="12.75" customHeight="1" x14ac:dyDescent="0.25">
      <c r="A51" s="11">
        <f t="shared" si="0"/>
        <v>42</v>
      </c>
      <c r="B51" s="42"/>
      <c r="F51" s="46"/>
    </row>
    <row r="52" spans="1:6" ht="12.75" customHeight="1" x14ac:dyDescent="0.25">
      <c r="A52" s="11">
        <f t="shared" si="0"/>
        <v>43</v>
      </c>
      <c r="B52" s="42"/>
      <c r="C52" s="42" t="s">
        <v>25</v>
      </c>
      <c r="F52" s="46"/>
    </row>
    <row r="53" spans="1:6" ht="12.75" customHeight="1" x14ac:dyDescent="0.25">
      <c r="A53" s="11">
        <f t="shared" si="0"/>
        <v>44</v>
      </c>
      <c r="B53" s="42"/>
      <c r="C53" s="42" t="s">
        <v>28</v>
      </c>
      <c r="D53" s="42" t="s">
        <v>92</v>
      </c>
      <c r="E53" s="11" t="s">
        <v>112</v>
      </c>
      <c r="F53" s="46">
        <f>'[2]Rate Design Int &amp; Trans'!$H$97</f>
        <v>0.18351999999999999</v>
      </c>
    </row>
    <row r="54" spans="1:6" ht="12.75" customHeight="1" x14ac:dyDescent="0.25">
      <c r="A54" s="11">
        <f t="shared" si="0"/>
        <v>45</v>
      </c>
      <c r="B54" s="42"/>
      <c r="C54" s="42" t="s">
        <v>29</v>
      </c>
      <c r="D54" s="42" t="s">
        <v>92</v>
      </c>
      <c r="E54" s="11" t="s">
        <v>112</v>
      </c>
      <c r="F54" s="46">
        <f>'[2]Rate Design Int &amp; Trans'!$H$98</f>
        <v>0.13009999999999999</v>
      </c>
    </row>
    <row r="55" spans="1:6" ht="12.75" customHeight="1" x14ac:dyDescent="0.25">
      <c r="A55" s="1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90" zoomScaleNormal="90" workbookViewId="0">
      <selection activeCell="K38" sqref="K38"/>
    </sheetView>
  </sheetViews>
  <sheetFormatPr defaultColWidth="9.1796875" defaultRowHeight="12.5" x14ac:dyDescent="0.25"/>
  <cols>
    <col min="1" max="1" width="5.26953125" style="3" customWidth="1"/>
    <col min="2" max="2" width="2.7265625" style="3" customWidth="1"/>
    <col min="3" max="3" width="40.453125" style="3" bestFit="1" customWidth="1"/>
    <col min="4" max="4" width="22.90625" style="64" bestFit="1" customWidth="1"/>
    <col min="5" max="8" width="11.1796875" style="64" bestFit="1" customWidth="1"/>
    <col min="9" max="17" width="11.1796875" style="3" bestFit="1" customWidth="1"/>
    <col min="18" max="16384" width="9.1796875" style="3"/>
  </cols>
  <sheetData>
    <row r="1" spans="1:17" ht="13" x14ac:dyDescent="0.3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" x14ac:dyDescent="0.3">
      <c r="A2" s="22" t="str">
        <f>'Exh. JAP-13 Page 1'!A2:O2</f>
        <v>2019 Gas General Rate Case (GRC)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3" x14ac:dyDescent="0.3">
      <c r="A3" s="1" t="s">
        <v>100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" x14ac:dyDescent="0.3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2"/>
      <c r="M5" s="2"/>
      <c r="N5" s="2"/>
      <c r="O5" s="2"/>
      <c r="P5" s="2"/>
      <c r="Q5" s="2"/>
    </row>
    <row r="6" spans="1:17" ht="26" x14ac:dyDescent="0.25">
      <c r="A6" s="38" t="s">
        <v>15</v>
      </c>
      <c r="B6" s="38"/>
      <c r="C6" s="24"/>
      <c r="D6" s="38" t="s">
        <v>14</v>
      </c>
      <c r="E6" s="50" t="s">
        <v>38</v>
      </c>
      <c r="F6" s="50" t="s">
        <v>39</v>
      </c>
      <c r="G6" s="50" t="s">
        <v>40</v>
      </c>
      <c r="H6" s="50" t="s">
        <v>41</v>
      </c>
      <c r="I6" s="50" t="s">
        <v>42</v>
      </c>
      <c r="J6" s="50" t="s">
        <v>43</v>
      </c>
      <c r="K6" s="50" t="s">
        <v>44</v>
      </c>
      <c r="L6" s="50" t="s">
        <v>45</v>
      </c>
      <c r="M6" s="50" t="s">
        <v>46</v>
      </c>
      <c r="N6" s="50" t="s">
        <v>47</v>
      </c>
      <c r="O6" s="50" t="s">
        <v>48</v>
      </c>
      <c r="P6" s="50" t="s">
        <v>49</v>
      </c>
      <c r="Q6" s="38" t="s">
        <v>50</v>
      </c>
    </row>
    <row r="7" spans="1:17" x14ac:dyDescent="0.25">
      <c r="A7" s="2"/>
      <c r="B7" s="2"/>
      <c r="C7" s="11" t="s">
        <v>13</v>
      </c>
      <c r="D7" s="11" t="s">
        <v>12</v>
      </c>
      <c r="E7" s="11" t="s">
        <v>11</v>
      </c>
      <c r="F7" s="11" t="s">
        <v>10</v>
      </c>
      <c r="G7" s="11" t="s">
        <v>9</v>
      </c>
      <c r="H7" s="11" t="s">
        <v>8</v>
      </c>
      <c r="I7" s="11" t="s">
        <v>7</v>
      </c>
      <c r="J7" s="11" t="s">
        <v>6</v>
      </c>
      <c r="K7" s="11" t="s">
        <v>5</v>
      </c>
      <c r="L7" s="11" t="s">
        <v>4</v>
      </c>
      <c r="M7" s="11" t="s">
        <v>3</v>
      </c>
      <c r="N7" s="11" t="s">
        <v>2</v>
      </c>
      <c r="O7" s="11" t="s">
        <v>1</v>
      </c>
      <c r="P7" s="11" t="s">
        <v>0</v>
      </c>
      <c r="Q7" s="11" t="s">
        <v>37</v>
      </c>
    </row>
    <row r="8" spans="1:17" ht="13" x14ac:dyDescent="0.3">
      <c r="A8" s="11"/>
      <c r="B8" s="51" t="s">
        <v>64</v>
      </c>
      <c r="C8" s="12"/>
      <c r="D8" s="11"/>
      <c r="E8" s="11"/>
      <c r="F8" s="11"/>
      <c r="G8" s="11"/>
      <c r="H8" s="11"/>
      <c r="I8" s="11"/>
      <c r="J8" s="11"/>
      <c r="K8" s="2"/>
      <c r="L8" s="2"/>
      <c r="M8" s="2"/>
      <c r="N8" s="2"/>
      <c r="O8" s="2"/>
      <c r="P8" s="2"/>
      <c r="Q8" s="2"/>
    </row>
    <row r="9" spans="1:17" x14ac:dyDescent="0.25">
      <c r="A9" s="11">
        <v>1</v>
      </c>
      <c r="B9" s="52" t="s">
        <v>60</v>
      </c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3"/>
    </row>
    <row r="10" spans="1:17" x14ac:dyDescent="0.25">
      <c r="A10" s="11">
        <f t="shared" ref="A10:A32" si="0">A9+1</f>
        <v>2</v>
      </c>
      <c r="B10" s="11"/>
      <c r="C10" s="2" t="s">
        <v>99</v>
      </c>
      <c r="D10" s="11" t="s">
        <v>113</v>
      </c>
      <c r="E10" s="27">
        <f>'[1]Weather Adj'!D199</f>
        <v>93421414.228518099</v>
      </c>
      <c r="F10" s="27">
        <f>'[1]Weather Adj'!E199</f>
        <v>80765776.695281148</v>
      </c>
      <c r="G10" s="27">
        <f>'[1]Weather Adj'!F199</f>
        <v>73588981.052105859</v>
      </c>
      <c r="H10" s="27">
        <f>'[1]Weather Adj'!G199</f>
        <v>54225390.576538458</v>
      </c>
      <c r="I10" s="27">
        <f>'[1]Weather Adj'!H199</f>
        <v>29283078.131864034</v>
      </c>
      <c r="J10" s="27">
        <f>'[1]Weather Adj'!I199</f>
        <v>20073081.825583894</v>
      </c>
      <c r="K10" s="27">
        <f>'[1]Weather Adj'!J199</f>
        <v>13034137.192011889</v>
      </c>
      <c r="L10" s="27">
        <f>'[1]Weather Adj'!K199</f>
        <v>12666894.05795379</v>
      </c>
      <c r="M10" s="27">
        <f>'[1]Weather Adj'!L199</f>
        <v>18783605.989420865</v>
      </c>
      <c r="N10" s="27">
        <f>'[1]Weather Adj'!M199</f>
        <v>44226800.543073878</v>
      </c>
      <c r="O10" s="27">
        <f>'[1]Weather Adj'!N199</f>
        <v>71485047.417921156</v>
      </c>
      <c r="P10" s="27">
        <f>'[1]Weather Adj'!O199</f>
        <v>97694107.449045002</v>
      </c>
      <c r="Q10" s="54">
        <f>SUM(E10:P10)</f>
        <v>609248315.15931797</v>
      </c>
    </row>
    <row r="11" spans="1:17" x14ac:dyDescent="0.25">
      <c r="A11" s="11">
        <f t="shared" si="0"/>
        <v>3</v>
      </c>
      <c r="B11" s="11"/>
      <c r="C11" s="2" t="s">
        <v>63</v>
      </c>
      <c r="D11" s="55" t="s">
        <v>67</v>
      </c>
      <c r="E11" s="56">
        <f t="shared" ref="E11:P11" si="1">E10/$Q10</f>
        <v>0.1533388142470094</v>
      </c>
      <c r="F11" s="56">
        <f t="shared" si="1"/>
        <v>0.13256627008342398</v>
      </c>
      <c r="G11" s="56">
        <f t="shared" si="1"/>
        <v>0.12078651548320228</v>
      </c>
      <c r="H11" s="56">
        <f t="shared" si="1"/>
        <v>8.9003759595721751E-2</v>
      </c>
      <c r="I11" s="56">
        <f t="shared" si="1"/>
        <v>4.8064274292176794E-2</v>
      </c>
      <c r="J11" s="56">
        <f t="shared" si="1"/>
        <v>3.2947291483825934E-2</v>
      </c>
      <c r="K11" s="56">
        <f t="shared" si="1"/>
        <v>2.139380096373918E-2</v>
      </c>
      <c r="L11" s="56">
        <f t="shared" si="1"/>
        <v>2.0791020250325035E-2</v>
      </c>
      <c r="M11" s="56">
        <f t="shared" si="1"/>
        <v>3.0830788566906363E-2</v>
      </c>
      <c r="N11" s="56">
        <f t="shared" si="1"/>
        <v>7.2592405169817506E-2</v>
      </c>
      <c r="O11" s="56">
        <f t="shared" si="1"/>
        <v>0.11733318851973824</v>
      </c>
      <c r="P11" s="56">
        <f t="shared" si="1"/>
        <v>0.16035187134411372</v>
      </c>
      <c r="Q11" s="56">
        <f>SUM(E11:P11)</f>
        <v>1.0000000000000002</v>
      </c>
    </row>
    <row r="12" spans="1:17" x14ac:dyDescent="0.25">
      <c r="A12" s="11">
        <f t="shared" si="0"/>
        <v>4</v>
      </c>
      <c r="B12" s="11"/>
      <c r="C12" s="2"/>
      <c r="D12" s="57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25">
      <c r="A13" s="11">
        <f t="shared" si="0"/>
        <v>5</v>
      </c>
      <c r="B13" s="52" t="s">
        <v>61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25">
      <c r="A14" s="11">
        <f t="shared" si="0"/>
        <v>6</v>
      </c>
      <c r="B14" s="11"/>
      <c r="C14" s="2" t="str">
        <f>C10</f>
        <v xml:space="preserve">Weather-Normalized Therm Sales </v>
      </c>
      <c r="D14" s="11" t="s">
        <v>113</v>
      </c>
      <c r="E14" s="27">
        <f>SUM('[1]Weather Adj'!D200,'[1]Weather Adj'!D207)</f>
        <v>32859303.334279951</v>
      </c>
      <c r="F14" s="27">
        <f>SUM('[1]Weather Adj'!E200,'[1]Weather Adj'!E207)</f>
        <v>29012487.268699374</v>
      </c>
      <c r="G14" s="27">
        <f>SUM('[1]Weather Adj'!F200,'[1]Weather Adj'!F207)</f>
        <v>27644922.613172699</v>
      </c>
      <c r="H14" s="27">
        <f>SUM('[1]Weather Adj'!G200,'[1]Weather Adj'!G207)</f>
        <v>19077454.094164256</v>
      </c>
      <c r="I14" s="27">
        <f>SUM('[1]Weather Adj'!H200,'[1]Weather Adj'!H207)</f>
        <v>13097973.87841084</v>
      </c>
      <c r="J14" s="27">
        <f>SUM('[1]Weather Adj'!I200,'[1]Weather Adj'!I207)</f>
        <v>10443270.200126803</v>
      </c>
      <c r="K14" s="27">
        <f>SUM('[1]Weather Adj'!J200,'[1]Weather Adj'!J207)</f>
        <v>7644316.7775622997</v>
      </c>
      <c r="L14" s="27">
        <f>SUM('[1]Weather Adj'!K200,'[1]Weather Adj'!K207)</f>
        <v>8243862.5569669092</v>
      </c>
      <c r="M14" s="27">
        <f>SUM('[1]Weather Adj'!L200,'[1]Weather Adj'!L207)</f>
        <v>9238913.9968257956</v>
      </c>
      <c r="N14" s="27">
        <f>SUM('[1]Weather Adj'!M200,'[1]Weather Adj'!M207)</f>
        <v>16425060.739004632</v>
      </c>
      <c r="O14" s="27">
        <f>SUM('[1]Weather Adj'!N200,'[1]Weather Adj'!N207)</f>
        <v>24554080.913186777</v>
      </c>
      <c r="P14" s="27">
        <f>SUM('[1]Weather Adj'!O200,'[1]Weather Adj'!O207)</f>
        <v>35934871.680844098</v>
      </c>
      <c r="Q14" s="54">
        <f>SUM(E14:P14)</f>
        <v>234176518.05324444</v>
      </c>
    </row>
    <row r="15" spans="1:17" x14ac:dyDescent="0.25">
      <c r="A15" s="11">
        <f t="shared" si="0"/>
        <v>7</v>
      </c>
      <c r="B15" s="11"/>
      <c r="C15" s="2" t="s">
        <v>63</v>
      </c>
      <c r="D15" s="25" t="s">
        <v>68</v>
      </c>
      <c r="E15" s="58">
        <f t="shared" ref="E15:P15" si="2">E14/$Q14</f>
        <v>0.14031852385305674</v>
      </c>
      <c r="F15" s="58">
        <f t="shared" si="2"/>
        <v>0.12389153067047841</v>
      </c>
      <c r="G15" s="58">
        <f t="shared" si="2"/>
        <v>0.1180516425941866</v>
      </c>
      <c r="H15" s="58">
        <f t="shared" si="2"/>
        <v>8.1466127572306965E-2</v>
      </c>
      <c r="I15" s="58">
        <f t="shared" si="2"/>
        <v>5.5932054961346594E-2</v>
      </c>
      <c r="J15" s="58">
        <f t="shared" si="2"/>
        <v>4.4595719019753843E-2</v>
      </c>
      <c r="K15" s="58">
        <f t="shared" si="2"/>
        <v>3.264339584989568E-2</v>
      </c>
      <c r="L15" s="58">
        <f t="shared" si="2"/>
        <v>3.5203625989060579E-2</v>
      </c>
      <c r="M15" s="58">
        <f t="shared" si="2"/>
        <v>3.9452777219640592E-2</v>
      </c>
      <c r="N15" s="58">
        <f t="shared" si="2"/>
        <v>7.0139657364237037E-2</v>
      </c>
      <c r="O15" s="58">
        <f t="shared" si="2"/>
        <v>0.10485287388039455</v>
      </c>
      <c r="P15" s="58">
        <f t="shared" si="2"/>
        <v>0.1534520710256424</v>
      </c>
      <c r="Q15" s="58">
        <f>SUM(E15:P15)</f>
        <v>0.99999999999999989</v>
      </c>
    </row>
    <row r="16" spans="1:17" x14ac:dyDescent="0.25">
      <c r="A16" s="11">
        <f t="shared" si="0"/>
        <v>8</v>
      </c>
      <c r="B16" s="11"/>
      <c r="C16" s="2"/>
      <c r="D16" s="2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x14ac:dyDescent="0.25">
      <c r="A17" s="11">
        <f t="shared" si="0"/>
        <v>9</v>
      </c>
      <c r="B17" s="52" t="s">
        <v>62</v>
      </c>
      <c r="D17" s="2"/>
      <c r="E17" s="3"/>
      <c r="F17" s="3"/>
      <c r="G17" s="3"/>
      <c r="H17" s="3"/>
    </row>
    <row r="18" spans="1:17" x14ac:dyDescent="0.25">
      <c r="A18" s="11">
        <f t="shared" si="0"/>
        <v>10</v>
      </c>
      <c r="B18" s="11"/>
      <c r="C18" s="2" t="str">
        <f>C10</f>
        <v xml:space="preserve">Weather-Normalized Therm Sales </v>
      </c>
      <c r="D18" s="11" t="s">
        <v>113</v>
      </c>
      <c r="E18" s="27">
        <f>SUM('[1]Weather Adj'!D201,'[1]Weather Adj'!D205,'[1]Weather Adj'!D208,'[1]Weather Adj'!D210)</f>
        <v>11622429.251987603</v>
      </c>
      <c r="F18" s="27">
        <f>SUM('[1]Weather Adj'!E201,'[1]Weather Adj'!E205,'[1]Weather Adj'!E208,'[1]Weather Adj'!E210)</f>
        <v>11188587.341991644</v>
      </c>
      <c r="G18" s="27">
        <f>SUM('[1]Weather Adj'!F201,'[1]Weather Adj'!F205,'[1]Weather Adj'!F208,'[1]Weather Adj'!F210)</f>
        <v>8735864.0455405731</v>
      </c>
      <c r="H18" s="27">
        <f>SUM('[1]Weather Adj'!G201,'[1]Weather Adj'!G205,'[1]Weather Adj'!G208,'[1]Weather Adj'!G210)</f>
        <v>8481543.1904050056</v>
      </c>
      <c r="I18" s="27">
        <f>SUM('[1]Weather Adj'!H201,'[1]Weather Adj'!H205,'[1]Weather Adj'!H208,'[1]Weather Adj'!H210)</f>
        <v>6439762.6391663924</v>
      </c>
      <c r="J18" s="27">
        <f>SUM('[1]Weather Adj'!I201,'[1]Weather Adj'!I205,'[1]Weather Adj'!I208,'[1]Weather Adj'!I210)</f>
        <v>6534205.1958453646</v>
      </c>
      <c r="K18" s="27">
        <f>SUM('[1]Weather Adj'!J201,'[1]Weather Adj'!J205,'[1]Weather Adj'!J208,'[1]Weather Adj'!J210)</f>
        <v>2076741.5876019597</v>
      </c>
      <c r="L18" s="27">
        <f>SUM('[1]Weather Adj'!K201,'[1]Weather Adj'!K205,'[1]Weather Adj'!K208,'[1]Weather Adj'!K210)</f>
        <v>7425544.9468849488</v>
      </c>
      <c r="M18" s="27">
        <f>SUM('[1]Weather Adj'!L201,'[1]Weather Adj'!L205,'[1]Weather Adj'!L208,'[1]Weather Adj'!L210)</f>
        <v>5179907.7124212999</v>
      </c>
      <c r="N18" s="27">
        <f>SUM('[1]Weather Adj'!M201,'[1]Weather Adj'!M205,'[1]Weather Adj'!M208,'[1]Weather Adj'!M210)</f>
        <v>7274019.4353052648</v>
      </c>
      <c r="O18" s="27">
        <f>SUM('[1]Weather Adj'!N201,'[1]Weather Adj'!N205,'[1]Weather Adj'!N208,'[1]Weather Adj'!N210)</f>
        <v>9334797.1486858763</v>
      </c>
      <c r="P18" s="27">
        <f>SUM('[1]Weather Adj'!O201,'[1]Weather Adj'!O205,'[1]Weather Adj'!O208,'[1]Weather Adj'!O210)</f>
        <v>11784077.839629773</v>
      </c>
      <c r="Q18" s="54">
        <f>SUM(E18:P18)</f>
        <v>96077480.335465699</v>
      </c>
    </row>
    <row r="19" spans="1:17" x14ac:dyDescent="0.25">
      <c r="A19" s="11">
        <f t="shared" si="0"/>
        <v>11</v>
      </c>
      <c r="B19" s="11"/>
      <c r="C19" s="2" t="s">
        <v>63</v>
      </c>
      <c r="D19" s="25" t="s">
        <v>69</v>
      </c>
      <c r="E19" s="58">
        <f t="shared" ref="E19:P19" si="3">E18/$Q18</f>
        <v>0.12096933861511083</v>
      </c>
      <c r="F19" s="58">
        <f t="shared" si="3"/>
        <v>0.11645379648722458</v>
      </c>
      <c r="G19" s="58">
        <f t="shared" si="3"/>
        <v>9.0925199277065633E-2</v>
      </c>
      <c r="H19" s="58">
        <f t="shared" si="3"/>
        <v>8.8278160093194682E-2</v>
      </c>
      <c r="I19" s="58">
        <f t="shared" si="3"/>
        <v>6.7026764405989953E-2</v>
      </c>
      <c r="J19" s="58">
        <f t="shared" si="3"/>
        <v>6.8009747685206012E-2</v>
      </c>
      <c r="K19" s="58">
        <f t="shared" si="3"/>
        <v>2.1615279463520223E-2</v>
      </c>
      <c r="L19" s="58">
        <f t="shared" si="3"/>
        <v>7.7287049170708833E-2</v>
      </c>
      <c r="M19" s="58">
        <f t="shared" si="3"/>
        <v>5.3913858839085387E-2</v>
      </c>
      <c r="N19" s="58">
        <f t="shared" si="3"/>
        <v>7.5709931296149516E-2</v>
      </c>
      <c r="O19" s="58">
        <f t="shared" si="3"/>
        <v>9.7159054505721279E-2</v>
      </c>
      <c r="P19" s="58">
        <f t="shared" si="3"/>
        <v>0.12265182016102311</v>
      </c>
      <c r="Q19" s="58">
        <f>SUM(E19:P19)</f>
        <v>1.0000000000000002</v>
      </c>
    </row>
    <row r="20" spans="1:17" x14ac:dyDescent="0.25">
      <c r="A20" s="11">
        <f t="shared" si="0"/>
        <v>12</v>
      </c>
      <c r="B20" s="11"/>
      <c r="C20" s="2"/>
      <c r="D20" s="2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3" x14ac:dyDescent="0.3">
      <c r="A21" s="11">
        <f t="shared" si="0"/>
        <v>13</v>
      </c>
      <c r="B21" s="51" t="s">
        <v>80</v>
      </c>
      <c r="D21" s="1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x14ac:dyDescent="0.25">
      <c r="A22" s="11">
        <f t="shared" si="0"/>
        <v>14</v>
      </c>
      <c r="B22" s="52" t="s">
        <v>60</v>
      </c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11">
        <f t="shared" si="0"/>
        <v>15</v>
      </c>
      <c r="B23" s="11"/>
      <c r="C23" s="2" t="s">
        <v>79</v>
      </c>
      <c r="D23" s="11" t="s">
        <v>109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9">
        <f>'Exh. JAP-13 Page 2'!D15</f>
        <v>350.88</v>
      </c>
    </row>
    <row r="24" spans="1:17" x14ac:dyDescent="0.25">
      <c r="A24" s="11">
        <f t="shared" si="0"/>
        <v>16</v>
      </c>
      <c r="B24" s="11"/>
      <c r="C24" s="2" t="s">
        <v>80</v>
      </c>
      <c r="D24" s="11" t="str">
        <f>"("&amp;A$11&amp;") x ("&amp;A23&amp;")"</f>
        <v>(3) x (15)</v>
      </c>
      <c r="E24" s="60">
        <f>$Q23*E$11</f>
        <v>53.803523142990656</v>
      </c>
      <c r="F24" s="60">
        <f t="shared" ref="F24:P24" si="4">$Q23*F$11</f>
        <v>46.514852846871804</v>
      </c>
      <c r="G24" s="60">
        <f t="shared" si="4"/>
        <v>42.381572552746015</v>
      </c>
      <c r="H24" s="60">
        <f t="shared" si="4"/>
        <v>31.229639166946846</v>
      </c>
      <c r="I24" s="60">
        <f t="shared" si="4"/>
        <v>16.864792563638993</v>
      </c>
      <c r="J24" s="60">
        <f t="shared" si="4"/>
        <v>11.560545635844843</v>
      </c>
      <c r="K24" s="60">
        <f t="shared" si="4"/>
        <v>7.5066568821568032</v>
      </c>
      <c r="L24" s="60">
        <f t="shared" si="4"/>
        <v>7.2951531854340486</v>
      </c>
      <c r="M24" s="60">
        <f t="shared" si="4"/>
        <v>10.817907092356105</v>
      </c>
      <c r="N24" s="60">
        <f t="shared" si="4"/>
        <v>25.471223125985567</v>
      </c>
      <c r="O24" s="60">
        <f t="shared" si="4"/>
        <v>41.169869187805752</v>
      </c>
      <c r="P24" s="60">
        <f t="shared" si="4"/>
        <v>56.264264617222622</v>
      </c>
      <c r="Q24" s="61">
        <f>SUM(E24:P24)</f>
        <v>350.88000000000005</v>
      </c>
    </row>
    <row r="25" spans="1:17" x14ac:dyDescent="0.25">
      <c r="A25" s="11">
        <f t="shared" si="0"/>
        <v>17</v>
      </c>
      <c r="B25" s="11"/>
      <c r="C25" s="2"/>
      <c r="D25" s="6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61"/>
    </row>
    <row r="26" spans="1:17" x14ac:dyDescent="0.25">
      <c r="A26" s="11">
        <f t="shared" si="0"/>
        <v>18</v>
      </c>
      <c r="B26" s="52" t="s">
        <v>61</v>
      </c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61"/>
    </row>
    <row r="27" spans="1:17" x14ac:dyDescent="0.25">
      <c r="A27" s="11">
        <f t="shared" si="0"/>
        <v>19</v>
      </c>
      <c r="B27" s="11"/>
      <c r="C27" s="2" t="s">
        <v>79</v>
      </c>
      <c r="D27" s="11" t="str">
        <f>$D$23</f>
        <v>JAP-13 Page 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59">
        <f>'Exh. JAP-13 Page 2'!E15</f>
        <v>1744.38</v>
      </c>
    </row>
    <row r="28" spans="1:17" x14ac:dyDescent="0.25">
      <c r="A28" s="11">
        <f t="shared" si="0"/>
        <v>20</v>
      </c>
      <c r="B28" s="11"/>
      <c r="C28" s="2" t="s">
        <v>80</v>
      </c>
      <c r="D28" s="11" t="str">
        <f>"("&amp;A$15&amp;") x ("&amp;A27&amp;")"</f>
        <v>(7) x (19)</v>
      </c>
      <c r="E28" s="60">
        <f>$Q27*E$15</f>
        <v>244.76882663879513</v>
      </c>
      <c r="F28" s="60">
        <f t="shared" ref="F28:P28" si="5">$Q27*F$15</f>
        <v>216.11390827096915</v>
      </c>
      <c r="G28" s="60">
        <f t="shared" si="5"/>
        <v>205.92692430844724</v>
      </c>
      <c r="H28" s="60">
        <f t="shared" si="5"/>
        <v>142.10788361458083</v>
      </c>
      <c r="I28" s="60">
        <f t="shared" si="5"/>
        <v>97.566758033473775</v>
      </c>
      <c r="J28" s="60">
        <f t="shared" si="5"/>
        <v>77.791880343678216</v>
      </c>
      <c r="K28" s="60">
        <f t="shared" si="5"/>
        <v>56.942486852641032</v>
      </c>
      <c r="L28" s="60">
        <f t="shared" si="5"/>
        <v>61.408501102797494</v>
      </c>
      <c r="M28" s="60">
        <f t="shared" si="5"/>
        <v>68.820635526396657</v>
      </c>
      <c r="N28" s="60">
        <f t="shared" si="5"/>
        <v>122.35021551302781</v>
      </c>
      <c r="O28" s="60">
        <f t="shared" si="5"/>
        <v>182.90325613948266</v>
      </c>
      <c r="P28" s="60">
        <f t="shared" si="5"/>
        <v>267.67872365571009</v>
      </c>
      <c r="Q28" s="61">
        <f>SUM(E28:P28)</f>
        <v>1744.38</v>
      </c>
    </row>
    <row r="29" spans="1:17" x14ac:dyDescent="0.25">
      <c r="A29" s="11">
        <f t="shared" si="0"/>
        <v>21</v>
      </c>
      <c r="B29" s="11"/>
      <c r="C29" s="2"/>
      <c r="D29" s="11"/>
      <c r="E29" s="11"/>
      <c r="F29" s="11"/>
      <c r="G29" s="11"/>
      <c r="H29" s="11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1">
        <f t="shared" si="0"/>
        <v>22</v>
      </c>
      <c r="B30" s="52" t="s">
        <v>62</v>
      </c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61"/>
    </row>
    <row r="31" spans="1:17" x14ac:dyDescent="0.25">
      <c r="A31" s="11">
        <f t="shared" si="0"/>
        <v>23</v>
      </c>
      <c r="B31" s="11"/>
      <c r="C31" s="2" t="s">
        <v>79</v>
      </c>
      <c r="D31" s="11" t="str">
        <f>$D$23</f>
        <v>JAP-13 Page 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9">
        <f>'Exh. JAP-13 Page 2'!F15</f>
        <v>11123.53</v>
      </c>
    </row>
    <row r="32" spans="1:17" x14ac:dyDescent="0.25">
      <c r="A32" s="11">
        <f t="shared" si="0"/>
        <v>24</v>
      </c>
      <c r="B32" s="11"/>
      <c r="C32" s="2" t="s">
        <v>80</v>
      </c>
      <c r="D32" s="11" t="str">
        <f>"("&amp;A$19&amp;") x ("&amp;A31&amp;")"</f>
        <v>(11) x (23)</v>
      </c>
      <c r="E32" s="60">
        <f>$Q31*E$19</f>
        <v>1345.6060671653438</v>
      </c>
      <c r="F32" s="60">
        <f t="shared" ref="F32:P32" si="6">$Q31*F$19</f>
        <v>1295.3772988395374</v>
      </c>
      <c r="G32" s="60">
        <f t="shared" si="6"/>
        <v>1011.4091819144179</v>
      </c>
      <c r="H32" s="60">
        <f t="shared" si="6"/>
        <v>981.96476214145389</v>
      </c>
      <c r="I32" s="60">
        <f t="shared" si="6"/>
        <v>745.57422467296146</v>
      </c>
      <c r="J32" s="60">
        <f t="shared" si="6"/>
        <v>756.50846866881966</v>
      </c>
      <c r="K32" s="60">
        <f t="shared" si="6"/>
        <v>240.43820957085111</v>
      </c>
      <c r="L32" s="60">
        <f t="shared" si="6"/>
        <v>859.70481006185491</v>
      </c>
      <c r="M32" s="60">
        <f t="shared" si="6"/>
        <v>599.71242621233148</v>
      </c>
      <c r="N32" s="60">
        <f t="shared" si="6"/>
        <v>842.16169207065809</v>
      </c>
      <c r="O32" s="60">
        <f t="shared" si="6"/>
        <v>1080.7516575660259</v>
      </c>
      <c r="P32" s="60">
        <f t="shared" si="6"/>
        <v>1364.3212011157455</v>
      </c>
      <c r="Q32" s="61">
        <f>SUM(E32:P32)</f>
        <v>11123.53</v>
      </c>
    </row>
    <row r="33" spans="4:15" ht="13" x14ac:dyDescent="0.3">
      <c r="D33" s="3"/>
      <c r="E33" s="3"/>
      <c r="F33" s="3"/>
      <c r="G33" s="3"/>
      <c r="H33" s="3"/>
      <c r="J33" s="63"/>
      <c r="K33" s="63"/>
      <c r="L33" s="63"/>
      <c r="M33" s="63"/>
      <c r="N33" s="63"/>
      <c r="O33" s="63"/>
    </row>
    <row r="34" spans="4:15" ht="13" x14ac:dyDescent="0.3">
      <c r="D34" s="3"/>
      <c r="E34" s="3"/>
      <c r="F34" s="3"/>
      <c r="G34" s="3"/>
      <c r="H34" s="3"/>
      <c r="J34" s="63"/>
      <c r="K34" s="63"/>
      <c r="L34" s="63"/>
      <c r="M34" s="63"/>
      <c r="N34" s="63"/>
      <c r="O34" s="6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4.5" x14ac:dyDescent="0.3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="90" zoomScaleNormal="90" workbookViewId="0">
      <selection activeCell="I28" sqref="I28"/>
    </sheetView>
  </sheetViews>
  <sheetFormatPr defaultColWidth="13.7265625" defaultRowHeight="12.5" x14ac:dyDescent="0.25"/>
  <cols>
    <col min="1" max="1" width="3" style="66" customWidth="1"/>
    <col min="2" max="2" width="10" style="66" bestFit="1" customWidth="1"/>
    <col min="3" max="14" width="7.36328125" style="66" bestFit="1" customWidth="1"/>
    <col min="15" max="15" width="8.90625" style="66" bestFit="1" customWidth="1"/>
    <col min="16" max="16" width="10.7265625" style="66" bestFit="1" customWidth="1"/>
    <col min="17" max="16384" width="13.7265625" style="66"/>
  </cols>
  <sheetData>
    <row r="1" spans="2:16" ht="13" x14ac:dyDescent="0.3">
      <c r="B1" s="65" t="s">
        <v>16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6" ht="13" x14ac:dyDescent="0.3">
      <c r="B2" s="65" t="s">
        <v>82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ht="13" x14ac:dyDescent="0.3">
      <c r="B3" s="65" t="s">
        <v>115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5" spans="2:16" ht="13" x14ac:dyDescent="0.3">
      <c r="B5" s="67" t="s">
        <v>36</v>
      </c>
      <c r="C5" s="68">
        <v>43131</v>
      </c>
      <c r="D5" s="68">
        <f t="shared" ref="D5:K5" si="0">EDATE(C5,1)</f>
        <v>43159</v>
      </c>
      <c r="E5" s="68">
        <f t="shared" si="0"/>
        <v>43187</v>
      </c>
      <c r="F5" s="68">
        <f t="shared" si="0"/>
        <v>43218</v>
      </c>
      <c r="G5" s="68">
        <f t="shared" si="0"/>
        <v>43248</v>
      </c>
      <c r="H5" s="68">
        <f t="shared" si="0"/>
        <v>43279</v>
      </c>
      <c r="I5" s="68">
        <f t="shared" si="0"/>
        <v>43309</v>
      </c>
      <c r="J5" s="68">
        <f t="shared" si="0"/>
        <v>43340</v>
      </c>
      <c r="K5" s="68">
        <f t="shared" si="0"/>
        <v>43371</v>
      </c>
      <c r="L5" s="68">
        <f t="shared" ref="L5" si="1">EDATE(K5,1)</f>
        <v>43401</v>
      </c>
      <c r="M5" s="68">
        <f t="shared" ref="M5" si="2">EDATE(L5,1)</f>
        <v>43432</v>
      </c>
      <c r="N5" s="68">
        <f t="shared" ref="N5" si="3">EDATE(M5,1)</f>
        <v>43462</v>
      </c>
      <c r="O5" s="67" t="s">
        <v>27</v>
      </c>
      <c r="P5" s="67" t="s">
        <v>53</v>
      </c>
    </row>
    <row r="6" spans="2:16" x14ac:dyDescent="0.25">
      <c r="B6" s="69">
        <v>23</v>
      </c>
      <c r="C6" s="70">
        <f>'[1]Weather Adj'!D37</f>
        <v>768037</v>
      </c>
      <c r="D6" s="70">
        <f>'[1]Weather Adj'!E37</f>
        <v>769182</v>
      </c>
      <c r="E6" s="70">
        <f>'[1]Weather Adj'!F37</f>
        <v>769904</v>
      </c>
      <c r="F6" s="70">
        <f>'[1]Weather Adj'!G37</f>
        <v>770294</v>
      </c>
      <c r="G6" s="70">
        <f>'[1]Weather Adj'!H37</f>
        <v>770940</v>
      </c>
      <c r="H6" s="70">
        <f>'[1]Weather Adj'!I37</f>
        <v>771256</v>
      </c>
      <c r="I6" s="70">
        <f>'[1]Weather Adj'!J37</f>
        <v>771472</v>
      </c>
      <c r="J6" s="70">
        <f>'[1]Weather Adj'!K37</f>
        <v>772026</v>
      </c>
      <c r="K6" s="70">
        <f>'[1]Weather Adj'!L37</f>
        <v>772614</v>
      </c>
      <c r="L6" s="70">
        <f>'[1]Weather Adj'!M37</f>
        <v>774702</v>
      </c>
      <c r="M6" s="70">
        <f>'[1]Weather Adj'!N37</f>
        <v>776863</v>
      </c>
      <c r="N6" s="70">
        <f>'[1]Weather Adj'!O37</f>
        <v>778192</v>
      </c>
      <c r="O6" s="71">
        <f t="shared" ref="O6:O18" si="4">SUM(C6:N6)</f>
        <v>9265482</v>
      </c>
      <c r="P6" s="71">
        <f>ROUND(O6/12,0)</f>
        <v>772124</v>
      </c>
    </row>
    <row r="7" spans="2:16" x14ac:dyDescent="0.25">
      <c r="B7" s="69">
        <v>53</v>
      </c>
      <c r="C7" s="70">
        <f>'[1]Weather Adj'!D38</f>
        <v>1</v>
      </c>
      <c r="D7" s="70">
        <f>'[1]Weather Adj'!E38</f>
        <v>0</v>
      </c>
      <c r="E7" s="70">
        <f>'[1]Weather Adj'!F38</f>
        <v>0</v>
      </c>
      <c r="F7" s="70">
        <f>'[1]Weather Adj'!G38</f>
        <v>0</v>
      </c>
      <c r="G7" s="70">
        <f>'[1]Weather Adj'!H38</f>
        <v>0</v>
      </c>
      <c r="H7" s="70">
        <f>'[1]Weather Adj'!I38</f>
        <v>0</v>
      </c>
      <c r="I7" s="70">
        <f>'[1]Weather Adj'!J38</f>
        <v>0</v>
      </c>
      <c r="J7" s="70">
        <f>'[1]Weather Adj'!K38</f>
        <v>0</v>
      </c>
      <c r="K7" s="70">
        <f>'[1]Weather Adj'!L38</f>
        <v>0</v>
      </c>
      <c r="L7" s="70">
        <f>'[1]Weather Adj'!M38</f>
        <v>0</v>
      </c>
      <c r="M7" s="70">
        <f>'[1]Weather Adj'!N38</f>
        <v>0</v>
      </c>
      <c r="N7" s="70">
        <f>'[1]Weather Adj'!O38</f>
        <v>0</v>
      </c>
      <c r="O7" s="71">
        <f t="shared" si="4"/>
        <v>1</v>
      </c>
      <c r="P7" s="71">
        <f t="shared" ref="P7:P18" si="5">ROUND(O7/12,0)</f>
        <v>0</v>
      </c>
    </row>
    <row r="8" spans="2:16" x14ac:dyDescent="0.25">
      <c r="B8" s="69">
        <v>16</v>
      </c>
      <c r="C8" s="70">
        <f>'[1]Weather Adj'!D36</f>
        <v>7</v>
      </c>
      <c r="D8" s="70">
        <f>'[1]Weather Adj'!E36</f>
        <v>6</v>
      </c>
      <c r="E8" s="70">
        <f>'[1]Weather Adj'!F36</f>
        <v>6</v>
      </c>
      <c r="F8" s="70">
        <f>'[1]Weather Adj'!G36</f>
        <v>6</v>
      </c>
      <c r="G8" s="70">
        <f>'[1]Weather Adj'!H36</f>
        <v>6</v>
      </c>
      <c r="H8" s="70">
        <f>'[1]Weather Adj'!I36</f>
        <v>7</v>
      </c>
      <c r="I8" s="70">
        <f>'[1]Weather Adj'!J36</f>
        <v>7</v>
      </c>
      <c r="J8" s="70">
        <f>'[1]Weather Adj'!K36</f>
        <v>7</v>
      </c>
      <c r="K8" s="70">
        <f>'[1]Weather Adj'!L36</f>
        <v>7</v>
      </c>
      <c r="L8" s="70">
        <f>'[1]Weather Adj'!M36</f>
        <v>8</v>
      </c>
      <c r="M8" s="70">
        <f>'[1]Weather Adj'!N36</f>
        <v>7</v>
      </c>
      <c r="N8" s="70">
        <f>'[1]Weather Adj'!O36</f>
        <v>6</v>
      </c>
      <c r="O8" s="72">
        <f t="shared" si="4"/>
        <v>80</v>
      </c>
      <c r="P8" s="72">
        <f t="shared" si="5"/>
        <v>7</v>
      </c>
    </row>
    <row r="9" spans="2:16" x14ac:dyDescent="0.25">
      <c r="B9" s="73">
        <v>31</v>
      </c>
      <c r="C9" s="70">
        <f>'[1]Weather Adj'!D40+'[1]Weather Adj'!D47</f>
        <v>56658</v>
      </c>
      <c r="D9" s="70">
        <f>'[1]Weather Adj'!E40+'[1]Weather Adj'!E47</f>
        <v>56661</v>
      </c>
      <c r="E9" s="70">
        <f>'[1]Weather Adj'!F40+'[1]Weather Adj'!F47</f>
        <v>56738</v>
      </c>
      <c r="F9" s="70">
        <f>'[1]Weather Adj'!G40+'[1]Weather Adj'!G47</f>
        <v>56700</v>
      </c>
      <c r="G9" s="70">
        <f>'[1]Weather Adj'!H40+'[1]Weather Adj'!H47</f>
        <v>56684</v>
      </c>
      <c r="H9" s="70">
        <f>'[1]Weather Adj'!I40+'[1]Weather Adj'!I47</f>
        <v>56609</v>
      </c>
      <c r="I9" s="70">
        <f>'[1]Weather Adj'!J40+'[1]Weather Adj'!J47</f>
        <v>56581</v>
      </c>
      <c r="J9" s="70">
        <f>'[1]Weather Adj'!K40+'[1]Weather Adj'!K47</f>
        <v>56565</v>
      </c>
      <c r="K9" s="70">
        <f>'[1]Weather Adj'!L40+'[1]Weather Adj'!L47</f>
        <v>56549</v>
      </c>
      <c r="L9" s="70">
        <f>'[1]Weather Adj'!M40+'[1]Weather Adj'!M47</f>
        <v>56699</v>
      </c>
      <c r="M9" s="70">
        <f>'[1]Weather Adj'!N40+'[1]Weather Adj'!N47</f>
        <v>56842</v>
      </c>
      <c r="N9" s="70">
        <f>'[1]Weather Adj'!O40+'[1]Weather Adj'!O47</f>
        <v>56976</v>
      </c>
      <c r="O9" s="72">
        <f t="shared" si="4"/>
        <v>680262</v>
      </c>
      <c r="P9" s="72">
        <f t="shared" si="5"/>
        <v>56689</v>
      </c>
    </row>
    <row r="10" spans="2:16" x14ac:dyDescent="0.25">
      <c r="B10" s="69" t="s">
        <v>59</v>
      </c>
      <c r="C10" s="70">
        <f>'[1]Weather Adj'!D53+'[1]Weather Adj'!D58</f>
        <v>3</v>
      </c>
      <c r="D10" s="70">
        <f>'[1]Weather Adj'!E53+'[1]Weather Adj'!E58</f>
        <v>3</v>
      </c>
      <c r="E10" s="70">
        <f>'[1]Weather Adj'!F53+'[1]Weather Adj'!F58</f>
        <v>3</v>
      </c>
      <c r="F10" s="70">
        <f>'[1]Weather Adj'!G53+'[1]Weather Adj'!G58</f>
        <v>3</v>
      </c>
      <c r="G10" s="70">
        <f>'[1]Weather Adj'!H53+'[1]Weather Adj'!H58</f>
        <v>3</v>
      </c>
      <c r="H10" s="70">
        <f>'[1]Weather Adj'!I53+'[1]Weather Adj'!I58</f>
        <v>3</v>
      </c>
      <c r="I10" s="70">
        <f>'[1]Weather Adj'!J53+'[1]Weather Adj'!J58</f>
        <v>3</v>
      </c>
      <c r="J10" s="70">
        <f>'[1]Weather Adj'!K53+'[1]Weather Adj'!K58</f>
        <v>2</v>
      </c>
      <c r="K10" s="70">
        <f>'[1]Weather Adj'!L53+'[1]Weather Adj'!L58</f>
        <v>2</v>
      </c>
      <c r="L10" s="70">
        <f>'[1]Weather Adj'!M53+'[1]Weather Adj'!M58</f>
        <v>2</v>
      </c>
      <c r="M10" s="70">
        <f>'[1]Weather Adj'!N53+'[1]Weather Adj'!N58</f>
        <v>2</v>
      </c>
      <c r="N10" s="70">
        <f>'[1]Weather Adj'!O53+'[1]Weather Adj'!O58</f>
        <v>2</v>
      </c>
      <c r="O10" s="72">
        <f t="shared" si="4"/>
        <v>31</v>
      </c>
      <c r="P10" s="72">
        <f t="shared" si="5"/>
        <v>3</v>
      </c>
    </row>
    <row r="11" spans="2:16" x14ac:dyDescent="0.25">
      <c r="B11" s="69">
        <v>41</v>
      </c>
      <c r="C11" s="70">
        <f>'[1]Weather Adj'!D41+'[1]Weather Adj'!D48</f>
        <v>1362</v>
      </c>
      <c r="D11" s="70">
        <f>'[1]Weather Adj'!E41+'[1]Weather Adj'!E48</f>
        <v>1357</v>
      </c>
      <c r="E11" s="70">
        <f>'[1]Weather Adj'!F41+'[1]Weather Adj'!F48</f>
        <v>1360</v>
      </c>
      <c r="F11" s="70">
        <f>'[1]Weather Adj'!G41+'[1]Weather Adj'!G48</f>
        <v>1363</v>
      </c>
      <c r="G11" s="70">
        <f>'[1]Weather Adj'!H41+'[1]Weather Adj'!H48</f>
        <v>1361</v>
      </c>
      <c r="H11" s="70">
        <f>'[1]Weather Adj'!I41+'[1]Weather Adj'!I48</f>
        <v>1352</v>
      </c>
      <c r="I11" s="70">
        <f>'[1]Weather Adj'!J41+'[1]Weather Adj'!J48</f>
        <v>1315</v>
      </c>
      <c r="J11" s="70">
        <f>'[1]Weather Adj'!K41+'[1]Weather Adj'!K48</f>
        <v>1302</v>
      </c>
      <c r="K11" s="70">
        <f>'[1]Weather Adj'!L41+'[1]Weather Adj'!L48</f>
        <v>1301</v>
      </c>
      <c r="L11" s="70">
        <f>'[1]Weather Adj'!M41+'[1]Weather Adj'!M48</f>
        <v>1308</v>
      </c>
      <c r="M11" s="70">
        <f>'[1]Weather Adj'!N41+'[1]Weather Adj'!N48</f>
        <v>1318</v>
      </c>
      <c r="N11" s="70">
        <f>'[1]Weather Adj'!O41+'[1]Weather Adj'!O48</f>
        <v>1319</v>
      </c>
      <c r="O11" s="72">
        <f t="shared" si="4"/>
        <v>16018</v>
      </c>
      <c r="P11" s="72">
        <f t="shared" si="5"/>
        <v>1335</v>
      </c>
    </row>
    <row r="12" spans="2:16" x14ac:dyDescent="0.25">
      <c r="B12" s="69" t="s">
        <v>32</v>
      </c>
      <c r="C12" s="70">
        <f>'[1]Weather Adj'!D54+'[1]Weather Adj'!D59</f>
        <v>103</v>
      </c>
      <c r="D12" s="70">
        <f>'[1]Weather Adj'!E54+'[1]Weather Adj'!E59</f>
        <v>105</v>
      </c>
      <c r="E12" s="70">
        <f>'[1]Weather Adj'!F54+'[1]Weather Adj'!F59</f>
        <v>105</v>
      </c>
      <c r="F12" s="70">
        <f>'[1]Weather Adj'!G54+'[1]Weather Adj'!G59</f>
        <v>105</v>
      </c>
      <c r="G12" s="70">
        <f>'[1]Weather Adj'!H54+'[1]Weather Adj'!H59</f>
        <v>105</v>
      </c>
      <c r="H12" s="70">
        <f>'[1]Weather Adj'!I54+'[1]Weather Adj'!I59</f>
        <v>109</v>
      </c>
      <c r="I12" s="70">
        <f>'[1]Weather Adj'!J54+'[1]Weather Adj'!J59</f>
        <v>109</v>
      </c>
      <c r="J12" s="70">
        <f>'[1]Weather Adj'!K54+'[1]Weather Adj'!K59</f>
        <v>109</v>
      </c>
      <c r="K12" s="70">
        <f>'[1]Weather Adj'!L54+'[1]Weather Adj'!L59</f>
        <v>109</v>
      </c>
      <c r="L12" s="70">
        <f>'[1]Weather Adj'!M54+'[1]Weather Adj'!M59</f>
        <v>109</v>
      </c>
      <c r="M12" s="70">
        <f>'[1]Weather Adj'!N54+'[1]Weather Adj'!N59</f>
        <v>106</v>
      </c>
      <c r="N12" s="70">
        <f>'[1]Weather Adj'!O54+'[1]Weather Adj'!O59</f>
        <v>106</v>
      </c>
      <c r="O12" s="72">
        <f t="shared" si="4"/>
        <v>1280</v>
      </c>
      <c r="P12" s="72">
        <f t="shared" si="5"/>
        <v>107</v>
      </c>
    </row>
    <row r="13" spans="2:16" x14ac:dyDescent="0.25">
      <c r="B13" s="69">
        <v>85</v>
      </c>
      <c r="C13" s="70">
        <f>'[1]Weather Adj'!D44+'[1]Weather Adj'!D50</f>
        <v>29</v>
      </c>
      <c r="D13" s="70">
        <f>'[1]Weather Adj'!E44+'[1]Weather Adj'!E50</f>
        <v>29</v>
      </c>
      <c r="E13" s="70">
        <f>'[1]Weather Adj'!F44+'[1]Weather Adj'!F50</f>
        <v>29</v>
      </c>
      <c r="F13" s="70">
        <f>'[1]Weather Adj'!G44+'[1]Weather Adj'!G50</f>
        <v>29</v>
      </c>
      <c r="G13" s="70">
        <f>'[1]Weather Adj'!H44+'[1]Weather Adj'!H50</f>
        <v>29</v>
      </c>
      <c r="H13" s="70">
        <f>'[1]Weather Adj'!I44+'[1]Weather Adj'!I50</f>
        <v>28</v>
      </c>
      <c r="I13" s="70">
        <f>'[1]Weather Adj'!J44+'[1]Weather Adj'!J50</f>
        <v>28</v>
      </c>
      <c r="J13" s="70">
        <f>'[1]Weather Adj'!K44+'[1]Weather Adj'!K50</f>
        <v>28</v>
      </c>
      <c r="K13" s="70">
        <f>'[1]Weather Adj'!L44+'[1]Weather Adj'!L50</f>
        <v>28</v>
      </c>
      <c r="L13" s="70">
        <f>'[1]Weather Adj'!M44+'[1]Weather Adj'!M50</f>
        <v>28</v>
      </c>
      <c r="M13" s="70">
        <f>'[1]Weather Adj'!N44+'[1]Weather Adj'!N50</f>
        <v>28</v>
      </c>
      <c r="N13" s="70">
        <f>'[1]Weather Adj'!O44+'[1]Weather Adj'!O50</f>
        <v>28</v>
      </c>
      <c r="O13" s="71">
        <f t="shared" si="4"/>
        <v>341</v>
      </c>
      <c r="P13" s="71">
        <f t="shared" si="5"/>
        <v>28</v>
      </c>
    </row>
    <row r="14" spans="2:16" x14ac:dyDescent="0.25">
      <c r="B14" s="69" t="s">
        <v>33</v>
      </c>
      <c r="C14" s="70">
        <f>'[1]Weather Adj'!D55+'[1]Weather Adj'!D60</f>
        <v>101</v>
      </c>
      <c r="D14" s="70">
        <f>'[1]Weather Adj'!E55+'[1]Weather Adj'!E60</f>
        <v>101</v>
      </c>
      <c r="E14" s="70">
        <f>'[1]Weather Adj'!F55+'[1]Weather Adj'!F60</f>
        <v>101</v>
      </c>
      <c r="F14" s="70">
        <f>'[1]Weather Adj'!G55+'[1]Weather Adj'!G60</f>
        <v>101</v>
      </c>
      <c r="G14" s="70">
        <f>'[1]Weather Adj'!H55+'[1]Weather Adj'!H60</f>
        <v>102</v>
      </c>
      <c r="H14" s="70">
        <f>'[1]Weather Adj'!I55+'[1]Weather Adj'!I60</f>
        <v>103</v>
      </c>
      <c r="I14" s="70">
        <f>'[1]Weather Adj'!J55+'[1]Weather Adj'!J60</f>
        <v>103</v>
      </c>
      <c r="J14" s="70">
        <f>'[1]Weather Adj'!K55+'[1]Weather Adj'!K60</f>
        <v>103</v>
      </c>
      <c r="K14" s="70">
        <f>'[1]Weather Adj'!L55+'[1]Weather Adj'!L60</f>
        <v>103</v>
      </c>
      <c r="L14" s="70">
        <f>'[1]Weather Adj'!M55+'[1]Weather Adj'!M60</f>
        <v>103</v>
      </c>
      <c r="M14" s="70">
        <f>'[1]Weather Adj'!N55+'[1]Weather Adj'!N60</f>
        <v>103</v>
      </c>
      <c r="N14" s="70">
        <f>'[1]Weather Adj'!O55+'[1]Weather Adj'!O60</f>
        <v>103</v>
      </c>
      <c r="O14" s="71">
        <f t="shared" si="4"/>
        <v>1227</v>
      </c>
      <c r="P14" s="71">
        <f t="shared" si="5"/>
        <v>102</v>
      </c>
    </row>
    <row r="15" spans="2:16" x14ac:dyDescent="0.25">
      <c r="B15" s="69">
        <v>86</v>
      </c>
      <c r="C15" s="70">
        <f>'[1]Weather Adj'!D45+'[1]Weather Adj'!D51</f>
        <v>228</v>
      </c>
      <c r="D15" s="70">
        <f>'[1]Weather Adj'!E45+'[1]Weather Adj'!E51</f>
        <v>228</v>
      </c>
      <c r="E15" s="70">
        <f>'[1]Weather Adj'!F45+'[1]Weather Adj'!F51</f>
        <v>228</v>
      </c>
      <c r="F15" s="70">
        <f>'[1]Weather Adj'!G45+'[1]Weather Adj'!G51</f>
        <v>228</v>
      </c>
      <c r="G15" s="70">
        <f>'[1]Weather Adj'!H45+'[1]Weather Adj'!H51</f>
        <v>227</v>
      </c>
      <c r="H15" s="70">
        <f>'[1]Weather Adj'!I45+'[1]Weather Adj'!I51</f>
        <v>227</v>
      </c>
      <c r="I15" s="70">
        <f>'[1]Weather Adj'!J45+'[1]Weather Adj'!J51</f>
        <v>226</v>
      </c>
      <c r="J15" s="70">
        <f>'[1]Weather Adj'!K45+'[1]Weather Adj'!K51</f>
        <v>226</v>
      </c>
      <c r="K15" s="70">
        <f>'[1]Weather Adj'!L45+'[1]Weather Adj'!L51</f>
        <v>226</v>
      </c>
      <c r="L15" s="70">
        <f>'[1]Weather Adj'!M45+'[1]Weather Adj'!M51</f>
        <v>226</v>
      </c>
      <c r="M15" s="70">
        <f>'[1]Weather Adj'!N45+'[1]Weather Adj'!N51</f>
        <v>223</v>
      </c>
      <c r="N15" s="70">
        <f>'[1]Weather Adj'!O45+'[1]Weather Adj'!O51</f>
        <v>219</v>
      </c>
      <c r="O15" s="71">
        <f t="shared" si="4"/>
        <v>2712</v>
      </c>
      <c r="P15" s="71">
        <f t="shared" si="5"/>
        <v>226</v>
      </c>
    </row>
    <row r="16" spans="2:16" x14ac:dyDescent="0.25">
      <c r="B16" s="69" t="s">
        <v>34</v>
      </c>
      <c r="C16" s="70">
        <f>'[1]Weather Adj'!D56+'[1]Weather Adj'!D61</f>
        <v>2</v>
      </c>
      <c r="D16" s="70">
        <f>'[1]Weather Adj'!E56+'[1]Weather Adj'!E61</f>
        <v>2</v>
      </c>
      <c r="E16" s="70">
        <f>'[1]Weather Adj'!F56+'[1]Weather Adj'!F61</f>
        <v>2</v>
      </c>
      <c r="F16" s="70">
        <f>'[1]Weather Adj'!G56+'[1]Weather Adj'!G61</f>
        <v>2</v>
      </c>
      <c r="G16" s="70">
        <f>'[1]Weather Adj'!H56+'[1]Weather Adj'!H61</f>
        <v>2</v>
      </c>
      <c r="H16" s="70">
        <f>'[1]Weather Adj'!I56+'[1]Weather Adj'!I61</f>
        <v>2</v>
      </c>
      <c r="I16" s="70">
        <f>'[1]Weather Adj'!J56+'[1]Weather Adj'!J61</f>
        <v>2</v>
      </c>
      <c r="J16" s="70">
        <f>'[1]Weather Adj'!K56+'[1]Weather Adj'!K61</f>
        <v>2</v>
      </c>
      <c r="K16" s="70">
        <f>'[1]Weather Adj'!L56+'[1]Weather Adj'!L61</f>
        <v>2</v>
      </c>
      <c r="L16" s="70">
        <f>'[1]Weather Adj'!M56+'[1]Weather Adj'!M61</f>
        <v>2</v>
      </c>
      <c r="M16" s="70">
        <f>'[1]Weather Adj'!N56+'[1]Weather Adj'!N61</f>
        <v>2</v>
      </c>
      <c r="N16" s="70">
        <f>'[1]Weather Adj'!O56+'[1]Weather Adj'!O61</f>
        <v>3</v>
      </c>
      <c r="O16" s="71">
        <f t="shared" si="4"/>
        <v>25</v>
      </c>
      <c r="P16" s="71">
        <f t="shared" si="5"/>
        <v>2</v>
      </c>
    </row>
    <row r="17" spans="2:16" x14ac:dyDescent="0.25">
      <c r="B17" s="69">
        <v>87</v>
      </c>
      <c r="C17" s="70">
        <f>'[1]Weather Adj'!D52+'[1]Weather Adj'!D46</f>
        <v>5</v>
      </c>
      <c r="D17" s="70">
        <f>'[1]Weather Adj'!E52+'[1]Weather Adj'!E46</f>
        <v>5</v>
      </c>
      <c r="E17" s="70">
        <f>'[1]Weather Adj'!F52+'[1]Weather Adj'!F46</f>
        <v>5</v>
      </c>
      <c r="F17" s="70">
        <f>'[1]Weather Adj'!G52+'[1]Weather Adj'!G46</f>
        <v>5</v>
      </c>
      <c r="G17" s="70">
        <f>'[1]Weather Adj'!H52+'[1]Weather Adj'!H46</f>
        <v>5</v>
      </c>
      <c r="H17" s="70">
        <f>'[1]Weather Adj'!I52+'[1]Weather Adj'!I46</f>
        <v>5</v>
      </c>
      <c r="I17" s="70">
        <f>'[1]Weather Adj'!J52+'[1]Weather Adj'!J46</f>
        <v>5</v>
      </c>
      <c r="J17" s="70">
        <f>'[1]Weather Adj'!K52+'[1]Weather Adj'!K46</f>
        <v>5</v>
      </c>
      <c r="K17" s="70">
        <f>'[1]Weather Adj'!L52+'[1]Weather Adj'!L46</f>
        <v>5</v>
      </c>
      <c r="L17" s="70">
        <f>'[1]Weather Adj'!M52+'[1]Weather Adj'!M46</f>
        <v>5</v>
      </c>
      <c r="M17" s="70">
        <f>'[1]Weather Adj'!N52+'[1]Weather Adj'!N46</f>
        <v>5</v>
      </c>
      <c r="N17" s="70">
        <f>'[1]Weather Adj'!O52+'[1]Weather Adj'!O46</f>
        <v>5</v>
      </c>
      <c r="O17" s="71">
        <f t="shared" si="4"/>
        <v>60</v>
      </c>
      <c r="P17" s="71">
        <f t="shared" si="5"/>
        <v>5</v>
      </c>
    </row>
    <row r="18" spans="2:16" x14ac:dyDescent="0.25">
      <c r="B18" s="69" t="s">
        <v>35</v>
      </c>
      <c r="C18" s="70">
        <f>'[1]Weather Adj'!D57+'[1]Weather Adj'!D62</f>
        <v>10</v>
      </c>
      <c r="D18" s="70">
        <f>'[1]Weather Adj'!E57+'[1]Weather Adj'!E62</f>
        <v>10</v>
      </c>
      <c r="E18" s="70">
        <f>'[1]Weather Adj'!F57+'[1]Weather Adj'!F62</f>
        <v>10</v>
      </c>
      <c r="F18" s="70">
        <f>'[1]Weather Adj'!G57+'[1]Weather Adj'!G62</f>
        <v>10</v>
      </c>
      <c r="G18" s="70">
        <f>'[1]Weather Adj'!H57+'[1]Weather Adj'!H62</f>
        <v>10</v>
      </c>
      <c r="H18" s="70">
        <f>'[1]Weather Adj'!I57+'[1]Weather Adj'!I62</f>
        <v>10</v>
      </c>
      <c r="I18" s="70">
        <f>'[1]Weather Adj'!J57+'[1]Weather Adj'!J62</f>
        <v>10</v>
      </c>
      <c r="J18" s="70">
        <f>'[1]Weather Adj'!K57+'[1]Weather Adj'!K62</f>
        <v>10</v>
      </c>
      <c r="K18" s="70">
        <f>'[1]Weather Adj'!L57+'[1]Weather Adj'!L62</f>
        <v>10</v>
      </c>
      <c r="L18" s="70">
        <f>'[1]Weather Adj'!M57+'[1]Weather Adj'!M62</f>
        <v>10</v>
      </c>
      <c r="M18" s="70">
        <f>'[1]Weather Adj'!N57+'[1]Weather Adj'!N62</f>
        <v>10</v>
      </c>
      <c r="N18" s="70">
        <f>'[1]Weather Adj'!O57+'[1]Weather Adj'!O62</f>
        <v>10</v>
      </c>
      <c r="O18" s="71">
        <f t="shared" si="4"/>
        <v>120</v>
      </c>
      <c r="P18" s="71">
        <f t="shared" si="5"/>
        <v>10</v>
      </c>
    </row>
    <row r="19" spans="2:16" x14ac:dyDescent="0.25">
      <c r="B19" s="69">
        <v>99</v>
      </c>
      <c r="C19" s="70">
        <f>'[1]Weather Adj'!D63</f>
        <v>10</v>
      </c>
      <c r="D19" s="70">
        <f>'[1]Weather Adj'!E63</f>
        <v>10</v>
      </c>
      <c r="E19" s="70">
        <f>'[1]Weather Adj'!F63</f>
        <v>10</v>
      </c>
      <c r="F19" s="70">
        <f>'[1]Weather Adj'!G63</f>
        <v>10</v>
      </c>
      <c r="G19" s="70">
        <f>'[1]Weather Adj'!H63</f>
        <v>10</v>
      </c>
      <c r="H19" s="70">
        <f>'[1]Weather Adj'!I63</f>
        <v>10</v>
      </c>
      <c r="I19" s="70">
        <f>'[1]Weather Adj'!J63</f>
        <v>10</v>
      </c>
      <c r="J19" s="70">
        <f>'[1]Weather Adj'!K63</f>
        <v>10</v>
      </c>
      <c r="K19" s="70">
        <f>'[1]Weather Adj'!L63</f>
        <v>10</v>
      </c>
      <c r="L19" s="70">
        <f>'[1]Weather Adj'!M63</f>
        <v>10</v>
      </c>
      <c r="M19" s="70">
        <f>'[1]Weather Adj'!N63</f>
        <v>10</v>
      </c>
      <c r="N19" s="70">
        <f>'[1]Weather Adj'!O63</f>
        <v>10</v>
      </c>
      <c r="O19" s="71">
        <f t="shared" ref="O19" si="6">SUM(C19:N19)</f>
        <v>120</v>
      </c>
      <c r="P19" s="71">
        <f t="shared" ref="P19" si="7">ROUND(O19/12,0)</f>
        <v>10</v>
      </c>
    </row>
    <row r="20" spans="2:16" x14ac:dyDescent="0.25">
      <c r="B20" s="69" t="s">
        <v>27</v>
      </c>
      <c r="C20" s="74">
        <f t="shared" ref="C20:P20" si="8">SUM(C6:C19)</f>
        <v>826556</v>
      </c>
      <c r="D20" s="74">
        <f t="shared" si="8"/>
        <v>827699</v>
      </c>
      <c r="E20" s="74">
        <f t="shared" si="8"/>
        <v>828501</v>
      </c>
      <c r="F20" s="74">
        <f t="shared" si="8"/>
        <v>828856</v>
      </c>
      <c r="G20" s="74">
        <f t="shared" si="8"/>
        <v>829484</v>
      </c>
      <c r="H20" s="74">
        <f t="shared" si="8"/>
        <v>829721</v>
      </c>
      <c r="I20" s="74">
        <f t="shared" si="8"/>
        <v>829871</v>
      </c>
      <c r="J20" s="74">
        <f t="shared" si="8"/>
        <v>830395</v>
      </c>
      <c r="K20" s="74">
        <f t="shared" si="8"/>
        <v>830966</v>
      </c>
      <c r="L20" s="74">
        <f t="shared" si="8"/>
        <v>833212</v>
      </c>
      <c r="M20" s="74">
        <f t="shared" si="8"/>
        <v>835519</v>
      </c>
      <c r="N20" s="74">
        <f t="shared" si="8"/>
        <v>836979</v>
      </c>
      <c r="O20" s="74">
        <f t="shared" si="8"/>
        <v>9967759</v>
      </c>
      <c r="P20" s="74">
        <f t="shared" si="8"/>
        <v>830648</v>
      </c>
    </row>
    <row r="21" spans="2:16" x14ac:dyDescent="0.25">
      <c r="O21" s="75">
        <f>O20-'[1]Weather Adj'!$P$64</f>
        <v>0</v>
      </c>
      <c r="P21" s="75" t="s">
        <v>102</v>
      </c>
    </row>
    <row r="22" spans="2:16" x14ac:dyDescent="0.25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16" x14ac:dyDescent="0.25">
      <c r="O23" s="78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90" zoomScaleNormal="90" workbookViewId="0">
      <selection activeCell="F10" sqref="F10"/>
    </sheetView>
  </sheetViews>
  <sheetFormatPr defaultColWidth="8.81640625" defaultRowHeight="13" x14ac:dyDescent="0.3"/>
  <cols>
    <col min="1" max="1" width="6.36328125" style="79" customWidth="1"/>
    <col min="2" max="2" width="46.453125" style="79" bestFit="1" customWidth="1"/>
    <col min="3" max="3" width="13.08984375" style="79" bestFit="1" customWidth="1"/>
    <col min="4" max="4" width="13.26953125" style="79" customWidth="1"/>
    <col min="5" max="5" width="12.1796875" style="79" bestFit="1" customWidth="1"/>
    <col min="6" max="6" width="16.54296875" style="79" bestFit="1" customWidth="1"/>
    <col min="7" max="16384" width="8.81640625" style="79"/>
  </cols>
  <sheetData>
    <row r="1" spans="1:6" x14ac:dyDescent="0.3">
      <c r="A1" s="1" t="s">
        <v>16</v>
      </c>
      <c r="B1" s="1"/>
      <c r="C1" s="1"/>
      <c r="D1" s="1"/>
      <c r="E1" s="1"/>
      <c r="F1" s="1"/>
    </row>
    <row r="2" spans="1:6" x14ac:dyDescent="0.3">
      <c r="A2" s="22" t="str">
        <f>'Exh. JAP-13 Page 1'!A2:O2</f>
        <v>2019 Gas General Rate Case (GRC)</v>
      </c>
      <c r="B2" s="22"/>
      <c r="C2" s="22"/>
      <c r="D2" s="22"/>
      <c r="E2" s="22"/>
      <c r="F2" s="22"/>
    </row>
    <row r="3" spans="1:6" x14ac:dyDescent="0.3">
      <c r="A3" s="32" t="s">
        <v>100</v>
      </c>
      <c r="B3" s="32"/>
      <c r="C3" s="32"/>
      <c r="D3" s="32"/>
      <c r="E3" s="32"/>
      <c r="F3" s="32"/>
    </row>
    <row r="4" spans="1:6" x14ac:dyDescent="0.3">
      <c r="A4" s="32" t="s">
        <v>108</v>
      </c>
      <c r="B4" s="32"/>
      <c r="C4" s="32"/>
      <c r="D4" s="32"/>
      <c r="E4" s="32"/>
      <c r="F4" s="32"/>
    </row>
    <row r="6" spans="1:6" x14ac:dyDescent="0.3">
      <c r="A6" s="80" t="s">
        <v>72</v>
      </c>
      <c r="B6" s="81"/>
      <c r="C6" s="81"/>
      <c r="D6" s="7" t="s">
        <v>71</v>
      </c>
      <c r="E6" s="7" t="s">
        <v>71</v>
      </c>
      <c r="F6" s="7" t="s">
        <v>71</v>
      </c>
    </row>
    <row r="7" spans="1:6" x14ac:dyDescent="0.3">
      <c r="A7" s="82" t="s">
        <v>70</v>
      </c>
      <c r="B7" s="83"/>
      <c r="C7" s="84" t="s">
        <v>14</v>
      </c>
      <c r="D7" s="9" t="s">
        <v>73</v>
      </c>
      <c r="E7" s="9" t="s">
        <v>103</v>
      </c>
      <c r="F7" s="9" t="s">
        <v>104</v>
      </c>
    </row>
    <row r="8" spans="1:6" x14ac:dyDescent="0.3">
      <c r="A8" s="2"/>
      <c r="B8" s="11" t="s">
        <v>13</v>
      </c>
      <c r="C8" s="11" t="s">
        <v>12</v>
      </c>
      <c r="D8" s="11" t="s">
        <v>11</v>
      </c>
      <c r="E8" s="11" t="s">
        <v>10</v>
      </c>
      <c r="F8" s="11" t="s">
        <v>9</v>
      </c>
    </row>
    <row r="9" spans="1:6" x14ac:dyDescent="0.3">
      <c r="A9" s="11"/>
      <c r="B9" s="12"/>
      <c r="C9" s="11"/>
      <c r="D9" s="11"/>
      <c r="E9" s="11"/>
      <c r="F9" s="11"/>
    </row>
    <row r="10" spans="1:6" x14ac:dyDescent="0.3">
      <c r="A10" s="11">
        <v>1</v>
      </c>
      <c r="B10" s="2" t="s">
        <v>77</v>
      </c>
      <c r="C10" s="25" t="s">
        <v>110</v>
      </c>
      <c r="D10" s="14">
        <f>'Exh. JAP-13 Page 1'!D17</f>
        <v>270920540.79000002</v>
      </c>
      <c r="E10" s="14">
        <f>'Exh. JAP-13 Page 1'!E17</f>
        <v>98892122.910000011</v>
      </c>
      <c r="F10" s="14">
        <f>'Exh. JAP-13 Page 1'!F17</f>
        <v>18576292.501532141</v>
      </c>
    </row>
    <row r="11" spans="1:6" x14ac:dyDescent="0.3">
      <c r="A11" s="11">
        <f>A10+1</f>
        <v>2</v>
      </c>
      <c r="B11" s="2"/>
      <c r="C11" s="2"/>
      <c r="D11" s="2"/>
      <c r="E11" s="2"/>
      <c r="F11" s="2"/>
    </row>
    <row r="12" spans="1:6" x14ac:dyDescent="0.3">
      <c r="A12" s="11">
        <f t="shared" ref="A12:A14" si="0">A11+1</f>
        <v>3</v>
      </c>
      <c r="B12" s="2" t="s">
        <v>105</v>
      </c>
      <c r="C12" s="25" t="s">
        <v>114</v>
      </c>
      <c r="D12" s="27">
        <f>'Exh. JAP-13 Page 4'!Q10</f>
        <v>609248315.15931797</v>
      </c>
      <c r="E12" s="27">
        <f>'Exh. JAP-13 Page 4'!Q14</f>
        <v>234176518.05324444</v>
      </c>
      <c r="F12" s="27">
        <f>'Exh. JAP-13 Page 4'!Q18</f>
        <v>96077480.335465699</v>
      </c>
    </row>
    <row r="13" spans="1:6" x14ac:dyDescent="0.3">
      <c r="A13" s="11">
        <f t="shared" si="0"/>
        <v>4</v>
      </c>
      <c r="B13" s="2"/>
      <c r="C13" s="2"/>
      <c r="D13" s="28"/>
      <c r="E13" s="28"/>
      <c r="F13" s="28"/>
    </row>
    <row r="14" spans="1:6" x14ac:dyDescent="0.3">
      <c r="A14" s="11">
        <f t="shared" si="0"/>
        <v>5</v>
      </c>
      <c r="B14" s="2" t="s">
        <v>106</v>
      </c>
      <c r="C14" s="11" t="str">
        <f>"("&amp;A10&amp;") / ("&amp;A12&amp;")"</f>
        <v>(1) / (3)</v>
      </c>
      <c r="D14" s="85">
        <f>ROUND(D10/D12,5)</f>
        <v>0.44468000000000002</v>
      </c>
      <c r="E14" s="85">
        <f t="shared" ref="E14:F14" si="1">ROUND(E10/E12,5)</f>
        <v>0.42230000000000001</v>
      </c>
      <c r="F14" s="85">
        <f t="shared" si="1"/>
        <v>0.19334999999999999</v>
      </c>
    </row>
    <row r="15" spans="1:6" x14ac:dyDescent="0.3">
      <c r="A15" s="81"/>
      <c r="B15" s="2"/>
      <c r="C15" s="81"/>
      <c r="D15" s="86"/>
      <c r="E15" s="86"/>
      <c r="F15" s="86"/>
    </row>
    <row r="16" spans="1:6" x14ac:dyDescent="0.3">
      <c r="A16" s="81"/>
      <c r="B16" s="2" t="s">
        <v>107</v>
      </c>
      <c r="C16" s="81"/>
      <c r="D16" s="87"/>
      <c r="E16" s="87"/>
      <c r="F16" s="8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9B7FAF-FBA8-4B77-B8C5-E783A1CBF62C}"/>
</file>

<file path=customXml/itemProps2.xml><?xml version="1.0" encoding="utf-8"?>
<ds:datastoreItem xmlns:ds="http://schemas.openxmlformats.org/officeDocument/2006/customXml" ds:itemID="{143946E6-7134-4FD0-8E06-2893E5B3E6BF}"/>
</file>

<file path=customXml/itemProps3.xml><?xml version="1.0" encoding="utf-8"?>
<ds:datastoreItem xmlns:ds="http://schemas.openxmlformats.org/officeDocument/2006/customXml" ds:itemID="{95B6CE38-A93E-422C-88B0-A313237642D5}"/>
</file>

<file path=customXml/itemProps4.xml><?xml version="1.0" encoding="utf-8"?>
<ds:datastoreItem xmlns:ds="http://schemas.openxmlformats.org/officeDocument/2006/customXml" ds:itemID="{5178BCD5-7163-458F-92C3-DE455B431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Exh. JAP-13 Page 1</vt:lpstr>
      <vt:lpstr>Exh. JAP-13 Page 2</vt:lpstr>
      <vt:lpstr>Exh. JAP-13 Page 3</vt:lpstr>
      <vt:lpstr>Exh. JAP-13 Page 4</vt:lpstr>
      <vt:lpstr>Work Papers For Exhibits--&gt;</vt:lpstr>
      <vt:lpstr>12ME Dec 2018 Cust Data</vt:lpstr>
      <vt:lpstr>WP - Gas Blended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2019-06-12T19:25:19Z</cp:lastPrinted>
  <dcterms:created xsi:type="dcterms:W3CDTF">2012-10-25T22:13:28Z</dcterms:created>
  <dcterms:modified xsi:type="dcterms:W3CDTF">2020-02-28T00:14:30Z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