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GrpRevnu\PUBLIC\# 2019 GRC\Data Requests\Bench Requests\Bench Request No. 011 (proforma updates)\#RevReq-Attrition-COS-Bench-Request-011(R)\"/>
    </mc:Choice>
  </mc:AlternateContent>
  <bookViews>
    <workbookView xWindow="480" yWindow="525" windowWidth="17490" windowHeight="10830"/>
  </bookViews>
  <sheets>
    <sheet name="FCR Read Me" sheetId="1" r:id="rId1"/>
    <sheet name="MSSC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Converson Factor" sheetId="9" r:id="rId9"/>
    <sheet name="Cost of Capital" sheetId="10" r:id="rId10"/>
    <sheet name="Property Insurance Rate" sheetId="11" r:id="rId11"/>
  </sheet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'MSSC FCR Table'!$A$1:$D$57</definedName>
  </definedNames>
  <calcPr calcId="162913" iterate="1" calcOnSave="0"/>
</workbook>
</file>

<file path=xl/calcChain.xml><?xml version="1.0" encoding="utf-8"?>
<calcChain xmlns="http://schemas.openxmlformats.org/spreadsheetml/2006/main">
  <c r="H14" i="6" l="1"/>
  <c r="I12" i="4"/>
  <c r="H14" i="3"/>
  <c r="A7" i="11"/>
  <c r="A8" i="11" s="1"/>
  <c r="D8" i="11" l="1"/>
  <c r="H11" i="3" s="1"/>
  <c r="H11" i="6" l="1"/>
  <c r="H13" i="3" l="1"/>
  <c r="H13" i="6"/>
  <c r="I11" i="4"/>
  <c r="K4" i="4"/>
  <c r="K5" i="6" s="1"/>
  <c r="J4" i="4"/>
  <c r="J5" i="3" s="1"/>
  <c r="J5" i="4"/>
  <c r="K5" i="4"/>
  <c r="L4" i="4" l="1"/>
  <c r="L5" i="6" s="1"/>
  <c r="J5" i="6"/>
  <c r="K5" i="3"/>
  <c r="L5" i="3" l="1"/>
  <c r="D12" i="8" l="1"/>
  <c r="D14" i="8"/>
  <c r="D16" i="8"/>
  <c r="D18" i="8"/>
  <c r="D19" i="8"/>
  <c r="H12" i="3" l="1"/>
  <c r="I10" i="4"/>
  <c r="D21" i="8"/>
  <c r="H12" i="6" l="1"/>
  <c r="I52" i="6" s="1"/>
  <c r="L5" i="4"/>
  <c r="L8" i="4" l="1"/>
  <c r="I51" i="6" l="1"/>
  <c r="I66" i="4" l="1"/>
  <c r="I49" i="6" l="1"/>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17" i="3" l="1"/>
  <c r="A7" i="7"/>
  <c r="A8" i="7" s="1"/>
  <c r="C54" i="6"/>
  <c r="A18" i="6"/>
  <c r="A19" i="6" s="1"/>
  <c r="D17" i="6"/>
  <c r="B17" i="6"/>
  <c r="J17" i="6" s="1"/>
  <c r="D13" i="6"/>
  <c r="D14" i="6"/>
  <c r="E51" i="6" l="1"/>
  <c r="F51" i="6" s="1"/>
  <c r="E17" i="6"/>
  <c r="F17" i="6" s="1"/>
  <c r="E52" i="6"/>
  <c r="F52" i="6" s="1"/>
  <c r="A9" i="7"/>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K6" i="6"/>
  <c r="J6" i="6"/>
  <c r="A27" i="7" l="1"/>
  <c r="D34" i="6"/>
  <c r="B36" i="6"/>
  <c r="J36" i="6" s="1"/>
  <c r="A38" i="6"/>
  <c r="A12" i="5"/>
  <c r="A28" i="7" l="1"/>
  <c r="A39" i="6"/>
  <c r="D35" i="6"/>
  <c r="B37" i="6"/>
  <c r="J37" i="6" s="1"/>
  <c r="A13" i="5"/>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8" i="4"/>
  <c r="F38" i="4" s="1"/>
  <c r="E40" i="4"/>
  <c r="F40" i="4" s="1"/>
  <c r="E48" i="4"/>
  <c r="F48" i="4" s="1"/>
  <c r="E50" i="4"/>
  <c r="F50" i="4" s="1"/>
  <c r="C66" i="4"/>
  <c r="J6" i="3"/>
  <c r="K6" i="3"/>
  <c r="D14" i="3"/>
  <c r="D13" i="3"/>
  <c r="E66" i="3" s="1"/>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46" i="4" l="1"/>
  <c r="F46" i="4" s="1"/>
  <c r="E34" i="4"/>
  <c r="F34" i="4" s="1"/>
  <c r="E42" i="4"/>
  <c r="F42" i="4" s="1"/>
  <c r="E32" i="4"/>
  <c r="F32" i="4" s="1"/>
  <c r="E24" i="3"/>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H18" i="6"/>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A52"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B40" i="3" s="1"/>
  <c r="J38" i="3"/>
  <c r="D38" i="3"/>
  <c r="A36" i="5"/>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A66" i="3" s="1"/>
  <c r="I66" i="3" s="1"/>
  <c r="F66" i="3" s="1"/>
  <c r="I64" i="3"/>
  <c r="F64" i="3" s="1"/>
  <c r="J62" i="3"/>
  <c r="H60" i="4"/>
  <c r="J60" i="4" s="1"/>
  <c r="D61" i="4"/>
  <c r="J61" i="3"/>
  <c r="D61" i="3"/>
  <c r="D62" i="3" s="1"/>
  <c r="H60" i="3"/>
  <c r="K60" i="3" s="1"/>
  <c r="B63" i="3" l="1"/>
  <c r="E51" i="2" s="1"/>
  <c r="D63" i="3"/>
  <c r="D64" i="3" s="1"/>
  <c r="H62" i="3"/>
  <c r="K62" i="3" s="1"/>
  <c r="I65"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G52" i="6"/>
  <c r="L52" i="6" s="1"/>
  <c r="J63" i="3" l="1"/>
  <c r="H63" i="3"/>
  <c r="B64" i="3"/>
  <c r="E52" i="2" s="1"/>
  <c r="G17" i="6"/>
  <c r="L17" i="6" s="1"/>
  <c r="G51" i="6"/>
  <c r="L51" i="6" s="1"/>
  <c r="G63" i="3"/>
  <c r="G61" i="3"/>
  <c r="L61" i="3" s="1"/>
  <c r="G62" i="3"/>
  <c r="L62" i="3" s="1"/>
  <c r="F65" i="3"/>
  <c r="D65" i="3"/>
  <c r="H64" i="3"/>
  <c r="G64" i="3"/>
  <c r="G37" i="3"/>
  <c r="L37" i="3" s="1"/>
  <c r="K61" i="4"/>
  <c r="D63" i="4"/>
  <c r="D64" i="4" s="1"/>
  <c r="G62" i="4"/>
  <c r="H62" i="4"/>
  <c r="G50" i="6"/>
  <c r="L50" i="6" s="1"/>
  <c r="G42" i="6"/>
  <c r="L42" i="6" s="1"/>
  <c r="G27" i="6"/>
  <c r="L27" i="6" s="1"/>
  <c r="G35" i="6"/>
  <c r="L35" i="6" s="1"/>
  <c r="L9" i="3"/>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A2" i="2" l="1"/>
  <c r="B20" i="1"/>
  <c r="A2" i="7"/>
  <c r="A2" i="5"/>
  <c r="K63" i="3"/>
  <c r="L63" i="3" s="1"/>
  <c r="M63" i="3" s="1"/>
  <c r="B65" i="3"/>
  <c r="B66" i="3" s="1"/>
  <c r="J66" i="3" s="1"/>
  <c r="J64" i="3"/>
  <c r="K64" i="3" s="1"/>
  <c r="L64" i="3" s="1"/>
  <c r="D66" i="3"/>
  <c r="H66" i="3" s="1"/>
  <c r="B39" i="7"/>
  <c r="C39" i="7" s="1"/>
  <c r="D39" i="7" s="1"/>
  <c r="C41" i="5" s="1"/>
  <c r="B38" i="7"/>
  <c r="C38" i="7" s="1"/>
  <c r="D38" i="7" s="1"/>
  <c r="C40" i="5" s="1"/>
  <c r="M51" i="6"/>
  <c r="J56" i="6"/>
  <c r="I68" i="3"/>
  <c r="M62"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E53" i="2" l="1"/>
  <c r="J65" i="3"/>
  <c r="K65" i="3" s="1"/>
  <c r="L65" i="3" s="1"/>
  <c r="G53" i="2" s="1"/>
  <c r="H53" i="2" s="1"/>
  <c r="G66" i="3"/>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C24" i="7" s="1"/>
  <c r="D24" i="7" s="1"/>
  <c r="C26" i="5" s="1"/>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H68" i="3"/>
  <c r="G68" i="4"/>
  <c r="J63" i="4"/>
  <c r="M48" i="6"/>
  <c r="M33" i="6"/>
  <c r="M19" i="6"/>
  <c r="M45" i="6"/>
  <c r="M37" i="6"/>
  <c r="M30" i="6"/>
  <c r="M22" i="6"/>
  <c r="M23" i="6"/>
  <c r="M29" i="6"/>
  <c r="M24" i="6"/>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I53" i="2" l="1"/>
  <c r="L66" i="3"/>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<sst xmlns="http://schemas.openxmlformats.org/spreadsheetml/2006/main" count="263" uniqueCount="119">
  <si>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</si>
  <si>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</si>
  <si>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</si>
  <si>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</si>
  <si>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</si>
  <si>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</si>
  <si>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</si>
  <si>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</si>
  <si>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</si>
  <si>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</si>
  <si>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</si>
  <si>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</si>
  <si>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</si>
  <si>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</si>
  <si>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</si>
  <si>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</si>
  <si>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</si>
  <si>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</si>
  <si>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</si>
  <si>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</si>
  <si>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</si>
  <si>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</si>
  <si>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</si>
  <si>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NPV Revenue Req.</t>
  </si>
  <si>
    <t>PREFERRED</t>
  </si>
  <si>
    <t>Book Life</t>
  </si>
  <si>
    <t>Insurance Rate</t>
  </si>
  <si>
    <t>CAPITAL STRUCTURE:</t>
  </si>
  <si>
    <t>For Substations and Feeder Lines at Primary Service Voltage</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</si>
  <si>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</si>
  <si>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</si>
  <si>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</si>
  <si>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</si>
  <si>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</si>
  <si>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</si>
  <si>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</si>
  <si>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</si>
  <si>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</si>
  <si>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</si>
  <si>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</si>
  <si>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</si>
  <si>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</si>
  <si>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</si>
  <si>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</si>
  <si>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</si>
  <si>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</si>
  <si>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</si>
  <si>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</si>
  <si>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</si>
  <si>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</si>
  <si>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</si>
  <si>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</si>
  <si>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</si>
  <si>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</si>
  <si>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</si>
  <si>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</si>
  <si>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</si>
  <si>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</si>
  <si>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</si>
  <si>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PROPOSED</t>
  </si>
  <si>
    <t>ACCOUNT</t>
  </si>
  <si>
    <t>RATE</t>
  </si>
  <si>
    <t>NUMBER</t>
  </si>
  <si>
    <t>DESCRIPTION</t>
  </si>
  <si>
    <t>Life</t>
  </si>
  <si>
    <t>364-367</t>
  </si>
  <si>
    <t>Special Contract Table</t>
  </si>
  <si>
    <t xml:space="preserve">STATION EQUIPMENT                   </t>
  </si>
  <si>
    <t xml:space="preserve">POLES, TOWERS AND FIXTURES          </t>
  </si>
  <si>
    <t xml:space="preserve">OVERHEAD CONDUCTORS AND DEVICES     </t>
  </si>
  <si>
    <t xml:space="preserve">UNDERGROUND CONDUIT                 </t>
  </si>
  <si>
    <t xml:space="preserve">UNDERGROUND CONDUCTORS AND DEVICES  </t>
  </si>
  <si>
    <t>PUGET SOUND ENERGY-ELECTRIC</t>
  </si>
  <si>
    <t>DEPRECIATION RESTATEMENT - ELECTRIC</t>
  </si>
  <si>
    <t>FOR THE TWELVE MONTHS ENDED DECEMBER 31, 2018</t>
  </si>
  <si>
    <t xml:space="preserve">        2019 GENERAL RATE CASE</t>
  </si>
  <si>
    <t>Reference 6.21</t>
  </si>
  <si>
    <t>Puget Sound Energy</t>
  </si>
  <si>
    <t>FCR Property Insurance Rate</t>
  </si>
  <si>
    <t>Line No.</t>
  </si>
  <si>
    <t>Description</t>
  </si>
  <si>
    <t>Source</t>
  </si>
  <si>
    <t>A&amp;G Exp - Prop Insurance - Other</t>
  </si>
  <si>
    <t>Total Plant in Service</t>
  </si>
  <si>
    <t>Property Insurance Rate</t>
  </si>
  <si>
    <t>Line 1 / Line 2</t>
  </si>
  <si>
    <t>SEF WP 4.07E (FERC Income Statement)</t>
  </si>
  <si>
    <t>SEF WP 4.00E (Summary Electric Model)</t>
  </si>
  <si>
    <t>Docket No. UE-19xxxx</t>
  </si>
  <si>
    <t>Special Contract Analysis</t>
  </si>
  <si>
    <t>Special Contract Fixed Charge Rates For Depreciable Plant</t>
  </si>
  <si>
    <t>Special Contract Fixed Charge Rates For Land and Depreciable Plant</t>
  </si>
  <si>
    <t>Special Contract</t>
  </si>
  <si>
    <t>Based upon the depreciation study, gross plant, and plant in service assume all facilities under the Special Contract distribution rate have an original life of 49 years for substation equipment and 35 years for OH/UG Feeder</t>
  </si>
  <si>
    <t>Proposed Effective May 2020</t>
  </si>
  <si>
    <t>UE-190529 Electric Rate Design Work Paper</t>
  </si>
  <si>
    <t xml:space="preserve">PUGET SOUND ENERGY </t>
  </si>
  <si>
    <t>ELECTRIC RESULTS OF OPERATIONS</t>
  </si>
  <si>
    <t>2019 GENERAL RATE CASE</t>
  </si>
  <si>
    <t>12 MONTHS ENDED DECEMBER 31, 2018</t>
  </si>
  <si>
    <t>CONVERSION FACTOR</t>
  </si>
  <si>
    <t>BAD DEBTS</t>
  </si>
  <si>
    <t>ANNUAL FILING FEE</t>
  </si>
  <si>
    <t>STATE UTILITY TAX ( 3.8406% - ( LINE 1 * 3.8406% )  )</t>
  </si>
  <si>
    <t>SUM OF TAXES OTHER</t>
  </si>
  <si>
    <t>CONVERSION FACTOR EXCLUDING FEDERAL INCOME TAX ( 1 - LINE 6 )</t>
  </si>
  <si>
    <t>FEDERAL INCOME TAX ( LINE 7  * 21% )</t>
  </si>
  <si>
    <t xml:space="preserve">CONVERSION FACTOR INCL FEDERAL INCOME TAX ( LINE 7 - LINE 8 ) </t>
  </si>
  <si>
    <t>COST OF CAPITAL - GRC</t>
  </si>
  <si>
    <t>LINE</t>
  </si>
  <si>
    <t>CAPITAL</t>
  </si>
  <si>
    <t>WEIGHTED</t>
  </si>
  <si>
    <t>NO.</t>
  </si>
  <si>
    <t>STRUCTURE</t>
  </si>
  <si>
    <t>COST</t>
  </si>
  <si>
    <t>SHORT AND LONG TERM DEBT</t>
  </si>
  <si>
    <t>EQUITY</t>
  </si>
  <si>
    <t>AFTER TAX SHORT TERM DEBT ( (LINE 1)* 79%)</t>
  </si>
  <si>
    <t>TOTAL AFTER TAX COST OF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</si>
</sst>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s>
  <fonts count="11" x14ac:knownFonts="1">
    <font>
      <sz val="11"/>
      <color theme="1"/>
      <name val="Calibri"/>
      <family val="2"/>
      <scheme val="minor"/>
    </font>
    <font>
      <sz val="10"/>
      <name val="Arial"/>
      <family val="2"/>
    </font>
    <font>
      <b/>
      <sz val="15"/>
      <name val="Arial"/>
      <family val="2"/>
    </font>
    <font>
      <b/>
      <sz val="10"/>
      <name val="Arial"/>
      <family val="2"/>
    </font>
    <font>
      <b/>
      <u/>
      <sz val="12"/>
      <name val="Arial"/>
      <family val="2"/>
    </font>
    <font>
      <b/>
      <sz val="10"/>
      <name val="Times New Roman"/>
      <family val="1"/>
    </font>
    <font>
      <sz val="10"/>
      <name val="Times New Roman"/>
      <family val="1"/>
    </font>
    <font>
      <sz val="11"/>
      <color theme="1"/>
      <name val="Calibri"/>
      <family val="2"/>
      <scheme val="minor"/>
    </font>
    <font>
      <sz val="11"/>
      <name val="Calibri"/>
      <family val="2"/>
      <scheme val="minor"/>
    </font>
    <font>
      <b/>
      <sz val="11"/>
      <name val="Times New Roman"/>
      <family val="1"/>
    </font>
    <font>
      <b/>
      <sz val="11"/>
      <name val="Calibri"/>
      <family val="2"/>
      <scheme val="minor"/>
    </font>
  </fonts>
  <fills count="2">
    <fill>
      <patternFill patternType="none"/>
    </fill>
    <fill>
      <patternFill patternType="gray125"/>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1" fillId="0" borderId="0" xfId="0" applyFont="1" applyFill="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9" xfId="0" applyFont="1" applyFill="1" applyBorder="1" applyAlignment="1" applyProtection="1">
      <alignment horizontal="right" wrapText="1"/>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0" borderId="0"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0" fontId="5" fillId="0" borderId="8" xfId="0" applyNumberFormat="1" applyFont="1" applyFill="1" applyBorder="1" applyAlignment="1">
      <alignment horizontal="right"/>
    </xf>
    <xf numFmtId="0" fontId="5" fillId="0" borderId="6" xfId="0" applyNumberFormat="1" applyFont="1" applyFill="1" applyBorder="1" applyAlignment="1">
      <alignment horizontal="center"/>
    </xf>
    <xf numFmtId="0" fontId="6" fillId="0" borderId="0" xfId="0" applyNumberFormat="1" applyFont="1" applyFill="1" applyAlignment="1"/>
    <xf numFmtId="0" fontId="6" fillId="0" borderId="0" xfId="0" applyNumberFormat="1" applyFont="1" applyFill="1" applyAlignment="1">
      <alignment horizontal="center"/>
    </xf>
    <xf numFmtId="0" fontId="6" fillId="0" borderId="0" xfId="0" applyNumberFormat="1" applyFont="1" applyFill="1" applyAlignment="1">
      <alignment horizontal="left"/>
    </xf>
    <xf numFmtId="174" fontId="6" fillId="0" borderId="0" xfId="0" applyNumberFormat="1" applyFont="1" applyFill="1" applyAlignment="1"/>
    <xf numFmtId="166" fontId="6" fillId="0" borderId="0" xfId="0" applyNumberFormat="1" applyFont="1" applyFill="1" applyAlignment="1"/>
    <xf numFmtId="174" fontId="6" fillId="0" borderId="6" xfId="0" applyNumberFormat="1" applyFont="1" applyFill="1" applyBorder="1" applyAlignment="1"/>
    <xf numFmtId="174" fontId="6" fillId="0" borderId="0" xfId="0" applyNumberFormat="1" applyFont="1" applyFill="1" applyBorder="1" applyAlignment="1"/>
    <xf numFmtId="0" fontId="5" fillId="0" borderId="0" xfId="0" applyNumberFormat="1" applyFont="1" applyFill="1" applyAlignment="1" applyProtection="1">
      <alignment horizontal="center"/>
      <protection locked="0"/>
    </xf>
    <xf numFmtId="0" fontId="5" fillId="0" borderId="0" xfId="0" applyNumberFormat="1" applyFont="1" applyFill="1" applyAlignment="1">
      <alignment horizontal="center"/>
    </xf>
    <xf numFmtId="9" fontId="6" fillId="0" borderId="0" xfId="0" applyNumberFormat="1" applyFont="1" applyFill="1" applyAlignment="1"/>
    <xf numFmtId="174" fontId="5" fillId="0" borderId="19" xfId="0" applyNumberFormat="1" applyFont="1" applyFill="1" applyBorder="1" applyAlignment="1" applyProtection="1">
      <protection locked="0"/>
    </xf>
    <xf numFmtId="0" fontId="1" fillId="0" borderId="0" xfId="0" applyFont="1" applyFill="1" applyBorder="1" applyAlignment="1" applyProtection="1">
      <alignment horizontal="right"/>
      <protection locked="0"/>
    </xf>
    <xf numFmtId="166" fontId="1" fillId="0" borderId="0" xfId="0" applyNumberFormat="1" applyFont="1" applyFill="1" applyBorder="1" applyAlignment="1" applyProtection="1">
      <alignment horizontal="right"/>
      <protection locked="0"/>
    </xf>
    <xf numFmtId="10" fontId="1" fillId="0" borderId="0" xfId="1" applyNumberFormat="1" applyFont="1" applyFill="1" applyBorder="1" applyProtection="1"/>
    <xf numFmtId="0" fontId="5" fillId="0" borderId="0" xfId="0" applyNumberFormat="1" applyFont="1" applyFill="1" applyAlignment="1" applyProtection="1">
      <alignment horizontal="left"/>
      <protection locked="0"/>
    </xf>
    <xf numFmtId="0" fontId="5" fillId="0" borderId="0" xfId="0" applyNumberFormat="1" applyFont="1" applyFill="1" applyAlignment="1">
      <alignment horizontal="left"/>
    </xf>
    <xf numFmtId="0" fontId="1" fillId="0" borderId="9" xfId="0" applyFont="1" applyFill="1" applyBorder="1" applyAlignment="1">
      <alignment horizontal="center" wrapText="1"/>
    </xf>
    <xf numFmtId="0" fontId="1" fillId="0" borderId="8" xfId="0" quotePrefix="1" applyFont="1" applyFill="1" applyBorder="1" applyAlignment="1">
      <alignment horizontal="center" wrapText="1"/>
    </xf>
    <xf numFmtId="0" fontId="1" fillId="0" borderId="7" xfId="0" quotePrefix="1" applyFont="1" applyFill="1" applyBorder="1" applyAlignment="1">
      <alignment horizontal="center" wrapText="1"/>
    </xf>
    <xf numFmtId="0" fontId="1" fillId="0" borderId="0" xfId="0" applyFont="1" applyFill="1" applyAlignment="1">
      <alignment horizontal="center"/>
    </xf>
    <xf numFmtId="166" fontId="1" fillId="0" borderId="13" xfId="0" applyNumberFormat="1" applyFont="1" applyFill="1" applyBorder="1"/>
    <xf numFmtId="166" fontId="1" fillId="0" borderId="4" xfId="0" applyNumberFormat="1" applyFont="1" applyFill="1" applyBorder="1"/>
    <xf numFmtId="166" fontId="1" fillId="0" borderId="3" xfId="0" applyNumberFormat="1" applyFont="1" applyFill="1" applyBorder="1"/>
    <xf numFmtId="164" fontId="1" fillId="0" borderId="0" xfId="0" applyNumberFormat="1" applyFont="1" applyFill="1"/>
    <xf numFmtId="0" fontId="1" fillId="0" borderId="3" xfId="0" applyFont="1" applyFill="1" applyBorder="1"/>
    <xf numFmtId="0" fontId="1" fillId="0" borderId="1" xfId="0" applyFont="1" applyFill="1" applyBorder="1"/>
    <xf numFmtId="166" fontId="1" fillId="0" borderId="2" xfId="0" applyNumberFormat="1" applyFont="1" applyFill="1" applyBorder="1"/>
    <xf numFmtId="166" fontId="1" fillId="0" borderId="1" xfId="0" applyNumberFormat="1" applyFont="1" applyFill="1" applyBorder="1"/>
    <xf numFmtId="0" fontId="1" fillId="0" borderId="11" xfId="0" quotePrefix="1" applyFont="1" applyFill="1" applyBorder="1" applyAlignment="1" applyProtection="1">
      <alignment horizontal="left"/>
    </xf>
    <xf numFmtId="10" fontId="1" fillId="0" borderId="4" xfId="1" applyNumberFormat="1" applyFont="1" applyFill="1" applyBorder="1" applyAlignment="1" applyProtection="1">
      <alignment horizontal="center"/>
    </xf>
    <xf numFmtId="169" fontId="1" fillId="0" borderId="0" xfId="0" applyNumberFormat="1" applyFont="1" applyFill="1"/>
    <xf numFmtId="168" fontId="1" fillId="0" borderId="0" xfId="0" applyNumberFormat="1" applyFont="1" applyFill="1" applyAlignment="1" applyProtection="1">
      <alignment horizontal="center"/>
    </xf>
    <xf numFmtId="10" fontId="1" fillId="0" borderId="0" xfId="0" applyNumberFormat="1" applyFont="1" applyFill="1" applyAlignment="1">
      <alignment horizontal="center"/>
    </xf>
    <xf numFmtId="171" fontId="1" fillId="0" borderId="0" xfId="0" applyNumberFormat="1" applyFont="1" applyFill="1" applyProtection="1"/>
    <xf numFmtId="0" fontId="1" fillId="0" borderId="0" xfId="0" applyFont="1" applyFill="1" applyAlignment="1">
      <alignment horizontal="right"/>
    </xf>
    <xf numFmtId="5" fontId="1" fillId="0" borderId="0" xfId="0" applyNumberFormat="1" applyFont="1" applyFill="1"/>
    <xf numFmtId="8" fontId="1" fillId="0" borderId="0" xfId="0" applyNumberFormat="1" applyFont="1" applyFill="1"/>
    <xf numFmtId="0" fontId="3" fillId="0" borderId="0" xfId="0" quotePrefix="1" applyFont="1" applyFill="1" applyAlignment="1"/>
    <xf numFmtId="0" fontId="3" fillId="0" borderId="8" xfId="0" applyFont="1" applyFill="1" applyBorder="1" applyAlignment="1">
      <alignment horizontal="center" wrapText="1"/>
    </xf>
    <xf numFmtId="0" fontId="1" fillId="0" borderId="6" xfId="0" applyFont="1" applyFill="1" applyBorder="1" applyAlignment="1">
      <alignment horizontal="center"/>
    </xf>
    <xf numFmtId="0" fontId="1" fillId="0" borderId="6" xfId="0" applyFont="1" applyFill="1" applyBorder="1" applyAlignment="1">
      <alignment horizontal="center" wrapText="1"/>
    </xf>
    <xf numFmtId="0" fontId="3" fillId="0" borderId="5" xfId="0" quotePrefix="1" applyFont="1" applyFill="1" applyBorder="1" applyAlignment="1">
      <alignment horizontal="center" wrapText="1"/>
    </xf>
    <xf numFmtId="165" fontId="1" fillId="0" borderId="0" xfId="0" applyNumberFormat="1" applyFont="1" applyFill="1"/>
    <xf numFmtId="166" fontId="3" fillId="0" borderId="1" xfId="0" applyNumberFormat="1" applyFont="1" applyFill="1" applyBorder="1"/>
    <xf numFmtId="10" fontId="1" fillId="0" borderId="0" xfId="0" applyNumberFormat="1" applyFont="1" applyFill="1"/>
    <xf numFmtId="166" fontId="3" fillId="0" borderId="3" xfId="0" applyNumberFormat="1" applyFont="1" applyFill="1" applyBorder="1"/>
    <xf numFmtId="0" fontId="1" fillId="0" borderId="9" xfId="0" quotePrefix="1" applyFont="1" applyFill="1" applyBorder="1" applyAlignment="1">
      <alignment horizontal="center" wrapText="1"/>
    </xf>
    <xf numFmtId="0" fontId="1" fillId="0" borderId="5" xfId="0" quotePrefix="1" applyFont="1" applyFill="1" applyBorder="1" applyAlignment="1">
      <alignment horizontal="center" wrapText="1"/>
    </xf>
    <xf numFmtId="0" fontId="8" fillId="0" borderId="0" xfId="0" applyFont="1" applyFill="1"/>
    <xf numFmtId="0" fontId="8" fillId="0" borderId="6" xfId="0" applyFont="1" applyFill="1" applyBorder="1" applyAlignment="1">
      <alignment horizontal="center" wrapText="1"/>
    </xf>
    <xf numFmtId="0" fontId="8" fillId="0" borderId="6" xfId="0" applyFont="1" applyFill="1" applyBorder="1" applyAlignment="1">
      <alignment wrapText="1"/>
    </xf>
    <xf numFmtId="0" fontId="8" fillId="0" borderId="0" xfId="0" quotePrefix="1" applyFont="1" applyFill="1" applyAlignment="1">
      <alignment horizontal="left"/>
    </xf>
    <xf numFmtId="165" fontId="8" fillId="0" borderId="0" xfId="0" applyNumberFormat="1" applyFont="1" applyFill="1"/>
    <xf numFmtId="10" fontId="8" fillId="0" borderId="0" xfId="0" applyNumberFormat="1" applyFont="1" applyFill="1"/>
    <xf numFmtId="0" fontId="6" fillId="0" borderId="0" xfId="0" applyFont="1" applyFill="1"/>
    <xf numFmtId="0" fontId="9" fillId="0" borderId="20" xfId="0" applyFont="1" applyFill="1" applyBorder="1" applyAlignment="1">
      <alignment horizontal="centerContinuous"/>
    </xf>
    <xf numFmtId="0" fontId="9" fillId="0" borderId="21" xfId="0" applyFont="1" applyFill="1" applyBorder="1" applyAlignment="1">
      <alignment horizontal="centerContinuous"/>
    </xf>
    <xf numFmtId="0" fontId="9" fillId="0" borderId="22" xfId="0" applyFont="1" applyFill="1" applyBorder="1" applyAlignment="1">
      <alignment horizontal="centerContinuous"/>
    </xf>
    <xf numFmtId="0" fontId="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Alignment="1">
      <alignment horizontal="center"/>
    </xf>
    <xf numFmtId="0" fontId="5" fillId="0" borderId="6" xfId="0" applyFont="1" applyFill="1" applyBorder="1" applyAlignment="1">
      <alignment horizontal="center"/>
    </xf>
    <xf numFmtId="10" fontId="6" fillId="0" borderId="0" xfId="0" applyNumberFormat="1" applyFont="1" applyFill="1"/>
    <xf numFmtId="9" fontId="6" fillId="0" borderId="12" xfId="0" applyNumberFormat="1" applyFont="1" applyFill="1" applyBorder="1"/>
    <xf numFmtId="0" fontId="6" fillId="0" borderId="12" xfId="0" applyFont="1" applyFill="1" applyBorder="1"/>
    <xf numFmtId="10" fontId="6" fillId="0" borderId="12" xfId="0" applyNumberFormat="1" applyFont="1" applyFill="1" applyBorder="1"/>
    <xf numFmtId="0" fontId="10" fillId="0" borderId="16" xfId="0" applyFont="1" applyFill="1" applyBorder="1"/>
    <xf numFmtId="0" fontId="10" fillId="0" borderId="17" xfId="0" applyFont="1" applyFill="1" applyBorder="1"/>
    <xf numFmtId="10" fontId="10" fillId="0" borderId="17" xfId="0" applyNumberFormat="1" applyFont="1" applyFill="1" applyBorder="1"/>
    <xf numFmtId="164" fontId="10" fillId="0" borderId="17" xfId="0" applyNumberFormat="1" applyFont="1" applyFill="1" applyBorder="1"/>
    <xf numFmtId="0" fontId="10" fillId="0" borderId="18" xfId="0" applyFont="1" applyFill="1" applyBorder="1"/>
    <xf numFmtId="164" fontId="8" fillId="0" borderId="0" xfId="0" applyNumberFormat="1" applyFont="1" applyFill="1"/>
    <xf numFmtId="0" fontId="10" fillId="0" borderId="17" xfId="0" applyFont="1" applyFill="1" applyBorder="1" applyAlignment="1">
      <alignment horizontal="left"/>
    </xf>
    <xf numFmtId="0" fontId="3" fillId="0" borderId="0" xfId="0" applyFont="1" applyFill="1" applyAlignment="1">
      <alignment horizontal="center"/>
    </xf>
    <xf numFmtId="0" fontId="1" fillId="0" borderId="0" xfId="0" applyFont="1" applyFill="1" applyAlignment="1" applyProtection="1">
      <alignment horizontal="right"/>
    </xf>
    <xf numFmtId="0" fontId="1" fillId="0" borderId="0" xfId="0" applyFont="1" applyFill="1" applyAlignment="1">
      <alignment horizontal="left"/>
    </xf>
    <xf numFmtId="0" fontId="1" fillId="0" borderId="0" xfId="0" applyFont="1" applyFill="1" applyAlignment="1" applyProtection="1">
      <alignment horizontal="left"/>
    </xf>
    <xf numFmtId="0" fontId="8" fillId="0" borderId="0" xfId="0" applyFont="1" applyFill="1" applyAlignment="1">
      <alignment horizontal="center"/>
    </xf>
    <xf numFmtId="0" fontId="1" fillId="0" borderId="0" xfId="0" applyNumberFormat="1" applyFont="1" applyFill="1" applyAlignment="1"/>
    <xf numFmtId="0" fontId="1" fillId="0" borderId="0" xfId="0" applyFont="1" applyFill="1" applyBorder="1"/>
    <xf numFmtId="0" fontId="3" fillId="0" borderId="0" xfId="0" applyFont="1" applyFill="1" applyBorder="1"/>
    <xf numFmtId="0" fontId="1" fillId="0" borderId="0" xfId="0" applyFont="1" applyFill="1" applyBorder="1" applyAlignment="1">
      <alignment horizontal="center"/>
    </xf>
    <xf numFmtId="0" fontId="2" fillId="0" borderId="0" xfId="0" quotePrefix="1" applyFont="1" applyFill="1" applyBorder="1" applyAlignment="1">
      <alignment horizontal="center"/>
    </xf>
    <xf numFmtId="14" fontId="2" fillId="0" borderId="0" xfId="0" quotePrefix="1" applyNumberFormat="1" applyFont="1" applyFill="1" applyBorder="1" applyAlignment="1">
      <alignment horizontal="center"/>
    </xf>
    <xf numFmtId="0" fontId="1" fillId="0" borderId="0" xfId="0" quotePrefix="1" applyFont="1" applyFill="1" applyBorder="1" applyAlignment="1">
      <alignment horizontal="left" wrapText="1"/>
    </xf>
    <xf numFmtId="0" fontId="1" fillId="0" borderId="0" xfId="0" applyFont="1" applyFill="1" applyBorder="1" applyAlignment="1">
      <alignment wrapText="1"/>
    </xf>
    <xf numFmtId="0" fontId="1" fillId="0" borderId="0" xfId="0" quotePrefix="1" applyFont="1" applyFill="1" applyBorder="1" applyAlignment="1">
      <alignment horizontal="left"/>
    </xf>
    <xf numFmtId="0" fontId="4" fillId="0" borderId="0" xfId="0" quotePrefix="1"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wrapText="1"/>
    </xf>
    <xf numFmtId="0" fontId="3" fillId="0" borderId="0" xfId="0" quotePrefix="1" applyFont="1" applyFill="1" applyAlignment="1">
      <alignment horizontal="center"/>
    </xf>
    <xf numFmtId="0" fontId="3" fillId="0" borderId="0" xfId="0" applyFont="1" applyFill="1" applyAlignment="1">
      <alignment horizontal="center"/>
    </xf>
    <xf numFmtId="0" fontId="1" fillId="0" borderId="9" xfId="0" quotePrefix="1" applyFont="1" applyFill="1" applyBorder="1" applyAlignment="1">
      <alignment horizontal="center"/>
    </xf>
    <xf numFmtId="0" fontId="1" fillId="0" borderId="0" xfId="0" applyFont="1" applyFill="1" applyAlignment="1" applyProtection="1">
      <alignment horizontal="right"/>
    </xf>
    <xf numFmtId="0" fontId="3" fillId="0" borderId="0" xfId="0" quotePrefix="1" applyFont="1" applyFill="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Fill="1" applyAlignment="1">
      <alignment horizontal="left"/>
    </xf>
    <xf numFmtId="0" fontId="1" fillId="0" borderId="0" xfId="0" quotePrefix="1" applyFont="1" applyFill="1" applyAlignment="1">
      <alignment horizontal="left"/>
    </xf>
    <xf numFmtId="0" fontId="1" fillId="0" borderId="0" xfId="0" applyFont="1" applyFill="1" applyAlignment="1" applyProtection="1">
      <alignment horizontal="left"/>
    </xf>
    <xf numFmtId="0" fontId="1" fillId="0" borderId="16" xfId="0" applyFont="1" applyFill="1" applyBorder="1" applyAlignment="1" applyProtection="1">
      <alignment horizontal="center"/>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6" xfId="0" quotePrefix="1" applyFont="1" applyFill="1" applyBorder="1" applyAlignment="1" applyProtection="1">
      <alignment horizontal="center"/>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14" xfId="0" quotePrefix="1" applyFont="1" applyFill="1" applyBorder="1" applyAlignment="1" applyProtection="1">
      <alignment horizontal="center"/>
    </xf>
    <xf numFmtId="0" fontId="1" fillId="0" borderId="15" xfId="0" quotePrefix="1" applyFont="1" applyFill="1" applyBorder="1" applyAlignment="1" applyProtection="1">
      <alignment horizontal="center"/>
    </xf>
    <xf numFmtId="0" fontId="1" fillId="0" borderId="7" xfId="0" quotePrefix="1" applyFont="1" applyFill="1" applyBorder="1" applyAlignment="1" applyProtection="1">
      <alignment horizontal="center"/>
    </xf>
    <xf numFmtId="0" fontId="1" fillId="0" borderId="0" xfId="0" quotePrefix="1" applyFont="1" applyFill="1" applyAlignment="1">
      <alignment horizontal="left" wrapText="1"/>
    </xf>
    <xf numFmtId="0" fontId="8" fillId="0" borderId="0" xfId="0" applyFont="1" applyFill="1" applyAlignment="1">
      <alignment horizontal="center"/>
    </xf>
    <xf numFmtId="0" fontId="8" fillId="0" borderId="0" xfId="0" quotePrefix="1" applyFont="1" applyFill="1" applyAlignment="1">
      <alignment horizontal="center"/>
    </xf>
  </cellXfs>
  <cellStyles count="3">
    <cellStyle name="Comma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21"/>
  <sheetViews>
    <sheetView tabSelected="1" zoomScaleNormal="100" workbookViewId="0">
      <selection activeCell="B7" sqref="B7"/>
    </sheetView>
  </sheetViews>
  <sheetFormatPr defaultColWidth="9.140625" defaultRowHeight="12.75" x14ac:dyDescent="0.2"/>
  <cols>
    <col min="1" max="1" width="19" style="111" customWidth="1"/>
    <col min="2" max="2" width="88.140625" style="111" customWidth="1"/>
    <col min="3" max="3" width="9.140625" style="111"/>
    <col min="4" max="4" width="9.140625" style="1"/>
    <col min="5" max="5" width="16.140625" style="1" customWidth="1"/>
    <col min="6" max="9" width="9.140625" style="1"/>
    <col min="10" max="16384" width="9.140625" style="111"/>
  </cols>
  <sheetData>
    <row r="4" spans="1:11" x14ac:dyDescent="0.2">
      <c r="B4" s="112"/>
      <c r="C4" s="112"/>
    </row>
    <row r="5" spans="1:11" x14ac:dyDescent="0.2">
      <c r="B5" s="112"/>
      <c r="C5" s="112"/>
      <c r="J5" s="113"/>
      <c r="K5" s="113"/>
    </row>
    <row r="6" spans="1:11" ht="19.5" x14ac:dyDescent="0.3">
      <c r="B6" s="114" t="s">
        <v>92</v>
      </c>
      <c r="C6" s="112"/>
      <c r="J6" s="113"/>
      <c r="K6" s="113"/>
    </row>
    <row r="7" spans="1:11" ht="19.5" x14ac:dyDescent="0.3">
      <c r="B7" s="114" t="s">
        <v>95</v>
      </c>
      <c r="C7" s="112"/>
      <c r="J7" s="113"/>
      <c r="K7" s="113"/>
    </row>
    <row r="8" spans="1:11" ht="19.5" x14ac:dyDescent="0.3">
      <c r="B8" s="115"/>
      <c r="C8" s="112"/>
      <c r="J8" s="113"/>
      <c r="K8" s="113"/>
    </row>
    <row r="9" spans="1:11" ht="19.5" x14ac:dyDescent="0.3">
      <c r="B9" s="115" t="s">
        <v>94</v>
      </c>
    </row>
    <row r="14" spans="1:11" ht="38.25" x14ac:dyDescent="0.2">
      <c r="A14" s="111" t="s">
        <v>3</v>
      </c>
      <c r="B14" s="116" t="s">
        <v>40</v>
      </c>
    </row>
    <row r="16" spans="1:11" ht="25.5" x14ac:dyDescent="0.2">
      <c r="A16" s="111" t="s">
        <v>2</v>
      </c>
      <c r="B16" s="117" t="s">
        <v>1</v>
      </c>
    </row>
    <row r="18" spans="1:9" ht="38.25" x14ac:dyDescent="0.2">
      <c r="A18" s="111" t="s">
        <v>0</v>
      </c>
      <c r="B18" s="116" t="s">
        <v>93</v>
      </c>
      <c r="F18" s="111"/>
      <c r="G18" s="111"/>
      <c r="H18" s="111"/>
      <c r="I18" s="111"/>
    </row>
    <row r="20" spans="1:9" x14ac:dyDescent="0.2">
      <c r="B20" s="118" t="str">
        <f>CONCATENATE("Cost of Capital updated for Docket No. UE-190529 @ ",('Lvl FCR Sub Equip'!L9*100),"%")</f>
        <v>Cost of Capital updated for Docket No. UE-190529 @ 7.44%</v>
      </c>
      <c r="F20" s="111"/>
      <c r="G20" s="111"/>
      <c r="H20" s="111"/>
      <c r="I20" s="111"/>
    </row>
    <row r="21" spans="1:9" x14ac:dyDescent="0.2">
      <c r="C21" s="118"/>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C11" sqref="C11"/>
    </sheetView>
  </sheetViews>
  <sheetFormatPr defaultColWidth="5.85546875" defaultRowHeight="15" x14ac:dyDescent="0.25"/>
  <cols>
    <col min="1" max="1" width="5.42578125" style="80" bestFit="1" customWidth="1"/>
    <col min="2" max="2" width="42.42578125" style="80" bestFit="1" customWidth="1"/>
    <col min="3" max="3" width="12.140625" style="80" bestFit="1" customWidth="1"/>
    <col min="4" max="4" width="6" style="80" bestFit="1" customWidth="1"/>
    <col min="5" max="5" width="11.28515625" style="80" bestFit="1" customWidth="1"/>
    <col min="6" max="16384" width="5.85546875" style="80"/>
  </cols>
  <sheetData>
    <row r="1" spans="1:5" x14ac:dyDescent="0.25">
      <c r="A1" s="86"/>
      <c r="B1" s="86"/>
      <c r="C1" s="87"/>
      <c r="D1" s="88"/>
      <c r="E1" s="89"/>
    </row>
    <row r="2" spans="1:5" ht="15.6" customHeight="1" x14ac:dyDescent="0.25">
      <c r="A2" s="90" t="s">
        <v>96</v>
      </c>
      <c r="B2" s="90"/>
      <c r="C2" s="90"/>
      <c r="D2" s="90"/>
      <c r="E2" s="90"/>
    </row>
    <row r="3" spans="1:5" x14ac:dyDescent="0.25">
      <c r="A3" s="90" t="s">
        <v>97</v>
      </c>
      <c r="B3" s="90"/>
      <c r="C3" s="90"/>
      <c r="D3" s="90"/>
      <c r="E3" s="90"/>
    </row>
    <row r="4" spans="1:5" ht="14.45" customHeight="1" x14ac:dyDescent="0.25">
      <c r="A4" s="90" t="s">
        <v>98</v>
      </c>
      <c r="B4" s="90"/>
      <c r="C4" s="90"/>
      <c r="D4" s="90"/>
      <c r="E4" s="90"/>
    </row>
    <row r="5" spans="1:5" x14ac:dyDescent="0.25">
      <c r="A5" s="90" t="s">
        <v>99</v>
      </c>
      <c r="B5" s="90"/>
      <c r="C5" s="90"/>
      <c r="D5" s="90"/>
      <c r="E5" s="90"/>
    </row>
    <row r="6" spans="1:5" x14ac:dyDescent="0.25">
      <c r="A6" s="90" t="s">
        <v>108</v>
      </c>
      <c r="B6" s="90"/>
      <c r="C6" s="90"/>
      <c r="D6" s="90"/>
      <c r="E6" s="90"/>
    </row>
    <row r="7" spans="1:5" x14ac:dyDescent="0.25">
      <c r="A7" s="86"/>
      <c r="B7" s="91"/>
      <c r="C7" s="91"/>
      <c r="D7" s="91"/>
      <c r="E7" s="91"/>
    </row>
    <row r="8" spans="1:5" x14ac:dyDescent="0.25">
      <c r="A8" s="86"/>
      <c r="B8" s="86"/>
      <c r="C8" s="86"/>
      <c r="D8" s="86"/>
      <c r="E8" s="86"/>
    </row>
    <row r="9" spans="1:5" x14ac:dyDescent="0.25">
      <c r="A9" s="40" t="s">
        <v>109</v>
      </c>
      <c r="B9" s="40"/>
      <c r="C9" s="92" t="s">
        <v>110</v>
      </c>
      <c r="D9" s="86"/>
      <c r="E9" s="92" t="s">
        <v>111</v>
      </c>
    </row>
    <row r="10" spans="1:5" x14ac:dyDescent="0.25">
      <c r="A10" s="31" t="s">
        <v>112</v>
      </c>
      <c r="B10" s="31" t="s">
        <v>63</v>
      </c>
      <c r="C10" s="93" t="s">
        <v>113</v>
      </c>
      <c r="D10" s="93" t="s">
        <v>114</v>
      </c>
      <c r="E10" s="93" t="s">
        <v>114</v>
      </c>
    </row>
    <row r="11" spans="1:5" x14ac:dyDescent="0.25">
      <c r="A11" s="86"/>
      <c r="B11" s="86"/>
      <c r="C11" s="86"/>
      <c r="D11" s="86"/>
      <c r="E11" s="86"/>
    </row>
    <row r="12" spans="1:5" x14ac:dyDescent="0.25">
      <c r="A12" s="33">
        <v>1</v>
      </c>
      <c r="B12" s="32" t="s">
        <v>115</v>
      </c>
      <c r="C12" s="94">
        <v>0.51500000000000001</v>
      </c>
      <c r="D12" s="94">
        <v>5.4951456310679617E-2</v>
      </c>
      <c r="E12" s="94">
        <v>2.8299999999999999E-2</v>
      </c>
    </row>
    <row r="13" spans="1:5" x14ac:dyDescent="0.25">
      <c r="A13" s="33">
        <v>2</v>
      </c>
      <c r="B13" s="32" t="s">
        <v>116</v>
      </c>
      <c r="C13" s="94">
        <v>0.48499999999999999</v>
      </c>
      <c r="D13" s="94">
        <v>9.5000000000000001E-2</v>
      </c>
      <c r="E13" s="94">
        <v>4.6100000000000002E-2</v>
      </c>
    </row>
    <row r="14" spans="1:5" x14ac:dyDescent="0.25">
      <c r="A14" s="33">
        <v>3</v>
      </c>
      <c r="B14" s="32" t="s">
        <v>13</v>
      </c>
      <c r="C14" s="95">
        <v>1</v>
      </c>
      <c r="D14" s="96"/>
      <c r="E14" s="97">
        <v>7.4399999999999994E-2</v>
      </c>
    </row>
    <row r="15" spans="1:5" x14ac:dyDescent="0.25">
      <c r="A15" s="33">
        <v>4</v>
      </c>
      <c r="B15" s="32"/>
      <c r="C15" s="86"/>
      <c r="D15" s="86"/>
      <c r="E15" s="86"/>
    </row>
    <row r="16" spans="1:5" x14ac:dyDescent="0.25">
      <c r="A16" s="33">
        <v>5</v>
      </c>
      <c r="B16" s="32" t="s">
        <v>117</v>
      </c>
      <c r="C16" s="94">
        <v>0.51500000000000001</v>
      </c>
      <c r="D16" s="94">
        <v>4.3411650485436902E-2</v>
      </c>
      <c r="E16" s="94">
        <v>2.24E-2</v>
      </c>
    </row>
    <row r="17" spans="1:5" x14ac:dyDescent="0.25">
      <c r="A17" s="33">
        <v>6</v>
      </c>
      <c r="B17" s="32" t="s">
        <v>116</v>
      </c>
      <c r="C17" s="94">
        <v>0.48499999999999999</v>
      </c>
      <c r="D17" s="94">
        <v>9.5000000000000001E-2</v>
      </c>
      <c r="E17" s="94">
        <v>4.6100000000000002E-2</v>
      </c>
    </row>
    <row r="18" spans="1:5" x14ac:dyDescent="0.25">
      <c r="A18" s="33">
        <v>7</v>
      </c>
      <c r="B18" s="32" t="s">
        <v>118</v>
      </c>
      <c r="C18" s="95">
        <v>1</v>
      </c>
      <c r="D18" s="96"/>
      <c r="E18" s="97">
        <v>6.8500000000000005E-2</v>
      </c>
    </row>
    <row r="19" spans="1:5" x14ac:dyDescent="0.25">
      <c r="A19" s="90"/>
      <c r="B19" s="86"/>
      <c r="C19" s="90"/>
      <c r="D19" s="90"/>
      <c r="E19" s="90"/>
    </row>
    <row r="20" spans="1:5" x14ac:dyDescent="0.25">
      <c r="A20" s="33"/>
      <c r="B20" s="1"/>
      <c r="C20" s="86"/>
      <c r="D20" s="86"/>
      <c r="E20" s="86"/>
    </row>
    <row r="21" spans="1:5" x14ac:dyDescent="0.25">
      <c r="A21" s="33"/>
      <c r="B21" s="86"/>
      <c r="C21" s="86"/>
      <c r="D21" s="86"/>
      <c r="E21" s="86"/>
    </row>
    <row r="22" spans="1:5" x14ac:dyDescent="0.25">
      <c r="A22" s="33"/>
      <c r="B22" s="86"/>
      <c r="C22" s="86"/>
      <c r="D22" s="86"/>
      <c r="E22" s="86"/>
    </row>
  </sheetData>
  <printOptions horizontalCentered="1"/>
  <pageMargins left="0.7" right="0.7" top="0.75" bottom="0.75" header="0.3" footer="0.3"/>
  <pageSetup orientation="landscape" r:id="rId1"/>
  <headerFooter>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11" sqref="C11"/>
    </sheetView>
  </sheetViews>
  <sheetFormatPr defaultColWidth="8.85546875" defaultRowHeight="15" x14ac:dyDescent="0.25"/>
  <cols>
    <col min="1" max="1" width="7.7109375" style="80" bestFit="1" customWidth="1"/>
    <col min="2" max="2" width="28.28515625" style="80" bestFit="1" customWidth="1"/>
    <col min="3" max="3" width="33.85546875" style="80" bestFit="1" customWidth="1"/>
    <col min="4" max="4" width="16.28515625" style="80" bestFit="1" customWidth="1"/>
    <col min="5" max="16384" width="8.85546875" style="80"/>
  </cols>
  <sheetData>
    <row r="1" spans="1:4" x14ac:dyDescent="0.25">
      <c r="A1" s="142" t="s">
        <v>77</v>
      </c>
      <c r="B1" s="142"/>
      <c r="C1" s="142"/>
      <c r="D1" s="142"/>
    </row>
    <row r="2" spans="1:4" x14ac:dyDescent="0.25">
      <c r="A2" s="142" t="s">
        <v>78</v>
      </c>
      <c r="B2" s="142"/>
      <c r="C2" s="142"/>
      <c r="D2" s="142"/>
    </row>
    <row r="3" spans="1:4" x14ac:dyDescent="0.25">
      <c r="A3" s="143" t="s">
        <v>88</v>
      </c>
      <c r="B3" s="142"/>
      <c r="C3" s="142"/>
      <c r="D3" s="142"/>
    </row>
    <row r="4" spans="1:4" x14ac:dyDescent="0.25">
      <c r="A4" s="109"/>
      <c r="B4" s="109"/>
      <c r="C4" s="109"/>
      <c r="D4" s="109"/>
    </row>
    <row r="5" spans="1:4" ht="30" x14ac:dyDescent="0.25">
      <c r="A5" s="81" t="s">
        <v>79</v>
      </c>
      <c r="B5" s="82" t="s">
        <v>80</v>
      </c>
      <c r="C5" s="82" t="s">
        <v>81</v>
      </c>
      <c r="D5" s="82"/>
    </row>
    <row r="6" spans="1:4" x14ac:dyDescent="0.25">
      <c r="A6" s="109">
        <v>1</v>
      </c>
      <c r="B6" s="80" t="s">
        <v>82</v>
      </c>
      <c r="C6" s="83" t="s">
        <v>86</v>
      </c>
      <c r="D6" s="84">
        <v>4733023.9572393708</v>
      </c>
    </row>
    <row r="7" spans="1:4" x14ac:dyDescent="0.25">
      <c r="A7" s="109">
        <f>+A6+1</f>
        <v>2</v>
      </c>
      <c r="B7" s="80" t="s">
        <v>83</v>
      </c>
      <c r="C7" s="83" t="s">
        <v>87</v>
      </c>
      <c r="D7" s="84">
        <v>11053095531.657831</v>
      </c>
    </row>
    <row r="8" spans="1:4" x14ac:dyDescent="0.25">
      <c r="A8" s="109">
        <f>+A7+1</f>
        <v>3</v>
      </c>
      <c r="B8" s="80" t="s">
        <v>84</v>
      </c>
      <c r="C8" s="80" t="s">
        <v>85</v>
      </c>
      <c r="D8" s="85">
        <f>ROUND(D6/D7,4)</f>
        <v>4.0000000000000002E-4</v>
      </c>
    </row>
    <row r="20" spans="2:2" x14ac:dyDescent="0.25">
      <c r="B20" s="1"/>
    </row>
  </sheetData>
  <mergeCells count="3">
    <mergeCell ref="A1:D1"/>
    <mergeCell ref="A2:D2"/>
    <mergeCell ref="A3:D3"/>
  </mergeCells>
  <printOptions horizontalCentered="1"/>
  <pageMargins left="0.7" right="0.7" top="0.75" bottom="0.75" header="0.3" footer="0.3"/>
  <pageSetup orientation="landscape" r:id="rId1"/>
  <headerFooter>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C11" sqref="C11"/>
      <selection pane="topRight" activeCell="C11" sqref="C11"/>
      <selection pane="bottomLeft" activeCell="C11" sqref="C11"/>
      <selection pane="bottomRight" activeCell="C11" sqref="C11"/>
    </sheetView>
  </sheetViews>
  <sheetFormatPr defaultColWidth="9.140625" defaultRowHeight="12.75" x14ac:dyDescent="0.2"/>
  <cols>
    <col min="1" max="1" width="14.5703125" style="1" customWidth="1"/>
    <col min="2" max="2" width="19.7109375" style="1" customWidth="1"/>
    <col min="3" max="3" width="18.42578125" style="1" customWidth="1"/>
    <col min="4" max="4" width="17.7109375" style="1" customWidth="1"/>
    <col min="5" max="16384" width="9.140625" style="1"/>
  </cols>
  <sheetData>
    <row r="1" spans="1:5" ht="15.75" x14ac:dyDescent="0.25">
      <c r="A1" s="119" t="s">
        <v>91</v>
      </c>
      <c r="B1" s="119"/>
      <c r="C1" s="120"/>
      <c r="D1" s="120"/>
    </row>
    <row r="2" spans="1:5" ht="25.15" customHeight="1" x14ac:dyDescent="0.2">
      <c r="A2" s="121" t="str">
        <f>CONCATENATE("Docket No. UE-190529 + Weighted Cost of Capital = ",('Lvl FCR Sub Equip'!L9*100),"% + 49 Year Substation Plant Life + 35 Year Feeder Plant Life")</f>
        <v>Docket No. UE-190529 + Weighted Cost of Capital = 7.44% + 49 Year Substation Plant Life + 35 Year Feeder Plant Life</v>
      </c>
      <c r="B2" s="121"/>
      <c r="C2" s="121"/>
      <c r="D2" s="121"/>
    </row>
    <row r="3" spans="1:5" x14ac:dyDescent="0.2">
      <c r="A3" s="122" t="s">
        <v>66</v>
      </c>
      <c r="B3" s="123"/>
      <c r="C3" s="123"/>
      <c r="D3" s="123"/>
    </row>
    <row r="4" spans="1:5" x14ac:dyDescent="0.2">
      <c r="A4" s="105"/>
      <c r="B4" s="105"/>
      <c r="C4" s="105"/>
      <c r="D4" s="105"/>
    </row>
    <row r="5" spans="1:5" ht="15" customHeight="1" thickBot="1" x14ac:dyDescent="0.25">
      <c r="B5" s="124" t="s">
        <v>38</v>
      </c>
      <c r="C5" s="124"/>
      <c r="D5" s="124"/>
    </row>
    <row r="6" spans="1:5" ht="39" thickBot="1" x14ac:dyDescent="0.25">
      <c r="A6" s="48" t="s">
        <v>25</v>
      </c>
      <c r="B6" s="49" t="s">
        <v>32</v>
      </c>
      <c r="C6" s="50" t="s">
        <v>30</v>
      </c>
      <c r="D6" s="50" t="s">
        <v>31</v>
      </c>
    </row>
    <row r="7" spans="1:5" x14ac:dyDescent="0.2">
      <c r="A7" s="51">
        <v>0</v>
      </c>
      <c r="B7" s="52">
        <f>+'LvlFCR Land'!G7</f>
        <v>8.9843774957886618E-2</v>
      </c>
      <c r="C7" s="53">
        <f ca="1">+'FCR Rates Feeder'!D5</f>
        <v>8.7953381983049764E-2</v>
      </c>
      <c r="D7" s="54">
        <f>+'FCR Rates Sub'!I5</f>
        <v>9.9002077702581889E-2</v>
      </c>
      <c r="E7" s="55"/>
    </row>
    <row r="8" spans="1:5" x14ac:dyDescent="0.2">
      <c r="A8" s="51">
        <v>1</v>
      </c>
      <c r="B8" s="56"/>
      <c r="C8" s="53">
        <f ca="1">+'FCR Rates Feeder'!D6</f>
        <v>8.7996387384713673E-2</v>
      </c>
      <c r="D8" s="54">
        <f>+'FCR Rates Sub'!I6</f>
        <v>9.8446832411960075E-2</v>
      </c>
      <c r="E8" s="55"/>
    </row>
    <row r="9" spans="1:5" x14ac:dyDescent="0.2">
      <c r="A9" s="51">
        <f t="shared" ref="A9:A56" si="0">A8+1</f>
        <v>2</v>
      </c>
      <c r="B9" s="56"/>
      <c r="C9" s="53">
        <f ca="1">+'FCR Rates Feeder'!D7</f>
        <v>8.820003421020696E-2</v>
      </c>
      <c r="D9" s="54">
        <f>+'FCR Rates Sub'!I7</f>
        <v>9.8092459875134014E-2</v>
      </c>
      <c r="E9" s="55"/>
    </row>
    <row r="10" spans="1:5" x14ac:dyDescent="0.2">
      <c r="A10" s="51">
        <f t="shared" si="0"/>
        <v>3</v>
      </c>
      <c r="B10" s="56"/>
      <c r="C10" s="53">
        <f ca="1">+'FCR Rates Feeder'!D8</f>
        <v>8.8470492641115436E-2</v>
      </c>
      <c r="D10" s="54">
        <f>+'FCR Rates Sub'!I8</f>
        <v>9.7757973428077918E-2</v>
      </c>
      <c r="E10" s="55"/>
    </row>
    <row r="11" spans="1:5" x14ac:dyDescent="0.2">
      <c r="A11" s="51">
        <f t="shared" si="0"/>
        <v>4</v>
      </c>
      <c r="B11" s="56"/>
      <c r="C11" s="53">
        <f ca="1">+'FCR Rates Feeder'!D9</f>
        <v>8.8809432785362935E-2</v>
      </c>
      <c r="D11" s="54">
        <f>+'FCR Rates Sub'!I9</f>
        <v>9.743249049315493E-2</v>
      </c>
      <c r="E11" s="55"/>
    </row>
    <row r="12" spans="1:5" x14ac:dyDescent="0.2">
      <c r="A12" s="51">
        <f t="shared" si="0"/>
        <v>5</v>
      </c>
      <c r="B12" s="56"/>
      <c r="C12" s="53">
        <f ca="1">+'FCR Rates Feeder'!D10</f>
        <v>8.921818585565669E-2</v>
      </c>
      <c r="D12" s="54">
        <f>+'FCR Rates Sub'!I10</f>
        <v>9.7103210225552988E-2</v>
      </c>
      <c r="E12" s="55"/>
    </row>
    <row r="13" spans="1:5" x14ac:dyDescent="0.2">
      <c r="A13" s="51">
        <f t="shared" si="0"/>
        <v>6</v>
      </c>
      <c r="B13" s="56"/>
      <c r="C13" s="53">
        <f ca="1">+'FCR Rates Feeder'!D11</f>
        <v>8.9702867671456105E-2</v>
      </c>
      <c r="D13" s="54">
        <f>+'FCR Rates Sub'!I11</f>
        <v>9.6763629068087387E-2</v>
      </c>
      <c r="E13" s="55"/>
    </row>
    <row r="14" spans="1:5" x14ac:dyDescent="0.2">
      <c r="A14" s="51">
        <f t="shared" si="0"/>
        <v>7</v>
      </c>
      <c r="B14" s="56"/>
      <c r="C14" s="53">
        <f ca="1">+'FCR Rates Feeder'!D12</f>
        <v>9.0266803952689267E-2</v>
      </c>
      <c r="D14" s="54">
        <f>+'FCR Rates Sub'!I12</f>
        <v>9.6400628191884746E-2</v>
      </c>
      <c r="E14" s="55"/>
    </row>
    <row r="15" spans="1:5" x14ac:dyDescent="0.2">
      <c r="A15" s="51">
        <f t="shared" si="0"/>
        <v>8</v>
      </c>
      <c r="B15" s="56"/>
      <c r="C15" s="53">
        <f ca="1">+'FCR Rates Feeder'!D13</f>
        <v>9.0913170913113628E-2</v>
      </c>
      <c r="D15" s="54">
        <f>+'FCR Rates Sub'!I13</f>
        <v>9.5998865112624301E-2</v>
      </c>
      <c r="E15" s="55"/>
    </row>
    <row r="16" spans="1:5" x14ac:dyDescent="0.2">
      <c r="A16" s="51">
        <f t="shared" si="0"/>
        <v>9</v>
      </c>
      <c r="B16" s="56"/>
      <c r="C16" s="53">
        <f ca="1">+'FCR Rates Feeder'!D14</f>
        <v>9.1669208130883237E-2</v>
      </c>
      <c r="D16" s="54">
        <f>+'FCR Rates Sub'!I14</f>
        <v>9.5577013879400874E-2</v>
      </c>
      <c r="E16" s="55"/>
    </row>
    <row r="17" spans="1:5" x14ac:dyDescent="0.2">
      <c r="A17" s="51">
        <f t="shared" si="0"/>
        <v>10</v>
      </c>
      <c r="B17" s="56"/>
      <c r="C17" s="53">
        <f ca="1">+'FCR Rates Feeder'!D15</f>
        <v>9.2552576461089164E-2</v>
      </c>
      <c r="D17" s="54">
        <f>+'FCR Rates Sub'!I15</f>
        <v>9.5133529249601875E-2</v>
      </c>
      <c r="E17" s="55"/>
    </row>
    <row r="18" spans="1:5" x14ac:dyDescent="0.2">
      <c r="A18" s="51">
        <f t="shared" si="0"/>
        <v>11</v>
      </c>
      <c r="B18" s="56"/>
      <c r="C18" s="53">
        <f ca="1">+'FCR Rates Feeder'!D16</f>
        <v>9.3584500804524684E-2</v>
      </c>
      <c r="D18" s="54">
        <f>+'FCR Rates Sub'!I16</f>
        <v>9.4798249504479667E-2</v>
      </c>
      <c r="E18" s="55"/>
    </row>
    <row r="19" spans="1:5" x14ac:dyDescent="0.2">
      <c r="A19" s="51">
        <f t="shared" si="0"/>
        <v>12</v>
      </c>
      <c r="B19" s="56"/>
      <c r="C19" s="53">
        <f ca="1">+'FCR Rates Feeder'!D17</f>
        <v>9.4790684652077628E-2</v>
      </c>
      <c r="D19" s="54">
        <f>+'FCR Rates Sub'!I17</f>
        <v>9.4586412765027009E-2</v>
      </c>
      <c r="E19" s="55"/>
    </row>
    <row r="20" spans="1:5" x14ac:dyDescent="0.2">
      <c r="A20" s="51">
        <f t="shared" si="0"/>
        <v>13</v>
      </c>
      <c r="B20" s="56"/>
      <c r="C20" s="53">
        <f ca="1">+'FCR Rates Feeder'!D18</f>
        <v>9.62025144809594E-2</v>
      </c>
      <c r="D20" s="54">
        <f>+'FCR Rates Sub'!I18</f>
        <v>9.4465708042929794E-2</v>
      </c>
      <c r="E20" s="55"/>
    </row>
    <row r="21" spans="1:5" x14ac:dyDescent="0.2">
      <c r="A21" s="51">
        <f t="shared" si="0"/>
        <v>14</v>
      </c>
      <c r="B21" s="56"/>
      <c r="C21" s="53">
        <f ca="1">+'FCR Rates Feeder'!D19</f>
        <v>9.7858664770979653E-2</v>
      </c>
      <c r="D21" s="54">
        <f>+'FCR Rates Sub'!I19</f>
        <v>9.4451821205450356E-2</v>
      </c>
      <c r="E21" s="55"/>
    </row>
    <row r="22" spans="1:5" x14ac:dyDescent="0.2">
      <c r="A22" s="51">
        <f t="shared" si="0"/>
        <v>15</v>
      </c>
      <c r="B22" s="56"/>
      <c r="C22" s="53">
        <f ca="1">+'FCR Rates Feeder'!D20</f>
        <v>9.9807264656450748E-2</v>
      </c>
      <c r="D22" s="54">
        <f>+'FCR Rates Sub'!I20</f>
        <v>9.4562886614001862E-2</v>
      </c>
      <c r="E22" s="55"/>
    </row>
    <row r="23" spans="1:5" x14ac:dyDescent="0.2">
      <c r="A23" s="51">
        <f t="shared" si="0"/>
        <v>16</v>
      </c>
      <c r="B23" s="56"/>
      <c r="C23" s="53">
        <f ca="1">+'FCR Rates Feeder'!D21</f>
        <v>0.10210886423937909</v>
      </c>
      <c r="D23" s="54">
        <f>+'FCR Rates Sub'!I21</f>
        <v>9.4819904338313582E-2</v>
      </c>
      <c r="E23" s="55"/>
    </row>
    <row r="24" spans="1:5" x14ac:dyDescent="0.2">
      <c r="A24" s="51">
        <f t="shared" si="0"/>
        <v>17</v>
      </c>
      <c r="B24" s="56"/>
      <c r="C24" s="53">
        <f ca="1">+'FCR Rates Feeder'!D22</f>
        <v>0.10484055896711252</v>
      </c>
      <c r="D24" s="54">
        <f>+'FCR Rates Sub'!I22</f>
        <v>9.5247239145265117E-2</v>
      </c>
      <c r="E24" s="55"/>
    </row>
    <row r="25" spans="1:5" x14ac:dyDescent="0.2">
      <c r="A25" s="51">
        <f t="shared" si="0"/>
        <v>18</v>
      </c>
      <c r="B25" s="56"/>
      <c r="C25" s="53">
        <f ca="1">+'FCR Rates Feeder'!D23</f>
        <v>0.10810182276134821</v>
      </c>
      <c r="D25" s="54">
        <f>+'FCR Rates Sub'!I23</f>
        <v>9.5873220000046402E-2</v>
      </c>
      <c r="E25" s="55"/>
    </row>
    <row r="26" spans="1:5" x14ac:dyDescent="0.2">
      <c r="A26" s="51">
        <f t="shared" si="0"/>
        <v>19</v>
      </c>
      <c r="B26" s="56"/>
      <c r="C26" s="53">
        <f ca="1">+'FCR Rates Feeder'!D24</f>
        <v>0.11202291514680296</v>
      </c>
      <c r="D26" s="54">
        <f>+'FCR Rates Sub'!I24</f>
        <v>9.6730863834955105E-2</v>
      </c>
      <c r="E26" s="55"/>
    </row>
    <row r="27" spans="1:5" x14ac:dyDescent="0.2">
      <c r="A27" s="51">
        <f t="shared" si="0"/>
        <v>20</v>
      </c>
      <c r="B27" s="56"/>
      <c r="C27" s="53">
        <f ca="1">+'FCR Rates Feeder'!D25</f>
        <v>0.11677725602492572</v>
      </c>
      <c r="D27" s="54">
        <f>+'FCR Rates Sub'!I25</f>
        <v>9.7858753917606234E-2</v>
      </c>
      <c r="E27" s="55"/>
    </row>
    <row r="28" spans="1:5" x14ac:dyDescent="0.2">
      <c r="A28" s="51">
        <f t="shared" si="0"/>
        <v>21</v>
      </c>
      <c r="B28" s="56"/>
      <c r="C28" s="53">
        <f ca="1">+'FCR Rates Feeder'!D26</f>
        <v>0.12217776229028159</v>
      </c>
      <c r="D28" s="54">
        <f>+'FCR Rates Sub'!I26</f>
        <v>9.893621066574125E-2</v>
      </c>
      <c r="E28" s="55"/>
    </row>
    <row r="29" spans="1:5" x14ac:dyDescent="0.2">
      <c r="A29" s="51">
        <f t="shared" si="0"/>
        <v>22</v>
      </c>
      <c r="B29" s="56"/>
      <c r="C29" s="53">
        <f ca="1">+'FCR Rates Feeder'!D27</f>
        <v>0.12836887023422452</v>
      </c>
      <c r="D29" s="54">
        <f>+'FCR Rates Sub'!I27</f>
        <v>9.9957597305030926E-2</v>
      </c>
      <c r="E29" s="55"/>
    </row>
    <row r="30" spans="1:5" x14ac:dyDescent="0.2">
      <c r="A30" s="51">
        <f t="shared" si="0"/>
        <v>23</v>
      </c>
      <c r="B30" s="56"/>
      <c r="C30" s="53">
        <f ca="1">+'FCR Rates Feeder'!D28</f>
        <v>0.13573426318790757</v>
      </c>
      <c r="D30" s="54">
        <f>+'FCR Rates Sub'!I28</f>
        <v>0.10105755214734287</v>
      </c>
      <c r="E30" s="55"/>
    </row>
    <row r="31" spans="1:5" x14ac:dyDescent="0.2">
      <c r="A31" s="51">
        <f t="shared" si="0"/>
        <v>24</v>
      </c>
      <c r="B31" s="56"/>
      <c r="C31" s="53">
        <f ca="1">+'FCR Rates Feeder'!D29</f>
        <v>0.14461816056746063</v>
      </c>
      <c r="D31" s="54">
        <f>+'FCR Rates Sub'!I29</f>
        <v>0.1022455033770398</v>
      </c>
      <c r="E31" s="55"/>
    </row>
    <row r="32" spans="1:5" x14ac:dyDescent="0.2">
      <c r="A32" s="51">
        <f t="shared" si="0"/>
        <v>25</v>
      </c>
      <c r="B32" s="56"/>
      <c r="C32" s="53">
        <f ca="1">+'FCR Rates Feeder'!D30</f>
        <v>0.1555125390833681</v>
      </c>
      <c r="D32" s="54">
        <f>+'FCR Rates Sub'!I30</f>
        <v>0.1035324505425448</v>
      </c>
      <c r="E32" s="55"/>
    </row>
    <row r="33" spans="1:5" x14ac:dyDescent="0.2">
      <c r="A33" s="51">
        <f t="shared" si="0"/>
        <v>26</v>
      </c>
      <c r="B33" s="56"/>
      <c r="C33" s="53">
        <f ca="1">+'FCR Rates Feeder'!D31</f>
        <v>0.1691454730162654</v>
      </c>
      <c r="D33" s="54">
        <f>+'FCR Rates Sub'!I31</f>
        <v>0.10493130615722417</v>
      </c>
      <c r="E33" s="55"/>
    </row>
    <row r="34" spans="1:5" x14ac:dyDescent="0.2">
      <c r="A34" s="51">
        <f t="shared" si="0"/>
        <v>27</v>
      </c>
      <c r="B34" s="56"/>
      <c r="C34" s="53">
        <f ca="1">+'FCR Rates Feeder'!D32</f>
        <v>0.1866410088229013</v>
      </c>
      <c r="D34" s="54">
        <f>+'FCR Rates Sub'!I32</f>
        <v>0.1064573304641471</v>
      </c>
      <c r="E34" s="55"/>
    </row>
    <row r="35" spans="1:5" x14ac:dyDescent="0.2">
      <c r="A35" s="51">
        <f t="shared" si="0"/>
        <v>28</v>
      </c>
      <c r="B35" s="56"/>
      <c r="C35" s="53">
        <f ca="1">+'FCR Rates Feeder'!D33</f>
        <v>0.20982814143602171</v>
      </c>
      <c r="D35" s="54">
        <f>+'FCR Rates Sub'!I33</f>
        <v>0.10812869041934844</v>
      </c>
      <c r="E35" s="55"/>
    </row>
    <row r="36" spans="1:5" x14ac:dyDescent="0.2">
      <c r="A36" s="51">
        <f t="shared" si="0"/>
        <v>29</v>
      </c>
      <c r="B36" s="56"/>
      <c r="C36" s="53">
        <f ca="1">+'FCR Rates Feeder'!D34</f>
        <v>0.24188926744668651</v>
      </c>
      <c r="D36" s="54">
        <f>+'FCR Rates Sub'!I34</f>
        <v>0.10996718637006984</v>
      </c>
      <c r="E36" s="55"/>
    </row>
    <row r="37" spans="1:5" x14ac:dyDescent="0.2">
      <c r="A37" s="51">
        <f t="shared" si="0"/>
        <v>30</v>
      </c>
      <c r="B37" s="56"/>
      <c r="C37" s="53">
        <f ca="1">+'FCR Rates Feeder'!D35</f>
        <v>0.28887462316434098</v>
      </c>
      <c r="D37" s="54">
        <f>+'FCR Rates Sub'!I35</f>
        <v>0.1119992082103409</v>
      </c>
      <c r="E37" s="55"/>
    </row>
    <row r="38" spans="1:5" x14ac:dyDescent="0.2">
      <c r="A38" s="51">
        <f t="shared" si="0"/>
        <v>31</v>
      </c>
      <c r="B38" s="56"/>
      <c r="C38" s="53">
        <f ca="1">+'FCR Rates Feeder'!D36</f>
        <v>0.36379033234991331</v>
      </c>
      <c r="D38" s="54">
        <f>+'FCR Rates Sub'!I36</f>
        <v>0.11425701025508651</v>
      </c>
      <c r="E38" s="55"/>
    </row>
    <row r="39" spans="1:5" x14ac:dyDescent="0.2">
      <c r="A39" s="51">
        <f t="shared" si="0"/>
        <v>32</v>
      </c>
      <c r="B39" s="56"/>
      <c r="C39" s="53">
        <f ca="1">+'FCR Rates Feeder'!D37</f>
        <v>0.50020455886877979</v>
      </c>
      <c r="D39" s="54">
        <f>+'FCR Rates Sub'!I37</f>
        <v>0.11678043606980218</v>
      </c>
      <c r="E39" s="55"/>
    </row>
    <row r="40" spans="1:5" x14ac:dyDescent="0.2">
      <c r="A40" s="51">
        <f t="shared" si="0"/>
        <v>33</v>
      </c>
      <c r="B40" s="56"/>
      <c r="C40" s="53">
        <f ca="1">+'FCR Rates Feeder'!D38</f>
        <v>0.8157306762643638</v>
      </c>
      <c r="D40" s="54">
        <f>+'FCR Rates Sub'!I38</f>
        <v>0.11961929011135733</v>
      </c>
      <c r="E40" s="55"/>
    </row>
    <row r="41" spans="1:5" x14ac:dyDescent="0.2">
      <c r="A41" s="51">
        <f t="shared" si="0"/>
        <v>34</v>
      </c>
      <c r="B41" s="56"/>
      <c r="C41" s="53">
        <f ca="1">+'FCR Rates Feeder'!D39</f>
        <v>2.1013463777551737</v>
      </c>
      <c r="D41" s="54">
        <f>+'FCR Rates Sub'!I39</f>
        <v>0.12283665802511984</v>
      </c>
      <c r="E41" s="55"/>
    </row>
    <row r="42" spans="1:5" x14ac:dyDescent="0.2">
      <c r="A42" s="51">
        <f t="shared" si="0"/>
        <v>35</v>
      </c>
      <c r="B42" s="56"/>
      <c r="C42" s="53"/>
      <c r="D42" s="54">
        <f>+'FCR Rates Sub'!I40</f>
        <v>0.12651364992656272</v>
      </c>
      <c r="E42" s="55"/>
    </row>
    <row r="43" spans="1:5" x14ac:dyDescent="0.2">
      <c r="A43" s="51">
        <f t="shared" si="0"/>
        <v>36</v>
      </c>
      <c r="B43" s="56"/>
      <c r="C43" s="53"/>
      <c r="D43" s="54">
        <f>+'FCR Rates Sub'!I41</f>
        <v>0.12346678589961285</v>
      </c>
      <c r="E43" s="55"/>
    </row>
    <row r="44" spans="1:5" x14ac:dyDescent="0.2">
      <c r="A44" s="51">
        <f t="shared" si="0"/>
        <v>37</v>
      </c>
      <c r="B44" s="56"/>
      <c r="C44" s="53"/>
      <c r="D44" s="54">
        <f>+'FCR Rates Sub'!I42</f>
        <v>0.11974610812463767</v>
      </c>
      <c r="E44" s="55"/>
    </row>
    <row r="45" spans="1:5" x14ac:dyDescent="0.2">
      <c r="A45" s="51">
        <f t="shared" si="0"/>
        <v>38</v>
      </c>
      <c r="B45" s="56"/>
      <c r="C45" s="53"/>
      <c r="D45" s="54">
        <f>+'FCR Rates Sub'!I43</f>
        <v>0.11515437580244607</v>
      </c>
      <c r="E45" s="55"/>
    </row>
    <row r="46" spans="1:5" x14ac:dyDescent="0.2">
      <c r="A46" s="51">
        <f t="shared" si="0"/>
        <v>39</v>
      </c>
      <c r="B46" s="56"/>
      <c r="C46" s="53"/>
      <c r="D46" s="54">
        <f>+'FCR Rates Sub'!I44</f>
        <v>0.12116716391031682</v>
      </c>
      <c r="E46" s="55"/>
    </row>
    <row r="47" spans="1:5" x14ac:dyDescent="0.2">
      <c r="A47" s="51">
        <f t="shared" si="0"/>
        <v>40</v>
      </c>
      <c r="B47" s="56"/>
      <c r="C47" s="53"/>
      <c r="D47" s="54">
        <f>+'FCR Rates Sub'!I45</f>
        <v>0.12851612715326999</v>
      </c>
      <c r="E47" s="55"/>
    </row>
    <row r="48" spans="1:5" x14ac:dyDescent="0.2">
      <c r="A48" s="51">
        <f t="shared" si="0"/>
        <v>41</v>
      </c>
      <c r="B48" s="56"/>
      <c r="C48" s="53"/>
      <c r="D48" s="54">
        <f>+'FCR Rates Sub'!I46</f>
        <v>0.1377023312069614</v>
      </c>
      <c r="E48" s="55"/>
    </row>
    <row r="49" spans="1:5" x14ac:dyDescent="0.2">
      <c r="A49" s="51">
        <f t="shared" si="0"/>
        <v>42</v>
      </c>
      <c r="B49" s="56"/>
      <c r="C49" s="53"/>
      <c r="D49" s="54">
        <f>+'FCR Rates Sub'!I47</f>
        <v>0.14951316499027895</v>
      </c>
      <c r="E49" s="55"/>
    </row>
    <row r="50" spans="1:5" x14ac:dyDescent="0.2">
      <c r="A50" s="51">
        <f t="shared" si="0"/>
        <v>43</v>
      </c>
      <c r="B50" s="56"/>
      <c r="C50" s="53"/>
      <c r="D50" s="54">
        <f>+'FCR Rates Sub'!I48</f>
        <v>0.14985527497524301</v>
      </c>
      <c r="E50" s="55"/>
    </row>
    <row r="51" spans="1:5" x14ac:dyDescent="0.2">
      <c r="A51" s="51">
        <f t="shared" si="0"/>
        <v>44</v>
      </c>
      <c r="B51" s="56"/>
      <c r="C51" s="53"/>
      <c r="D51" s="54">
        <f>+'FCR Rates Sub'!I49</f>
        <v>0.15021351774239453</v>
      </c>
      <c r="E51" s="55"/>
    </row>
    <row r="52" spans="1:5" x14ac:dyDescent="0.2">
      <c r="A52" s="51">
        <f t="shared" si="0"/>
        <v>45</v>
      </c>
      <c r="B52" s="56"/>
      <c r="C52" s="53"/>
      <c r="D52" s="54">
        <f>+'FCR Rates Sub'!I50</f>
        <v>0.15058876673567687</v>
      </c>
      <c r="E52" s="55"/>
    </row>
    <row r="53" spans="1:5" x14ac:dyDescent="0.2">
      <c r="A53" s="51">
        <f t="shared" si="0"/>
        <v>46</v>
      </c>
      <c r="B53" s="56"/>
      <c r="C53" s="53"/>
      <c r="D53" s="54">
        <f>+'FCR Rates Sub'!I51</f>
        <v>0.15098194635760234</v>
      </c>
      <c r="E53" s="55"/>
    </row>
    <row r="54" spans="1:5" x14ac:dyDescent="0.2">
      <c r="A54" s="51">
        <f t="shared" si="0"/>
        <v>47</v>
      </c>
      <c r="B54" s="56"/>
      <c r="C54" s="53"/>
      <c r="D54" s="54">
        <f>+'FCR Rates Sub'!I52</f>
        <v>0.15139403508419205</v>
      </c>
      <c r="E54" s="55"/>
    </row>
    <row r="55" spans="1:5" x14ac:dyDescent="0.2">
      <c r="A55" s="51">
        <f t="shared" si="0"/>
        <v>48</v>
      </c>
      <c r="B55" s="56"/>
      <c r="C55" s="53"/>
      <c r="D55" s="54">
        <f>+'FCR Rates Sub'!I53</f>
        <v>0.15182606877647023</v>
      </c>
      <c r="E55" s="55"/>
    </row>
    <row r="56" spans="1:5" x14ac:dyDescent="0.2">
      <c r="A56" s="51">
        <f t="shared" si="0"/>
        <v>49</v>
      </c>
      <c r="B56" s="56"/>
      <c r="C56" s="53"/>
      <c r="D56" s="54"/>
      <c r="E56" s="55"/>
    </row>
    <row r="57" spans="1:5" ht="13.5" thickBot="1" x14ac:dyDescent="0.25">
      <c r="A57" s="51"/>
      <c r="B57" s="57"/>
      <c r="C57" s="58"/>
      <c r="D57" s="59"/>
      <c r="E57" s="55"/>
    </row>
  </sheetData>
  <mergeCells count="4">
    <mergeCell ref="A1:D1"/>
    <mergeCell ref="A2:D2"/>
    <mergeCell ref="A3:D3"/>
    <mergeCell ref="B5:D5"/>
  </mergeCells>
  <printOptions horizontalCentered="1"/>
  <pageMargins left="0.25" right="0.25" top="0.75" bottom="0.75" header="0.3" footer="0.3"/>
  <pageSetup scale="62" orientation="landscape" r:id="rId1"/>
  <headerFooter alignWithMargins="0">
    <oddFooter>&amp;L&amp;"Arial,Regular"&amp;8&amp;F
&amp;A&amp;R&amp;"Arial,Regular"Page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5" activePane="bottomRight" state="frozen"/>
      <selection activeCell="C11" sqref="C11"/>
      <selection pane="topRight" activeCell="C11" sqref="C11"/>
      <selection pane="bottomLeft" activeCell="C11" sqref="C11"/>
      <selection pane="bottomRight" activeCell="C11" sqref="C11"/>
    </sheetView>
  </sheetViews>
  <sheetFormatPr defaultColWidth="9.140625" defaultRowHeight="12.75" x14ac:dyDescent="0.2"/>
  <cols>
    <col min="1" max="2" width="17.28515625" style="1" customWidth="1"/>
    <col min="3" max="3" width="14" style="1" customWidth="1"/>
    <col min="4" max="4" width="17.28515625" style="1" customWidth="1"/>
    <col min="5" max="16384" width="9.140625" style="1"/>
  </cols>
  <sheetData>
    <row r="1" spans="1:5" ht="15.75" x14ac:dyDescent="0.25">
      <c r="A1" s="119" t="s">
        <v>90</v>
      </c>
      <c r="B1" s="120"/>
      <c r="C1" s="120"/>
      <c r="D1" s="120"/>
    </row>
    <row r="2" spans="1:5" ht="26.45" customHeight="1" x14ac:dyDescent="0.2">
      <c r="A2" s="121" t="str">
        <f>CONCATENATE("Docket No. UE-190529 + Weighted Cost of Capital = ",('Lvl FCR Sub Equip'!L9*100),"% + 35 Year Feeder Plant Life")</f>
        <v>Docket No. UE-190529 + Weighted Cost of Capital = 7.44% + 35 Year Feeder Plant Life</v>
      </c>
      <c r="B2" s="121"/>
      <c r="C2" s="121"/>
      <c r="D2" s="121"/>
    </row>
    <row r="3" spans="1:5" ht="13.5" thickBot="1" x14ac:dyDescent="0.25"/>
    <row r="4" spans="1:5" ht="26.25" thickBot="1" x14ac:dyDescent="0.25">
      <c r="A4" s="78" t="s">
        <v>55</v>
      </c>
      <c r="B4" s="48" t="s">
        <v>10</v>
      </c>
      <c r="C4" s="48" t="s">
        <v>9</v>
      </c>
      <c r="D4" s="79" t="s">
        <v>35</v>
      </c>
    </row>
    <row r="5" spans="1:5" x14ac:dyDescent="0.2">
      <c r="A5" s="51">
        <v>0</v>
      </c>
      <c r="B5" s="74">
        <f ca="1">NPV('Lvl FCR Feeder'!$L$9,OFFSET('Lvl FCR Feeder'!$L$17,A5,0,1,1):'Lvl FCR Feeder'!L$52)</f>
        <v>108625.78474817576</v>
      </c>
      <c r="C5" s="74">
        <f ca="1">-PMT('Lvl FCR Feeder'!$L$9,'Lvl FCR Feeder'!$H$12-A5,B5)</f>
        <v>8795.3381983049767</v>
      </c>
      <c r="D5" s="54">
        <f ca="1">C5/('Lvl FCR Feeder'!$D$12*('Lvl FCR Feeder'!$H$12-A5)/'Lvl FCR Feeder'!$H$12)</f>
        <v>8.7953381983049764E-2</v>
      </c>
      <c r="E5" s="55"/>
    </row>
    <row r="6" spans="1:5" x14ac:dyDescent="0.2">
      <c r="A6" s="51">
        <v>1</v>
      </c>
      <c r="B6" s="74">
        <f ca="1">NPV('Lvl FCR Feeder'!$L$9,OFFSET('Lvl FCR Feeder'!$L$17,A6,0,1,1):'Lvl FCR Feeder'!L$52)</f>
        <v>104880.25592875578</v>
      </c>
      <c r="C6" s="74">
        <f ca="1">-PMT('Lvl FCR Feeder'!$L$9,'Lvl FCR Feeder'!$H$12-A6,B6)</f>
        <v>8548.2204888007564</v>
      </c>
      <c r="D6" s="54">
        <f ca="1">C6/('Lvl FCR Feeder'!$D$12*('Lvl FCR Feeder'!$H$12-A6)/'Lvl FCR Feeder'!$H$12)</f>
        <v>8.7996387384713673E-2</v>
      </c>
      <c r="E6" s="55"/>
    </row>
    <row r="7" spans="1:5" x14ac:dyDescent="0.2">
      <c r="A7" s="51">
        <f t="shared" ref="A7:A40" si="0">A6+1</f>
        <v>2</v>
      </c>
      <c r="B7" s="74">
        <f ca="1">NPV('Lvl FCR Feeder'!$L$9,OFFSET('Lvl FCR Feeder'!$L$17,A7,0,1,1):'Lvl FCR Feeder'!L$52)</f>
        <v>101306.23664216103</v>
      </c>
      <c r="C7" s="74">
        <f ca="1">-PMT('Lvl FCR Feeder'!$L$9,'Lvl FCR Feeder'!$H$12-A7,B7)</f>
        <v>8316.0032255337992</v>
      </c>
      <c r="D7" s="54">
        <f ca="1">C7/('Lvl FCR Feeder'!$D$12*('Lvl FCR Feeder'!$H$12-A7)/'Lvl FCR Feeder'!$H$12)</f>
        <v>8.820003421020696E-2</v>
      </c>
      <c r="E7" s="55"/>
    </row>
    <row r="8" spans="1:5" x14ac:dyDescent="0.2">
      <c r="A8" s="51">
        <f t="shared" si="0"/>
        <v>3</v>
      </c>
      <c r="B8" s="74">
        <f ca="1">NPV('Lvl FCR Feeder'!$L$9,OFFSET('Lvl FCR Feeder'!$L$17,A8,0,1,1):'Lvl FCR Feeder'!L$52)</f>
        <v>97780.0502299199</v>
      </c>
      <c r="C8" s="74">
        <f ca="1">-PMT('Lvl FCR Feeder'!$L$9,'Lvl FCR Feeder'!$H$12-A8,B8)</f>
        <v>8088.7307557591257</v>
      </c>
      <c r="D8" s="54">
        <f ca="1">C8/('Lvl FCR Feeder'!$D$12*('Lvl FCR Feeder'!$H$12-A8)/'Lvl FCR Feeder'!$H$12)</f>
        <v>8.8470492641115436E-2</v>
      </c>
      <c r="E8" s="55"/>
    </row>
    <row r="9" spans="1:5" x14ac:dyDescent="0.2">
      <c r="A9" s="51">
        <f t="shared" si="0"/>
        <v>4</v>
      </c>
      <c r="B9" s="74">
        <f ca="1">NPV('Lvl FCR Feeder'!$L$9,OFFSET('Lvl FCR Feeder'!$L$17,A9,0,1,1):'Lvl FCR Feeder'!L$52)</f>
        <v>94295.841820007452</v>
      </c>
      <c r="C9" s="74">
        <f ca="1">-PMT('Lvl FCR Feeder'!$L$9,'Lvl FCR Feeder'!$H$12-A9,B9)</f>
        <v>7865.9783324178597</v>
      </c>
      <c r="D9" s="54">
        <f ca="1">C9/('Lvl FCR Feeder'!$D$12*('Lvl FCR Feeder'!$H$12-A9)/'Lvl FCR Feeder'!$H$12)</f>
        <v>8.8809432785362935E-2</v>
      </c>
      <c r="E9" s="55"/>
    </row>
    <row r="10" spans="1:5" x14ac:dyDescent="0.2">
      <c r="A10" s="51">
        <f t="shared" si="0"/>
        <v>5</v>
      </c>
      <c r="B10" s="74">
        <f ca="1">NPV('Lvl FCR Feeder'!$L$9,OFFSET('Lvl FCR Feeder'!$L$17,A10,0,1,1):'Lvl FCR Feeder'!L$52)</f>
        <v>90847.320937920187</v>
      </c>
      <c r="C10" s="74">
        <f ca="1">-PMT('Lvl FCR Feeder'!$L$9,'Lvl FCR Feeder'!$H$12-A10,B10)</f>
        <v>7647.2730733420021</v>
      </c>
      <c r="D10" s="54">
        <f ca="1">C10/('Lvl FCR Feeder'!$D$12*('Lvl FCR Feeder'!$H$12-A10)/'Lvl FCR Feeder'!$H$12)</f>
        <v>8.921818585565669E-2</v>
      </c>
      <c r="E10" s="55"/>
    </row>
    <row r="11" spans="1:5" x14ac:dyDescent="0.2">
      <c r="A11" s="51">
        <f t="shared" si="0"/>
        <v>6</v>
      </c>
      <c r="B11" s="74">
        <f ca="1">NPV('Lvl FCR Feeder'!$L$9,OFFSET('Lvl FCR Feeder'!$L$17,A11,0,1,1):'Lvl FCR Feeder'!L$52)</f>
        <v>87432.868833884218</v>
      </c>
      <c r="C11" s="74">
        <f ca="1">-PMT('Lvl FCR Feeder'!$L$9,'Lvl FCR Feeder'!$H$12-A11,B11)</f>
        <v>7432.5233213492202</v>
      </c>
      <c r="D11" s="54">
        <f ca="1">C11/('Lvl FCR Feeder'!$D$12*('Lvl FCR Feeder'!$H$12-A11)/'Lvl FCR Feeder'!$H$12)</f>
        <v>8.9702867671456105E-2</v>
      </c>
      <c r="E11" s="55"/>
    </row>
    <row r="12" spans="1:5" x14ac:dyDescent="0.2">
      <c r="A12" s="51">
        <f t="shared" si="0"/>
        <v>7</v>
      </c>
      <c r="B12" s="74">
        <f ca="1">NPV('Lvl FCR Feeder'!$L$9,OFFSET('Lvl FCR Feeder'!$L$17,A12,0,1,1):'Lvl FCR Feeder'!L$52)</f>
        <v>84047.489314685081</v>
      </c>
      <c r="C12" s="74">
        <f ca="1">-PMT('Lvl FCR Feeder'!$L$9,'Lvl FCR Feeder'!$H$12-A12,B12)</f>
        <v>7221.3443162151416</v>
      </c>
      <c r="D12" s="54">
        <f ca="1">C12/('Lvl FCR Feeder'!$D$12*('Lvl FCR Feeder'!$H$12-A12)/'Lvl FCR Feeder'!$H$12)</f>
        <v>9.0266803952689267E-2</v>
      </c>
      <c r="E12" s="55"/>
    </row>
    <row r="13" spans="1:5" x14ac:dyDescent="0.2">
      <c r="A13" s="51">
        <f t="shared" si="0"/>
        <v>8</v>
      </c>
      <c r="B13" s="74">
        <f ca="1">NPV('Lvl FCR Feeder'!$L$9,OFFSET('Lvl FCR Feeder'!$L$17,A13,0,1,1):'Lvl FCR Feeder'!L$52)</f>
        <v>80685.814470333265</v>
      </c>
      <c r="C13" s="74">
        <f ca="1">-PMT('Lvl FCR Feeder'!$L$9,'Lvl FCR Feeder'!$H$12-A13,B13)</f>
        <v>7013.3017561544802</v>
      </c>
      <c r="D13" s="54">
        <f ca="1">C13/('Lvl FCR Feeder'!$D$12*('Lvl FCR Feeder'!$H$12-A13)/'Lvl FCR Feeder'!$H$12)</f>
        <v>9.0913170913113628E-2</v>
      </c>
      <c r="E13" s="55"/>
    </row>
    <row r="14" spans="1:5" x14ac:dyDescent="0.2">
      <c r="A14" s="51">
        <f t="shared" si="0"/>
        <v>9</v>
      </c>
      <c r="B14" s="74">
        <f ca="1">NPV('Lvl FCR Feeder'!$L$9,OFFSET('Lvl FCR Feeder'!$L$17,A14,0,1,1):'Lvl FCR Feeder'!L$52)</f>
        <v>77362.635962466826</v>
      </c>
      <c r="C14" s="74">
        <f ca="1">-PMT('Lvl FCR Feeder'!$L$9,'Lvl FCR Feeder'!$H$12-A14,B14)</f>
        <v>6809.7126040084695</v>
      </c>
      <c r="D14" s="54">
        <f ca="1">C14/('Lvl FCR Feeder'!$D$12*('Lvl FCR Feeder'!$H$12-A14)/'Lvl FCR Feeder'!$H$12)</f>
        <v>9.1669208130883237E-2</v>
      </c>
      <c r="E14" s="55"/>
    </row>
    <row r="15" spans="1:5" x14ac:dyDescent="0.2">
      <c r="A15" s="51">
        <f t="shared" si="0"/>
        <v>10</v>
      </c>
      <c r="B15" s="74">
        <f ca="1">NPV('Lvl FCR Feeder'!$L$9,OFFSET('Lvl FCR Feeder'!$L$17,A15,0,1,1):'Lvl FCR Feeder'!L$52)</f>
        <v>74080.817918520348</v>
      </c>
      <c r="C15" s="74">
        <f ca="1">-PMT('Lvl FCR Feeder'!$L$9,'Lvl FCR Feeder'!$H$12-A15,B15)</f>
        <v>6610.8983186492269</v>
      </c>
      <c r="D15" s="54">
        <f ca="1">C15/('Lvl FCR Feeder'!$D$12*('Lvl FCR Feeder'!$H$12-A15)/'Lvl FCR Feeder'!$H$12)</f>
        <v>9.2552576461089164E-2</v>
      </c>
      <c r="E15" s="55"/>
    </row>
    <row r="16" spans="1:5" x14ac:dyDescent="0.2">
      <c r="A16" s="51">
        <f t="shared" si="0"/>
        <v>11</v>
      </c>
      <c r="B16" s="74">
        <f ca="1">NPV('Lvl FCR Feeder'!$L$9,OFFSET('Lvl FCR Feeder'!$L$17,A16,0,1,1):'Lvl FCR Feeder'!L$52)</f>
        <v>70843.437557009369</v>
      </c>
      <c r="C16" s="74">
        <f ca="1">-PMT('Lvl FCR Feeder'!$L$9,'Lvl FCR Feeder'!$H$12-A16,B16)</f>
        <v>6417.2229123102634</v>
      </c>
      <c r="D16" s="54">
        <f ca="1">C16/('Lvl FCR Feeder'!$D$12*('Lvl FCR Feeder'!$H$12-A16)/'Lvl FCR Feeder'!$H$12)</f>
        <v>9.3584500804524684E-2</v>
      </c>
      <c r="E16" s="55"/>
    </row>
    <row r="17" spans="1:5" x14ac:dyDescent="0.2">
      <c r="A17" s="51">
        <f t="shared" si="0"/>
        <v>12</v>
      </c>
      <c r="B17" s="74">
        <f ca="1">NPV('Lvl FCR Feeder'!$L$9,OFFSET('Lvl FCR Feeder'!$L$17,A17,0,1,1):'Lvl FCR Feeder'!L$52)</f>
        <v>67653.801041507133</v>
      </c>
      <c r="C17" s="74">
        <f ca="1">-PMT('Lvl FCR Feeder'!$L$9,'Lvl FCR Feeder'!$H$12-A17,B17)</f>
        <v>6229.1021342793865</v>
      </c>
      <c r="D17" s="54">
        <f ca="1">C17/('Lvl FCR Feeder'!$D$12*('Lvl FCR Feeder'!$H$12-A17)/'Lvl FCR Feeder'!$H$12)</f>
        <v>9.4790684652077628E-2</v>
      </c>
      <c r="E17" s="55"/>
    </row>
    <row r="18" spans="1:5" x14ac:dyDescent="0.2">
      <c r="A18" s="51">
        <f t="shared" si="0"/>
        <v>13</v>
      </c>
      <c r="B18" s="74">
        <f ca="1">NPV('Lvl FCR Feeder'!$L$9,OFFSET('Lvl FCR Feeder'!$L$17,A18,0,1,1):'Lvl FCR Feeder'!L$52)</f>
        <v>64515.460514156672</v>
      </c>
      <c r="C18" s="74">
        <f ca="1">-PMT('Lvl FCR Feeder'!$L$9,'Lvl FCR Feeder'!$H$12-A18,B18)</f>
        <v>6047.015195946019</v>
      </c>
      <c r="D18" s="54">
        <f ca="1">C18/('Lvl FCR Feeder'!$D$12*('Lvl FCR Feeder'!$H$12-A18)/'Lvl FCR Feeder'!$H$12)</f>
        <v>9.62025144809594E-2</v>
      </c>
      <c r="E18" s="55"/>
    </row>
    <row r="19" spans="1:5" x14ac:dyDescent="0.2">
      <c r="A19" s="51">
        <f t="shared" si="0"/>
        <v>14</v>
      </c>
      <c r="B19" s="74">
        <f ca="1">NPV('Lvl FCR Feeder'!$L$9,OFFSET('Lvl FCR Feeder'!$L$17,A19,0,1,1):'Lvl FCR Feeder'!L$52)</f>
        <v>61432.232396476524</v>
      </c>
      <c r="C19" s="74">
        <f ca="1">-PMT('Lvl FCR Feeder'!$L$9,'Lvl FCR Feeder'!$H$12-A19,B19)</f>
        <v>5871.5198862587795</v>
      </c>
      <c r="D19" s="54">
        <f ca="1">C19/('Lvl FCR Feeder'!$D$12*('Lvl FCR Feeder'!$H$12-A19)/'Lvl FCR Feeder'!$H$12)</f>
        <v>9.7858664770979653E-2</v>
      </c>
      <c r="E19" s="55"/>
    </row>
    <row r="20" spans="1:5" x14ac:dyDescent="0.2">
      <c r="A20" s="51">
        <f t="shared" si="0"/>
        <v>15</v>
      </c>
      <c r="B20" s="74">
        <f ca="1">NPV('Lvl FCR Feeder'!$L$9,OFFSET('Lvl FCR Feeder'!$L$17,A20,0,1,1):'Lvl FCR Feeder'!L$52)</f>
        <v>58408.217051746164</v>
      </c>
      <c r="C20" s="74">
        <f ca="1">-PMT('Lvl FCR Feeder'!$L$9,'Lvl FCR Feeder'!$H$12-A20,B20)</f>
        <v>5703.2722660829004</v>
      </c>
      <c r="D20" s="54">
        <f ca="1">C20/('Lvl FCR Feeder'!$D$12*('Lvl FCR Feeder'!$H$12-A20)/'Lvl FCR Feeder'!$H$12)</f>
        <v>9.9807264656450748E-2</v>
      </c>
      <c r="E20" s="55"/>
    </row>
    <row r="21" spans="1:5" x14ac:dyDescent="0.2">
      <c r="A21" s="51">
        <f t="shared" si="0"/>
        <v>16</v>
      </c>
      <c r="B21" s="74">
        <f ca="1">NPV('Lvl FCR Feeder'!$L$9,OFFSET('Lvl FCR Feeder'!$L$17,A21,0,1,1):'Lvl FCR Feeder'!L$52)</f>
        <v>55447.819910272985</v>
      </c>
      <c r="C21" s="74">
        <f ca="1">-PMT('Lvl FCR Feeder'!$L$9,'Lvl FCR Feeder'!$H$12-A21,B21)</f>
        <v>5543.0526301377222</v>
      </c>
      <c r="D21" s="54">
        <f ca="1">C21/('Lvl FCR Feeder'!$D$12*('Lvl FCR Feeder'!$H$12-A21)/'Lvl FCR Feeder'!$H$12)</f>
        <v>0.10210886423937909</v>
      </c>
      <c r="E21" s="55"/>
    </row>
    <row r="22" spans="1:5" x14ac:dyDescent="0.2">
      <c r="A22" s="51">
        <f t="shared" si="0"/>
        <v>17</v>
      </c>
      <c r="B22" s="74">
        <f ca="1">NPV('Lvl FCR Feeder'!$L$9,OFFSET('Lvl FCR Feeder'!$L$17,A22,0,1,1):'Lvl FCR Feeder'!L$52)</f>
        <v>52555.774166379357</v>
      </c>
      <c r="C22" s="74">
        <f ca="1">-PMT('Lvl FCR Feeder'!$L$9,'Lvl FCR Feeder'!$H$12-A22,B22)</f>
        <v>5391.8001754515008</v>
      </c>
      <c r="D22" s="54">
        <f ca="1">C22/('Lvl FCR Feeder'!$D$12*('Lvl FCR Feeder'!$H$12-A22)/'Lvl FCR Feeder'!$H$12)</f>
        <v>0.10484055896711252</v>
      </c>
      <c r="E22" s="55"/>
    </row>
    <row r="23" spans="1:5" x14ac:dyDescent="0.2">
      <c r="A23" s="51">
        <f t="shared" si="0"/>
        <v>18</v>
      </c>
      <c r="B23" s="74">
        <f ca="1">NPV('Lvl FCR Feeder'!$L$9,OFFSET('Lvl FCR Feeder'!$L$17,A23,0,1,1):'Lvl FCR Feeder'!L$52)</f>
        <v>49737.165164045226</v>
      </c>
      <c r="C23" s="74">
        <f ca="1">-PMT('Lvl FCR Feeder'!$L$9,'Lvl FCR Feeder'!$H$12-A23,B23)</f>
        <v>5250.659962694056</v>
      </c>
      <c r="D23" s="54">
        <f ca="1">C23/('Lvl FCR Feeder'!$D$12*('Lvl FCR Feeder'!$H$12-A23)/'Lvl FCR Feeder'!$H$12)</f>
        <v>0.10810182276134821</v>
      </c>
      <c r="E23" s="55"/>
    </row>
    <row r="24" spans="1:5" x14ac:dyDescent="0.2">
      <c r="A24" s="51">
        <f t="shared" si="0"/>
        <v>19</v>
      </c>
      <c r="B24" s="74">
        <f ca="1">NPV('Lvl FCR Feeder'!$L$9,OFFSET('Lvl FCR Feeder'!$L$17,A24,0,1,1):'Lvl FCR Feeder'!L$52)</f>
        <v>46997.456596842589</v>
      </c>
      <c r="C24" s="74">
        <f ca="1">-PMT('Lvl FCR Feeder'!$L$9,'Lvl FCR Feeder'!$H$12-A24,B24)</f>
        <v>5121.0475495681358</v>
      </c>
      <c r="D24" s="54">
        <f ca="1">C24/('Lvl FCR Feeder'!$D$12*('Lvl FCR Feeder'!$H$12-A24)/'Lvl FCR Feeder'!$H$12)</f>
        <v>0.11202291514680296</v>
      </c>
      <c r="E24" s="55"/>
    </row>
    <row r="25" spans="1:5" x14ac:dyDescent="0.2">
      <c r="A25" s="51">
        <f t="shared" si="0"/>
        <v>20</v>
      </c>
      <c r="B25" s="74">
        <f ca="1">NPV('Lvl FCR Feeder'!$L$9,OFFSET('Lvl FCR Feeder'!$L$17,A25,0,1,1):'Lvl FCR Feeder'!L$52)</f>
        <v>44342.518657145243</v>
      </c>
      <c r="C25" s="74">
        <f ca="1">-PMT('Lvl FCR Feeder'!$L$9,'Lvl FCR Feeder'!$H$12-A25,B25)</f>
        <v>5004.7395439253878</v>
      </c>
      <c r="D25" s="54">
        <f ca="1">C25/('Lvl FCR Feeder'!$D$12*('Lvl FCR Feeder'!$H$12-A25)/'Lvl FCR Feeder'!$H$12)</f>
        <v>0.11677725602492572</v>
      </c>
      <c r="E25" s="55"/>
    </row>
    <row r="26" spans="1:5" x14ac:dyDescent="0.2">
      <c r="A26" s="51">
        <f t="shared" si="0"/>
        <v>21</v>
      </c>
      <c r="B26" s="74">
        <f ca="1">NPV('Lvl FCR Feeder'!$L$9,OFFSET('Lvl FCR Feeder'!$L$17,A26,0,1,1):'Lvl FCR Feeder'!L$52)</f>
        <v>41634.745670723467</v>
      </c>
      <c r="C26" s="74">
        <f ca="1">-PMT('Lvl FCR Feeder'!$L$9,'Lvl FCR Feeder'!$H$12-A26,B26)</f>
        <v>4887.1104916112636</v>
      </c>
      <c r="D26" s="54">
        <f ca="1">C26/('Lvl FCR Feeder'!$D$12*('Lvl FCR Feeder'!$H$12-A26)/'Lvl FCR Feeder'!$H$12)</f>
        <v>0.12217776229028159</v>
      </c>
      <c r="E26" s="55"/>
    </row>
    <row r="27" spans="1:5" x14ac:dyDescent="0.2">
      <c r="A27" s="51">
        <f t="shared" si="0"/>
        <v>22</v>
      </c>
      <c r="B27" s="74">
        <f ca="1">NPV('Lvl FCR Feeder'!$L$9,OFFSET('Lvl FCR Feeder'!$L$17,A27,0,1,1):'Lvl FCR Feeder'!L$52)</f>
        <v>38874.027434350828</v>
      </c>
      <c r="C27" s="74">
        <f ca="1">-PMT('Lvl FCR Feeder'!$L$9,'Lvl FCR Feeder'!$H$12-A27,B27)</f>
        <v>4767.9866086997681</v>
      </c>
      <c r="D27" s="54">
        <f ca="1">C27/('Lvl FCR Feeder'!$D$12*('Lvl FCR Feeder'!$H$12-A27)/'Lvl FCR Feeder'!$H$12)</f>
        <v>0.12836887023422452</v>
      </c>
      <c r="E27" s="55"/>
    </row>
    <row r="28" spans="1:5" x14ac:dyDescent="0.2">
      <c r="A28" s="51">
        <f t="shared" si="0"/>
        <v>23</v>
      </c>
      <c r="B28" s="74">
        <f ca="1">NPV('Lvl FCR Feeder'!$L$9,OFFSET('Lvl FCR Feeder'!$L$17,A28,0,1,1):'Lvl FCR Feeder'!L$52)</f>
        <v>36111.793965206118</v>
      </c>
      <c r="C28" s="74">
        <f ca="1">-PMT('Lvl FCR Feeder'!$L$9,'Lvl FCR Feeder'!$H$12-A28,B28)</f>
        <v>4653.7461664425446</v>
      </c>
      <c r="D28" s="54">
        <f ca="1">C28/('Lvl FCR Feeder'!$D$12*('Lvl FCR Feeder'!$H$12-A28)/'Lvl FCR Feeder'!$H$12)</f>
        <v>0.13573426318790757</v>
      </c>
      <c r="E28" s="55"/>
    </row>
    <row r="29" spans="1:5" x14ac:dyDescent="0.2">
      <c r="A29" s="51">
        <f t="shared" si="0"/>
        <v>24</v>
      </c>
      <c r="B29" s="74">
        <f ca="1">NPV('Lvl FCR Feeder'!$L$9,OFFSET('Lvl FCR Feeder'!$L$17,A29,0,1,1):'Lvl FCR Feeder'!L$52)</f>
        <v>33347.932529971098</v>
      </c>
      <c r="C29" s="74">
        <f ca="1">-PMT('Lvl FCR Feeder'!$L$9,'Lvl FCR Feeder'!$H$12-A29,B29)</f>
        <v>4545.1421892630478</v>
      </c>
      <c r="D29" s="54">
        <f ca="1">C29/('Lvl FCR Feeder'!$D$12*('Lvl FCR Feeder'!$H$12-A29)/'Lvl FCR Feeder'!$H$12)</f>
        <v>0.14461816056746063</v>
      </c>
      <c r="E29" s="55"/>
    </row>
    <row r="30" spans="1:5" x14ac:dyDescent="0.2">
      <c r="A30" s="51">
        <f t="shared" si="0"/>
        <v>25</v>
      </c>
      <c r="B30" s="74">
        <f ca="1">NPV('Lvl FCR Feeder'!$L$9,OFFSET('Lvl FCR Feeder'!$L$17,A30,0,1,1):'Lvl FCR Feeder'!L$52)</f>
        <v>30582.322007968665</v>
      </c>
      <c r="C30" s="74">
        <f ca="1">-PMT('Lvl FCR Feeder'!$L$9,'Lvl FCR Feeder'!$H$12-A30,B30)</f>
        <v>4443.2154023819458</v>
      </c>
      <c r="D30" s="54">
        <f ca="1">C30/('Lvl FCR Feeder'!$D$12*('Lvl FCR Feeder'!$H$12-A30)/'Lvl FCR Feeder'!$H$12)</f>
        <v>0.1555125390833681</v>
      </c>
      <c r="E30" s="55"/>
    </row>
    <row r="31" spans="1:5" x14ac:dyDescent="0.2">
      <c r="A31" s="51">
        <f t="shared" si="0"/>
        <v>26</v>
      </c>
      <c r="B31" s="74">
        <f ca="1">NPV('Lvl FCR Feeder'!$L$9,OFFSET('Lvl FCR Feeder'!$L$17,A31,0,1,1):'Lvl FCR Feeder'!L$52)</f>
        <v>27814.832267143298</v>
      </c>
      <c r="C31" s="74">
        <f ca="1">-PMT('Lvl FCR Feeder'!$L$9,'Lvl FCR Feeder'!$H$12-A31,B31)</f>
        <v>4349.4550204182533</v>
      </c>
      <c r="D31" s="54">
        <f ca="1">C31/('Lvl FCR Feeder'!$D$12*('Lvl FCR Feeder'!$H$12-A31)/'Lvl FCR Feeder'!$H$12)</f>
        <v>0.1691454730162654</v>
      </c>
      <c r="E31" s="55"/>
    </row>
    <row r="32" spans="1:5" x14ac:dyDescent="0.2">
      <c r="A32" s="51">
        <f t="shared" si="0"/>
        <v>27</v>
      </c>
      <c r="B32" s="74">
        <f ca="1">NPV('Lvl FCR Feeder'!$L$9,OFFSET('Lvl FCR Feeder'!$L$17,A32,0,1,1):'Lvl FCR Feeder'!L$52)</f>
        <v>25045.323493614575</v>
      </c>
      <c r="C32" s="74">
        <f ca="1">-PMT('Lvl FCR Feeder'!$L$9,'Lvl FCR Feeder'!$H$12-A32,B32)</f>
        <v>4266.0802016663156</v>
      </c>
      <c r="D32" s="54">
        <f ca="1">C32/('Lvl FCR Feeder'!$D$12*('Lvl FCR Feeder'!$H$12-A32)/'Lvl FCR Feeder'!$H$12)</f>
        <v>0.1866410088229013</v>
      </c>
      <c r="E32" s="55"/>
    </row>
    <row r="33" spans="1:5" x14ac:dyDescent="0.2">
      <c r="A33" s="51">
        <f t="shared" si="0"/>
        <v>28</v>
      </c>
      <c r="B33" s="74">
        <f ca="1">NPV('Lvl FCR Feeder'!$L$9,OFFSET('Lvl FCR Feeder'!$L$17,A33,0,1,1):'Lvl FCR Feeder'!L$52)</f>
        <v>22273.645471349377</v>
      </c>
      <c r="C33" s="74">
        <f ca="1">-PMT('Lvl FCR Feeder'!$L$9,'Lvl FCR Feeder'!$H$12-A33,B33)</f>
        <v>4196.5628287204345</v>
      </c>
      <c r="D33" s="54">
        <f ca="1">C33/('Lvl FCR Feeder'!$D$12*('Lvl FCR Feeder'!$H$12-A33)/'Lvl FCR Feeder'!$H$12)</f>
        <v>0.20982814143602171</v>
      </c>
      <c r="E33" s="55"/>
    </row>
    <row r="34" spans="1:5" x14ac:dyDescent="0.2">
      <c r="A34" s="51">
        <f t="shared" si="0"/>
        <v>29</v>
      </c>
      <c r="B34" s="74">
        <f ca="1">NPV('Lvl FCR Feeder'!$L$9,OFFSET('Lvl FCR Feeder'!$L$17,A34,0,1,1):'Lvl FCR Feeder'!L$52)</f>
        <v>19499.636808241703</v>
      </c>
      <c r="C34" s="74">
        <f ca="1">-PMT('Lvl FCR Feeder'!$L$9,'Lvl FCR Feeder'!$H$12-A34,B34)</f>
        <v>4146.6731562289115</v>
      </c>
      <c r="D34" s="54">
        <f ca="1">C34/('Lvl FCR Feeder'!$D$12*('Lvl FCR Feeder'!$H$12-A34)/'Lvl FCR Feeder'!$H$12)</f>
        <v>0.24188926744668651</v>
      </c>
      <c r="E34" s="55"/>
    </row>
    <row r="35" spans="1:5" x14ac:dyDescent="0.2">
      <c r="A35" s="51">
        <f t="shared" si="0"/>
        <v>30</v>
      </c>
      <c r="B35" s="74">
        <f ca="1">NPV('Lvl FCR Feeder'!$L$9,OFFSET('Lvl FCR Feeder'!$L$17,A35,0,1,1):'Lvl FCR Feeder'!L$52)</f>
        <v>16723.124104612874</v>
      </c>
      <c r="C35" s="74">
        <f ca="1">-PMT('Lvl FCR Feeder'!$L$9,'Lvl FCR Feeder'!$H$12-A35,B35)</f>
        <v>4126.7803309191568</v>
      </c>
      <c r="D35" s="54">
        <f ca="1">C35/('Lvl FCR Feeder'!$D$12*('Lvl FCR Feeder'!$H$12-A35)/'Lvl FCR Feeder'!$H$12)</f>
        <v>0.28887462316434098</v>
      </c>
      <c r="E35" s="55"/>
    </row>
    <row r="36" spans="1:5" x14ac:dyDescent="0.2">
      <c r="A36" s="51">
        <f t="shared" si="0"/>
        <v>31</v>
      </c>
      <c r="B36" s="74">
        <f ca="1">NPV('Lvl FCR Feeder'!$L$9,OFFSET('Lvl FCR Feeder'!$L$17,A36,0,1,1):'Lvl FCR Feeder'!L$52)</f>
        <v>13943.921059848119</v>
      </c>
      <c r="C36" s="74">
        <f ca="1">-PMT('Lvl FCR Feeder'!$L$9,'Lvl FCR Feeder'!$H$12-A36,B36)</f>
        <v>4157.6037982847238</v>
      </c>
      <c r="D36" s="54">
        <f ca="1">C36/('Lvl FCR Feeder'!$D$12*('Lvl FCR Feeder'!$H$12-A36)/'Lvl FCR Feeder'!$H$12)</f>
        <v>0.36379033234991331</v>
      </c>
      <c r="E36" s="55"/>
    </row>
    <row r="37" spans="1:5" x14ac:dyDescent="0.2">
      <c r="A37" s="51">
        <f t="shared" si="0"/>
        <v>32</v>
      </c>
      <c r="B37" s="74">
        <f ca="1">NPV('Lvl FCR Feeder'!$L$9,OFFSET('Lvl FCR Feeder'!$L$17,A37,0,1,1):'Lvl FCR Feeder'!L$52)</f>
        <v>11161.827512566922</v>
      </c>
      <c r="C37" s="74">
        <f ca="1">-PMT('Lvl FCR Feeder'!$L$9,'Lvl FCR Feeder'!$H$12-A37,B37)</f>
        <v>4287.4676474466833</v>
      </c>
      <c r="D37" s="54">
        <f ca="1">C37/('Lvl FCR Feeder'!$D$12*('Lvl FCR Feeder'!$H$12-A37)/'Lvl FCR Feeder'!$H$12)</f>
        <v>0.50020455886877979</v>
      </c>
      <c r="E37" s="55"/>
    </row>
    <row r="38" spans="1:5" x14ac:dyDescent="0.2">
      <c r="A38" s="51">
        <f t="shared" si="0"/>
        <v>33</v>
      </c>
      <c r="B38" s="74">
        <f ca="1">NPV('Lvl FCR Feeder'!$L$9,OFFSET('Lvl FCR Feeder'!$L$17,A38,0,1,1):'Lvl FCR Feeder'!L$52)</f>
        <v>8376.6284093820595</v>
      </c>
      <c r="C38" s="74">
        <f ca="1">-PMT('Lvl FCR Feeder'!$L$9,'Lvl FCR Feeder'!$H$12-A38,B38)</f>
        <v>4661.3181500820792</v>
      </c>
      <c r="D38" s="54">
        <f ca="1">C38/('Lvl FCR Feeder'!$D$12*('Lvl FCR Feeder'!$H$12-A38)/'Lvl FCR Feeder'!$H$12)</f>
        <v>0.8157306762643638</v>
      </c>
      <c r="E38" s="55"/>
    </row>
    <row r="39" spans="1:5" x14ac:dyDescent="0.2">
      <c r="A39" s="51">
        <f t="shared" si="0"/>
        <v>34</v>
      </c>
      <c r="B39" s="74">
        <f ca="1">NPV('Lvl FCR Feeder'!$L$9,OFFSET('Lvl FCR Feeder'!$L$17,A39,0,1,1):'Lvl FCR Feeder'!L$52)</f>
        <v>5588.0926969343</v>
      </c>
      <c r="C39" s="74">
        <f ca="1">-PMT('Lvl FCR Feeder'!$L$9,'Lvl FCR Feeder'!$H$12-A39,B39)</f>
        <v>6003.8467935862109</v>
      </c>
      <c r="D39" s="54">
        <f ca="1">C39/('Lvl FCR Feeder'!$D$12*('Lvl FCR Feeder'!$H$12-A39)/'Lvl FCR Feeder'!$H$12)</f>
        <v>2.1013463777551737</v>
      </c>
      <c r="E39" s="55"/>
    </row>
    <row r="40" spans="1:5" x14ac:dyDescent="0.2">
      <c r="A40" s="51">
        <f t="shared" si="0"/>
        <v>35</v>
      </c>
      <c r="B40" s="74"/>
      <c r="C40" s="74"/>
      <c r="D40" s="54"/>
      <c r="E40" s="55"/>
    </row>
    <row r="41" spans="1:5" ht="13.5" thickBot="1" x14ac:dyDescent="0.25">
      <c r="B41" s="74"/>
      <c r="C41" s="74"/>
      <c r="D41" s="59"/>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
&amp;A&amp;R&amp;"Arial,Regular"Page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9.140625" defaultRowHeight="12.75" x14ac:dyDescent="0.2"/>
  <cols>
    <col min="1" max="1" width="9.140625" style="1"/>
    <col min="2" max="2" width="13.28515625" style="1" customWidth="1"/>
    <col min="3" max="3" width="10.140625" style="1" bestFit="1" customWidth="1"/>
    <col min="4" max="4" width="10.7109375" style="1" bestFit="1" customWidth="1"/>
    <col min="5" max="5" width="9.140625" style="1"/>
    <col min="6" max="6" width="22.28515625" style="1" bestFit="1" customWidth="1"/>
    <col min="7" max="7" width="11.140625" style="1" bestFit="1" customWidth="1"/>
    <col min="8" max="8" width="10.5703125" style="1" customWidth="1"/>
    <col min="9" max="9" width="11.28515625" style="1" bestFit="1" customWidth="1"/>
    <col min="10" max="16384" width="9.140625" style="1"/>
  </cols>
  <sheetData>
    <row r="1" spans="1:10" ht="15.75" x14ac:dyDescent="0.25">
      <c r="A1" s="119" t="s">
        <v>90</v>
      </c>
      <c r="B1" s="120"/>
      <c r="C1" s="120"/>
      <c r="D1" s="120"/>
      <c r="E1" s="120"/>
      <c r="F1" s="120"/>
      <c r="G1" s="120"/>
      <c r="H1" s="120"/>
      <c r="I1" s="120"/>
    </row>
    <row r="2" spans="1:10" x14ac:dyDescent="0.2">
      <c r="A2" s="121" t="str">
        <f>CONCATENATE("Docket No. UE-190529 + Weighted Cost of Capital = ",('Lvl FCR Sub Equip'!L9*100),"% + 49 Year Sub Plant Life")</f>
        <v>Docket No. UE-190529 + Weighted Cost of Capital = 7.44% + 49 Year Sub Plant Life</v>
      </c>
      <c r="B2" s="121"/>
      <c r="C2" s="121"/>
      <c r="D2" s="121"/>
      <c r="E2" s="121"/>
      <c r="F2" s="121"/>
      <c r="G2" s="121"/>
      <c r="H2" s="121"/>
      <c r="I2" s="121"/>
    </row>
    <row r="3" spans="1:10" ht="13.5" thickBot="1" x14ac:dyDescent="0.25"/>
    <row r="4" spans="1:10" ht="51.75" thickBot="1" x14ac:dyDescent="0.25">
      <c r="A4" s="48" t="s">
        <v>25</v>
      </c>
      <c r="B4" s="48" t="s">
        <v>10</v>
      </c>
      <c r="C4" s="48" t="s">
        <v>9</v>
      </c>
      <c r="D4" s="70" t="s">
        <v>8</v>
      </c>
      <c r="E4" s="71" t="s">
        <v>7</v>
      </c>
      <c r="F4" s="72" t="s">
        <v>6</v>
      </c>
      <c r="G4" s="72" t="s">
        <v>5</v>
      </c>
      <c r="H4" s="71" t="s">
        <v>4</v>
      </c>
      <c r="I4" s="73" t="s">
        <v>34</v>
      </c>
    </row>
    <row r="5" spans="1:10" ht="13.5" thickBot="1" x14ac:dyDescent="0.25">
      <c r="A5" s="51">
        <v>0</v>
      </c>
      <c r="B5" s="74">
        <f ca="1">NPV('Lvl FCR Sub Equip'!$L$9,OFFSET('Lvl FCR Sub Equip'!$L$17,A5,0,1,1):'Lvl FCR Sub Equip'!L66)</f>
        <v>107598.80082014605</v>
      </c>
      <c r="C5" s="74">
        <f ca="1">-PMT('Lvl FCR Sub Equip'!$L$9,'Lvl FCR Sub Equip'!$H$12-A5,B5)</f>
        <v>8250.4510038936533</v>
      </c>
      <c r="D5" s="75">
        <f ca="1">C5/'Lvl FCR Sub Equip'!$D$12</f>
        <v>8.2504510038936538E-2</v>
      </c>
      <c r="E5" s="67">
        <f>'Lvl FCR Sub Equip'!B17</f>
        <v>100000</v>
      </c>
      <c r="F5" s="76">
        <f t="shared" ref="F5:F38" ca="1" si="0">$C$5/E5</f>
        <v>8.2504510038936538E-2</v>
      </c>
      <c r="G5" s="55">
        <f>NPV('Lvl FCR Sub Equip'!$L$9,'Lvl FCR Sub Equip'!L17:L26)</f>
        <v>68142.39566542687</v>
      </c>
      <c r="H5" s="55">
        <f>-PMT('Lvl FCR Sub Equip'!$L$9,10,G5)</f>
        <v>9900.2077702581882</v>
      </c>
      <c r="I5" s="77">
        <f t="shared" ref="I5:I38" si="1">H5/E5</f>
        <v>9.9002077702581889E-2</v>
      </c>
      <c r="J5" s="55"/>
    </row>
    <row r="6" spans="1:10" x14ac:dyDescent="0.2">
      <c r="A6" s="51">
        <v>1</v>
      </c>
      <c r="B6" s="74"/>
      <c r="C6" s="74"/>
      <c r="D6" s="54"/>
      <c r="E6" s="67">
        <f>'Lvl FCR Sub Equip'!B18</f>
        <v>97959.183673469393</v>
      </c>
      <c r="F6" s="76">
        <f t="shared" ca="1" si="0"/>
        <v>8.4223353998081035E-2</v>
      </c>
      <c r="G6" s="55">
        <f>NPV('Lvl FCR Sub Equip'!$L$9,'Lvl FCR Sub Equip'!L18:L27)</f>
        <v>66377.362727326778</v>
      </c>
      <c r="H6" s="55">
        <f>-PMT('Lvl FCR Sub Equip'!$L$9,10,G6)</f>
        <v>9643.7713383144564</v>
      </c>
      <c r="I6" s="77">
        <f t="shared" si="1"/>
        <v>9.8446832411960075E-2</v>
      </c>
      <c r="J6" s="55"/>
    </row>
    <row r="7" spans="1:10" x14ac:dyDescent="0.2">
      <c r="A7" s="51">
        <f t="shared" ref="A7:A54" si="2">A6+1</f>
        <v>2</v>
      </c>
      <c r="B7" s="74"/>
      <c r="C7" s="74"/>
      <c r="D7" s="54"/>
      <c r="E7" s="67">
        <f>'Lvl FCR Sub Equip'!B19</f>
        <v>95918.367346938787</v>
      </c>
      <c r="F7" s="76">
        <f t="shared" ca="1" si="0"/>
        <v>8.6015340253359357E-2</v>
      </c>
      <c r="G7" s="55">
        <f>NPV('Lvl FCR Sub Equip'!$L$9,'Lvl FCR Sub Equip'!L19:L28)</f>
        <v>64760.544606908777</v>
      </c>
      <c r="H7" s="55">
        <f>-PMT('Lvl FCR Sub Equip'!$L$9,10,G7)</f>
        <v>9408.8686002679569</v>
      </c>
      <c r="I7" s="77">
        <f t="shared" si="1"/>
        <v>9.8092459875134014E-2</v>
      </c>
      <c r="J7" s="55"/>
    </row>
    <row r="8" spans="1:10" x14ac:dyDescent="0.2">
      <c r="A8" s="51">
        <f t="shared" si="2"/>
        <v>3</v>
      </c>
      <c r="B8" s="74"/>
      <c r="C8" s="74"/>
      <c r="D8" s="54"/>
      <c r="E8" s="67">
        <f>'Lvl FCR Sub Equip'!B20</f>
        <v>93877.55102040818</v>
      </c>
      <c r="F8" s="76">
        <f t="shared" ca="1" si="0"/>
        <v>8.7885238954519329E-2</v>
      </c>
      <c r="G8" s="55">
        <f>NPV('Lvl FCR Sub Equip'!$L$9,'Lvl FCR Sub Equip'!L20:L29)</f>
        <v>63166.531518894561</v>
      </c>
      <c r="H8" s="55">
        <f>-PMT('Lvl FCR Sub Equip'!$L$9,10,G8)</f>
        <v>9177.279138146092</v>
      </c>
      <c r="I8" s="77">
        <f t="shared" si="1"/>
        <v>9.7757973428077918E-2</v>
      </c>
      <c r="J8" s="55"/>
    </row>
    <row r="9" spans="1:10" x14ac:dyDescent="0.2">
      <c r="A9" s="51">
        <f t="shared" si="2"/>
        <v>4</v>
      </c>
      <c r="B9" s="74"/>
      <c r="C9" s="74"/>
      <c r="D9" s="54"/>
      <c r="E9" s="67">
        <f>'Lvl FCR Sub Equip'!B21</f>
        <v>91836.734693877574</v>
      </c>
      <c r="F9" s="76">
        <f t="shared" ca="1" si="0"/>
        <v>8.9838244264619754E-2</v>
      </c>
      <c r="G9" s="55">
        <f>NPV('Lvl FCR Sub Equip'!$L$9,'Lvl FCR Sub Equip'!L21:L30)</f>
        <v>61587.606519818175</v>
      </c>
      <c r="H9" s="55">
        <f>-PMT('Lvl FCR Sub Equip'!$L$9,10,G9)</f>
        <v>8947.8817799836179</v>
      </c>
      <c r="I9" s="77">
        <f t="shared" si="1"/>
        <v>9.743249049315493E-2</v>
      </c>
      <c r="J9" s="55"/>
    </row>
    <row r="10" spans="1:10" x14ac:dyDescent="0.2">
      <c r="A10" s="51">
        <f t="shared" si="2"/>
        <v>5</v>
      </c>
      <c r="B10" s="74"/>
      <c r="C10" s="74"/>
      <c r="D10" s="54"/>
      <c r="E10" s="67">
        <f>'Lvl FCR Sub Equip'!B22</f>
        <v>89795.918367346967</v>
      </c>
      <c r="F10" s="76">
        <f t="shared" ca="1" si="0"/>
        <v>9.1880022543361112E-2</v>
      </c>
      <c r="G10" s="55">
        <f>NPV('Lvl FCR Sub Equip'!$L$9,'Lvl FCR Sub Equip'!L22:L31)</f>
        <v>60015.478525619816</v>
      </c>
      <c r="H10" s="55">
        <f>-PMT('Lvl FCR Sub Equip'!$L$9,10,G10)</f>
        <v>8719.4719386210872</v>
      </c>
      <c r="I10" s="77">
        <f t="shared" si="1"/>
        <v>9.7103210225552988E-2</v>
      </c>
      <c r="J10" s="55"/>
    </row>
    <row r="11" spans="1:10" x14ac:dyDescent="0.2">
      <c r="A11" s="51">
        <f t="shared" si="2"/>
        <v>6</v>
      </c>
      <c r="B11" s="74"/>
      <c r="C11" s="74"/>
      <c r="D11" s="54"/>
      <c r="E11" s="67">
        <f>'Lvl FCR Sub Equip'!B23</f>
        <v>87755.10204081636</v>
      </c>
      <c r="F11" s="76">
        <f t="shared" ca="1" si="0"/>
        <v>9.4016767253671821E-2</v>
      </c>
      <c r="G11" s="55">
        <f>NPV('Lvl FCR Sub Equip'!$L$9,'Lvl FCR Sub Equip'!L23:L32)</f>
        <v>58446.379331618322</v>
      </c>
      <c r="H11" s="55">
        <f>-PMT('Lvl FCR Sub Equip'!$L$9,10,G11)</f>
        <v>8491.5021427097126</v>
      </c>
      <c r="I11" s="77">
        <f t="shared" si="1"/>
        <v>9.6763629068087387E-2</v>
      </c>
      <c r="J11" s="55"/>
    </row>
    <row r="12" spans="1:10" x14ac:dyDescent="0.2">
      <c r="A12" s="51">
        <f t="shared" si="2"/>
        <v>7</v>
      </c>
      <c r="B12" s="74"/>
      <c r="C12" s="74"/>
      <c r="D12" s="54"/>
      <c r="E12" s="67">
        <f>'Lvl FCR Sub Equip'!B24</f>
        <v>85714.285714285754</v>
      </c>
      <c r="F12" s="76">
        <f t="shared" ca="1" si="0"/>
        <v>9.6255261712092574E-2</v>
      </c>
      <c r="G12" s="55">
        <f>NPV('Lvl FCR Sub Equip'!$L$9,'Lvl FCR Sub Equip'!L24:L33)</f>
        <v>56873.003370246908</v>
      </c>
      <c r="H12" s="55">
        <f>-PMT('Lvl FCR Sub Equip'!$L$9,10,G12)</f>
        <v>8262.9109878758391</v>
      </c>
      <c r="I12" s="77">
        <f t="shared" si="1"/>
        <v>9.6400628191884746E-2</v>
      </c>
      <c r="J12" s="55"/>
    </row>
    <row r="13" spans="1:10" x14ac:dyDescent="0.2">
      <c r="A13" s="51">
        <f t="shared" si="2"/>
        <v>8</v>
      </c>
      <c r="B13" s="74"/>
      <c r="C13" s="74"/>
      <c r="D13" s="54"/>
      <c r="E13" s="67">
        <f>'Lvl FCR Sub Equip'!B25</f>
        <v>83673.469387755147</v>
      </c>
      <c r="F13" s="76">
        <f t="shared" ca="1" si="0"/>
        <v>9.8602951022143615E-2</v>
      </c>
      <c r="G13" s="55">
        <f>NPV('Lvl FCR Sub Equip'!$L$9,'Lvl FCR Sub Equip'!L25:L34)</f>
        <v>55287.501539711819</v>
      </c>
      <c r="H13" s="55">
        <f>-PMT('Lvl FCR Sub Equip'!$L$9,10,G13)</f>
        <v>8032.5581012604052</v>
      </c>
      <c r="I13" s="77">
        <f t="shared" si="1"/>
        <v>9.5998865112624301E-2</v>
      </c>
      <c r="J13" s="55"/>
    </row>
    <row r="14" spans="1:10" x14ac:dyDescent="0.2">
      <c r="A14" s="51">
        <f t="shared" si="2"/>
        <v>9</v>
      </c>
      <c r="B14" s="74"/>
      <c r="C14" s="74"/>
      <c r="D14" s="54"/>
      <c r="E14" s="67">
        <f>'Lvl FCR Sub Equip'!B26</f>
        <v>81632.653061224541</v>
      </c>
      <c r="F14" s="76">
        <f t="shared" ca="1" si="0"/>
        <v>0.10106802479769719</v>
      </c>
      <c r="G14" s="55">
        <f>NPV('Lvl FCR Sub Equip'!$L$9,'Lvl FCR Sub Equip'!L26:L35)</f>
        <v>53701.999709176751</v>
      </c>
      <c r="H14" s="55">
        <f>-PMT('Lvl FCR Sub Equip'!$L$9,10,G14)</f>
        <v>7802.2052146449741</v>
      </c>
      <c r="I14" s="77">
        <f t="shared" si="1"/>
        <v>9.5577013879400874E-2</v>
      </c>
      <c r="J14" s="55"/>
    </row>
    <row r="15" spans="1:10" x14ac:dyDescent="0.2">
      <c r="A15" s="51">
        <f t="shared" si="2"/>
        <v>10</v>
      </c>
      <c r="B15" s="74"/>
      <c r="C15" s="74"/>
      <c r="D15" s="54"/>
      <c r="E15" s="67">
        <f>'Lvl FCR Sub Equip'!B27</f>
        <v>79591.836734693934</v>
      </c>
      <c r="F15" s="76">
        <f t="shared" ca="1" si="0"/>
        <v>0.10365951261302275</v>
      </c>
      <c r="G15" s="55">
        <f>NPV('Lvl FCR Sub Equip'!$L$9,'Lvl FCR Sub Equip'!L27:L36)</f>
        <v>52116.497878641669</v>
      </c>
      <c r="H15" s="55">
        <f>-PMT('Lvl FCR Sub Equip'!$L$9,10,G15)</f>
        <v>7571.8523280295422</v>
      </c>
      <c r="I15" s="77">
        <f t="shared" si="1"/>
        <v>9.5133529249601875E-2</v>
      </c>
      <c r="J15" s="55"/>
    </row>
    <row r="16" spans="1:10" x14ac:dyDescent="0.2">
      <c r="A16" s="51">
        <f t="shared" si="2"/>
        <v>11</v>
      </c>
      <c r="B16" s="74"/>
      <c r="C16" s="74"/>
      <c r="D16" s="54"/>
      <c r="E16" s="67">
        <f>'Lvl FCR Sub Equip'!B28</f>
        <v>77551.020408163327</v>
      </c>
      <c r="F16" s="76">
        <f t="shared" ca="1" si="0"/>
        <v>0.10638739452389176</v>
      </c>
      <c r="G16" s="55">
        <f>NPV('Lvl FCR Sub Equip'!$L$9,'Lvl FCR Sub Equip'!L28:L37)</f>
        <v>50601.212495051295</v>
      </c>
      <c r="H16" s="55">
        <f>-PMT('Lvl FCR Sub Equip'!$L$9,10,G16)</f>
        <v>7351.7009819800614</v>
      </c>
      <c r="I16" s="77">
        <f t="shared" si="1"/>
        <v>9.4798249504479667E-2</v>
      </c>
      <c r="J16" s="55"/>
    </row>
    <row r="17" spans="1:10" x14ac:dyDescent="0.2">
      <c r="A17" s="51">
        <f t="shared" si="2"/>
        <v>12</v>
      </c>
      <c r="B17" s="74"/>
      <c r="C17" s="74"/>
      <c r="D17" s="54"/>
      <c r="E17" s="67">
        <f>'Lvl FCR Sub Equip'!B29</f>
        <v>75510.204081632721</v>
      </c>
      <c r="F17" s="76">
        <f t="shared" ca="1" si="0"/>
        <v>0.10926272951102396</v>
      </c>
      <c r="G17" s="55">
        <f>NPV('Lvl FCR Sub Equip'!$L$9,'Lvl FCR Sub Equip'!L29:L38)</f>
        <v>49159.503491270196</v>
      </c>
      <c r="H17" s="55">
        <f>-PMT('Lvl FCR Sub Equip'!$L$9,10,G17)</f>
        <v>7142.2393312367394</v>
      </c>
      <c r="I17" s="77">
        <f t="shared" si="1"/>
        <v>9.4586412765027009E-2</v>
      </c>
      <c r="J17" s="55"/>
    </row>
    <row r="18" spans="1:10" x14ac:dyDescent="0.2">
      <c r="A18" s="51">
        <f t="shared" si="2"/>
        <v>13</v>
      </c>
      <c r="B18" s="74"/>
      <c r="C18" s="74"/>
      <c r="D18" s="54"/>
      <c r="E18" s="67">
        <f>'Lvl FCR Sub Equip'!B30</f>
        <v>73469.387755102114</v>
      </c>
      <c r="F18" s="76">
        <f t="shared" ca="1" si="0"/>
        <v>0.11229780533077462</v>
      </c>
      <c r="G18" s="55">
        <f>NPV('Lvl FCR Sub Equip'!$L$9,'Lvl FCR Sub Equip'!L30:L39)</f>
        <v>47769.829773346275</v>
      </c>
      <c r="H18" s="55">
        <f>-PMT('Lvl FCR Sub Equip'!$L$9,10,G18)</f>
        <v>6940.3377337662778</v>
      </c>
      <c r="I18" s="77">
        <f t="shared" si="1"/>
        <v>9.4465708042929794E-2</v>
      </c>
      <c r="J18" s="55"/>
    </row>
    <row r="19" spans="1:10" x14ac:dyDescent="0.2">
      <c r="A19" s="51">
        <f t="shared" si="2"/>
        <v>14</v>
      </c>
      <c r="B19" s="74"/>
      <c r="C19" s="74"/>
      <c r="D19" s="54"/>
      <c r="E19" s="67">
        <f>'Lvl FCR Sub Equip'!B31</f>
        <v>71428.571428571508</v>
      </c>
      <c r="F19" s="76">
        <f t="shared" ca="1" si="0"/>
        <v>0.11550631405451102</v>
      </c>
      <c r="G19" s="55">
        <f>NPV('Lvl FCR Sub Equip'!$L$9,'Lvl FCR Sub Equip'!L31:L40)</f>
        <v>46436.062766547315</v>
      </c>
      <c r="H19" s="55">
        <f>-PMT('Lvl FCR Sub Equip'!$L$9,10,G19)</f>
        <v>6746.5586575321759</v>
      </c>
      <c r="I19" s="77">
        <f t="shared" si="1"/>
        <v>9.4451821205450356E-2</v>
      </c>
      <c r="J19" s="55"/>
    </row>
    <row r="20" spans="1:10" x14ac:dyDescent="0.2">
      <c r="A20" s="51">
        <f t="shared" si="2"/>
        <v>15</v>
      </c>
      <c r="B20" s="74"/>
      <c r="C20" s="74"/>
      <c r="D20" s="54"/>
      <c r="E20" s="67">
        <f>'Lvl FCR Sub Equip'!B32</f>
        <v>69387.755102040901</v>
      </c>
      <c r="F20" s="76">
        <f t="shared" ca="1" si="0"/>
        <v>0.11890355858552604</v>
      </c>
      <c r="G20" s="55">
        <f>NPV('Lvl FCR Sub Equip'!$L$9,'Lvl FCR Sub Equip'!L32:L41)</f>
        <v>45162.361930181025</v>
      </c>
      <c r="H20" s="55">
        <f>-PMT('Lvl FCR Sub Equip'!$L$9,10,G20)</f>
        <v>6561.5064181144226</v>
      </c>
      <c r="I20" s="77">
        <f t="shared" si="1"/>
        <v>9.4562886614001862E-2</v>
      </c>
      <c r="J20" s="55"/>
    </row>
    <row r="21" spans="1:10" x14ac:dyDescent="0.2">
      <c r="A21" s="51">
        <f t="shared" si="2"/>
        <v>16</v>
      </c>
      <c r="B21" s="74"/>
      <c r="C21" s="74"/>
      <c r="D21" s="54"/>
      <c r="E21" s="67">
        <f>'Lvl FCR Sub Equip'!B33</f>
        <v>67346.938775510294</v>
      </c>
      <c r="F21" s="76">
        <f t="shared" ca="1" si="0"/>
        <v>0.12250669672448135</v>
      </c>
      <c r="G21" s="55">
        <f>NPV('Lvl FCR Sub Equip'!$L$9,'Lvl FCR Sub Equip'!L33:L42)</f>
        <v>43953.196187327572</v>
      </c>
      <c r="H21" s="55">
        <f>-PMT('Lvl FCR Sub Equip'!$L$9,10,G21)</f>
        <v>6385.8302921721479</v>
      </c>
      <c r="I21" s="77">
        <f t="shared" si="1"/>
        <v>9.4819904338313582E-2</v>
      </c>
      <c r="J21" s="55"/>
    </row>
    <row r="22" spans="1:10" x14ac:dyDescent="0.2">
      <c r="A22" s="51">
        <f t="shared" si="2"/>
        <v>17</v>
      </c>
      <c r="B22" s="74"/>
      <c r="C22" s="74"/>
      <c r="D22" s="54"/>
      <c r="E22" s="67">
        <f>'Lvl FCR Sub Equip'!B34</f>
        <v>65306.12244897968</v>
      </c>
      <c r="F22" s="76">
        <f t="shared" ca="1" si="0"/>
        <v>0.1263350309971214</v>
      </c>
      <c r="G22" s="55">
        <f>NPV('Lvl FCR Sub Equip'!$L$9,'Lvl FCR Sub Equip'!L34:L43)</f>
        <v>42813.366948944335</v>
      </c>
      <c r="H22" s="55">
        <f>-PMT('Lvl FCR Sub Equip'!$L$9,10,G22)</f>
        <v>6220.2278625479348</v>
      </c>
      <c r="I22" s="77">
        <f t="shared" si="1"/>
        <v>9.5247239145265117E-2</v>
      </c>
      <c r="J22" s="55"/>
    </row>
    <row r="23" spans="1:10" x14ac:dyDescent="0.2">
      <c r="A23" s="51">
        <f t="shared" si="2"/>
        <v>18</v>
      </c>
      <c r="B23" s="74"/>
      <c r="C23" s="74"/>
      <c r="D23" s="54"/>
      <c r="E23" s="67">
        <f>'Lvl FCR Sub Equip'!B35</f>
        <v>63265.306122449067</v>
      </c>
      <c r="F23" s="76">
        <f t="shared" ca="1" si="0"/>
        <v>0.13041035457767369</v>
      </c>
      <c r="G23" s="55">
        <f>NPV('Lvl FCR Sub Equip'!$L$9,'Lvl FCR Sub Equip'!L35:L44)</f>
        <v>41748.032850963886</v>
      </c>
      <c r="H23" s="55">
        <f>-PMT('Lvl FCR Sub Equip'!$L$9,10,G23)</f>
        <v>6065.448612247842</v>
      </c>
      <c r="I23" s="77">
        <f t="shared" si="1"/>
        <v>9.5873220000046402E-2</v>
      </c>
      <c r="J23" s="55"/>
    </row>
    <row r="24" spans="1:10" x14ac:dyDescent="0.2">
      <c r="A24" s="51">
        <f t="shared" si="2"/>
        <v>19</v>
      </c>
      <c r="B24" s="74"/>
      <c r="C24" s="74"/>
      <c r="D24" s="54"/>
      <c r="E24" s="67">
        <f>'Lvl FCR Sub Equip'!B36</f>
        <v>61224.489795918453</v>
      </c>
      <c r="F24" s="76">
        <f t="shared" ca="1" si="0"/>
        <v>0.13475736639692948</v>
      </c>
      <c r="G24" s="55">
        <f>NPV('Lvl FCR Sub Equip'!$L$9,'Lvl FCR Sub Equip'!L36:L45)</f>
        <v>40762.736331832195</v>
      </c>
      <c r="H24" s="55">
        <f>-PMT('Lvl FCR Sub Equip'!$L$9,10,G24)</f>
        <v>5922.2977858135864</v>
      </c>
      <c r="I24" s="77">
        <f t="shared" si="1"/>
        <v>9.6730863834955105E-2</v>
      </c>
      <c r="J24" s="55"/>
    </row>
    <row r="25" spans="1:10" x14ac:dyDescent="0.2">
      <c r="A25" s="51">
        <f t="shared" si="2"/>
        <v>20</v>
      </c>
      <c r="B25" s="74"/>
      <c r="C25" s="74"/>
      <c r="D25" s="54"/>
      <c r="E25" s="67">
        <f>'Lvl FCR Sub Equip'!B37</f>
        <v>59183.673469387839</v>
      </c>
      <c r="F25" s="76">
        <f t="shared" ca="1" si="0"/>
        <v>0.13940417213475464</v>
      </c>
      <c r="G25" s="55">
        <f>NPV('Lvl FCR Sub Equip'!$L$9,'Lvl FCR Sub Equip'!L37:L46)</f>
        <v>39863.432187415616</v>
      </c>
      <c r="H25" s="55">
        <f>-PMT('Lvl FCR Sub Equip'!$L$9,10,G25)</f>
        <v>5791.6405379807857</v>
      </c>
      <c r="I25" s="77">
        <f t="shared" si="1"/>
        <v>9.7858753917606234E-2</v>
      </c>
      <c r="J25" s="55"/>
    </row>
    <row r="26" spans="1:10" x14ac:dyDescent="0.2">
      <c r="A26" s="51">
        <f t="shared" si="2"/>
        <v>21</v>
      </c>
      <c r="B26" s="74"/>
      <c r="C26" s="74"/>
      <c r="D26" s="54"/>
      <c r="E26" s="67">
        <f>'Lvl FCR Sub Equip'!B38</f>
        <v>57142.857142857225</v>
      </c>
      <c r="F26" s="76">
        <f t="shared" ca="1" si="0"/>
        <v>0.14438289256813872</v>
      </c>
      <c r="G26" s="55">
        <f>NPV('Lvl FCR Sub Equip'!$L$9,'Lvl FCR Sub Equip'!L38:L47)</f>
        <v>38912.605641476825</v>
      </c>
      <c r="H26" s="55">
        <f>-PMT('Lvl FCR Sub Equip'!$L$9,10,G26)</f>
        <v>5653.4977523280795</v>
      </c>
      <c r="I26" s="77">
        <f t="shared" si="1"/>
        <v>9.893621066574125E-2</v>
      </c>
      <c r="J26" s="55"/>
    </row>
    <row r="27" spans="1:10" x14ac:dyDescent="0.2">
      <c r="A27" s="51">
        <f t="shared" si="2"/>
        <v>22</v>
      </c>
      <c r="B27" s="74"/>
      <c r="C27" s="74"/>
      <c r="D27" s="54"/>
      <c r="E27" s="67">
        <f>'Lvl FCR Sub Equip'!B39</f>
        <v>55102.040816326611</v>
      </c>
      <c r="F27" s="76">
        <f t="shared" ca="1" si="0"/>
        <v>0.14973040710769941</v>
      </c>
      <c r="G27" s="55">
        <f>NPV('Lvl FCR Sub Equip'!$L$9,'Lvl FCR Sub Equip'!L39:L48)</f>
        <v>37910.244151592451</v>
      </c>
      <c r="H27" s="55">
        <f>-PMT('Lvl FCR Sub Equip'!$L$9,10,G27)</f>
        <v>5507.8676066037533</v>
      </c>
      <c r="I27" s="77">
        <f t="shared" si="1"/>
        <v>9.9957597305030926E-2</v>
      </c>
      <c r="J27" s="55"/>
    </row>
    <row r="28" spans="1:10" x14ac:dyDescent="0.2">
      <c r="A28" s="51">
        <f t="shared" si="2"/>
        <v>23</v>
      </c>
      <c r="B28" s="74"/>
      <c r="C28" s="74"/>
      <c r="D28" s="54"/>
      <c r="E28" s="67">
        <f>'Lvl FCR Sub Equip'!B40</f>
        <v>53061.224489795997</v>
      </c>
      <c r="F28" s="76">
        <f t="shared" ca="1" si="0"/>
        <v>0.15548926891953399</v>
      </c>
      <c r="G28" s="55">
        <f>NPV('Lvl FCR Sub Equip'!$L$9,'Lvl FCR Sub Equip'!L40:L49)</f>
        <v>36907.882661708078</v>
      </c>
      <c r="H28" s="55">
        <f>-PMT('Lvl FCR Sub Equip'!$L$9,10,G28)</f>
        <v>5362.2374608794253</v>
      </c>
      <c r="I28" s="77">
        <f t="shared" si="1"/>
        <v>0.10105755214734287</v>
      </c>
      <c r="J28" s="55"/>
    </row>
    <row r="29" spans="1:10" x14ac:dyDescent="0.2">
      <c r="A29" s="51">
        <f t="shared" si="2"/>
        <v>24</v>
      </c>
      <c r="B29" s="74"/>
      <c r="C29" s="74"/>
      <c r="D29" s="54"/>
      <c r="E29" s="67">
        <f>'Lvl FCR Sub Equip'!B41</f>
        <v>51020.408163265383</v>
      </c>
      <c r="F29" s="76">
        <f t="shared" ca="1" si="0"/>
        <v>0.16170883967631536</v>
      </c>
      <c r="G29" s="55">
        <f>NPV('Lvl FCR Sub Equip'!$L$9,'Lvl FCR Sub Equip'!L41:L50)</f>
        <v>35905.521171823711</v>
      </c>
      <c r="H29" s="55">
        <f>-PMT('Lvl FCR Sub Equip'!$L$9,10,G29)</f>
        <v>5216.6073151551</v>
      </c>
      <c r="I29" s="77">
        <f t="shared" si="1"/>
        <v>0.1022455033770398</v>
      </c>
      <c r="J29" s="55"/>
    </row>
    <row r="30" spans="1:10" x14ac:dyDescent="0.2">
      <c r="A30" s="51">
        <f t="shared" si="2"/>
        <v>25</v>
      </c>
      <c r="B30" s="74"/>
      <c r="C30" s="74"/>
      <c r="D30" s="54"/>
      <c r="E30" s="67">
        <f>'Lvl FCR Sub Equip'!B42</f>
        <v>48979.591836734769</v>
      </c>
      <c r="F30" s="76">
        <f t="shared" ca="1" si="0"/>
        <v>0.16844670799616182</v>
      </c>
      <c r="G30" s="55">
        <f>NPV('Lvl FCR Sub Equip'!$L$9,'Lvl FCR Sub Equip'!L42:L51)</f>
        <v>34903.159681939345</v>
      </c>
      <c r="H30" s="55">
        <f>-PMT('Lvl FCR Sub Equip'!$L$9,10,G30)</f>
        <v>5070.9771694307738</v>
      </c>
      <c r="I30" s="77">
        <f t="shared" si="1"/>
        <v>0.1035324505425448</v>
      </c>
      <c r="J30" s="55"/>
    </row>
    <row r="31" spans="1:10" x14ac:dyDescent="0.2">
      <c r="A31" s="51">
        <f t="shared" si="2"/>
        <v>26</v>
      </c>
      <c r="B31" s="74"/>
      <c r="C31" s="74"/>
      <c r="D31" s="54"/>
      <c r="E31" s="67">
        <f>'Lvl FCR Sub Equip'!B43</f>
        <v>46938.775510204156</v>
      </c>
      <c r="F31" s="76">
        <f t="shared" ca="1" si="0"/>
        <v>0.17577047790903844</v>
      </c>
      <c r="G31" s="55">
        <f>NPV('Lvl FCR Sub Equip'!$L$9,'Lvl FCR Sub Equip'!L43:L52)</f>
        <v>33900.798192054979</v>
      </c>
      <c r="H31" s="55">
        <f>-PMT('Lvl FCR Sub Equip'!$L$9,10,G31)</f>
        <v>4925.3470237064485</v>
      </c>
      <c r="I31" s="77">
        <f t="shared" si="1"/>
        <v>0.10493130615722417</v>
      </c>
      <c r="J31" s="55"/>
    </row>
    <row r="32" spans="1:10" x14ac:dyDescent="0.2">
      <c r="A32" s="51">
        <f t="shared" si="2"/>
        <v>27</v>
      </c>
      <c r="B32" s="74"/>
      <c r="C32" s="74"/>
      <c r="D32" s="54"/>
      <c r="E32" s="67">
        <f>'Lvl FCR Sub Equip'!B44</f>
        <v>44897.959183673542</v>
      </c>
      <c r="F32" s="76">
        <f t="shared" ca="1" si="0"/>
        <v>0.18376004508672197</v>
      </c>
      <c r="G32" s="55">
        <f>NPV('Lvl FCR Sub Equip'!$L$9,'Lvl FCR Sub Equip'!L44:L53)</f>
        <v>32898.436702170606</v>
      </c>
      <c r="H32" s="55">
        <f>-PMT('Lvl FCR Sub Equip'!$L$9,10,G32)</f>
        <v>4779.7168779821222</v>
      </c>
      <c r="I32" s="77">
        <f t="shared" si="1"/>
        <v>0.1064573304641471</v>
      </c>
      <c r="J32" s="55"/>
    </row>
    <row r="33" spans="1:10" x14ac:dyDescent="0.2">
      <c r="A33" s="51">
        <f t="shared" si="2"/>
        <v>28</v>
      </c>
      <c r="B33" s="74"/>
      <c r="C33" s="74"/>
      <c r="D33" s="54"/>
      <c r="E33" s="67">
        <f>'Lvl FCR Sub Equip'!B45</f>
        <v>42857.142857142928</v>
      </c>
      <c r="F33" s="76">
        <f t="shared" ca="1" si="0"/>
        <v>0.19251052342418493</v>
      </c>
      <c r="G33" s="55">
        <f>NPV('Lvl FCR Sub Equip'!$L$9,'Lvl FCR Sub Equip'!L45:L54)</f>
        <v>31896.075212286247</v>
      </c>
      <c r="H33" s="55">
        <f>-PMT('Lvl FCR Sub Equip'!$L$9,10,G33)</f>
        <v>4634.0867322577978</v>
      </c>
      <c r="I33" s="77">
        <f t="shared" si="1"/>
        <v>0.10812869041934844</v>
      </c>
      <c r="J33" s="55"/>
    </row>
    <row r="34" spans="1:10" x14ac:dyDescent="0.2">
      <c r="A34" s="51">
        <f t="shared" si="2"/>
        <v>29</v>
      </c>
      <c r="B34" s="74"/>
      <c r="C34" s="74"/>
      <c r="D34" s="54"/>
      <c r="E34" s="67">
        <f>'Lvl FCR Sub Equip'!B46</f>
        <v>40816.326530612314</v>
      </c>
      <c r="F34" s="76">
        <f t="shared" ca="1" si="0"/>
        <v>0.20213604959539416</v>
      </c>
      <c r="G34" s="55">
        <f>NPV('Lvl FCR Sub Equip'!$L$9,'Lvl FCR Sub Equip'!L46:L55)</f>
        <v>30893.713722401877</v>
      </c>
      <c r="H34" s="55">
        <f>-PMT('Lvl FCR Sub Equip'!$L$9,10,G34)</f>
        <v>4488.4565865334707</v>
      </c>
      <c r="I34" s="77">
        <f t="shared" si="1"/>
        <v>0.10996718637006984</v>
      </c>
      <c r="J34" s="55"/>
    </row>
    <row r="35" spans="1:10" x14ac:dyDescent="0.2">
      <c r="A35" s="51">
        <f t="shared" si="2"/>
        <v>30</v>
      </c>
      <c r="B35" s="74"/>
      <c r="C35" s="74"/>
      <c r="D35" s="54"/>
      <c r="E35" s="67">
        <f>'Lvl FCR Sub Equip'!B47</f>
        <v>38775.5102040817</v>
      </c>
      <c r="F35" s="76">
        <f t="shared" ca="1" si="0"/>
        <v>0.21277478904778332</v>
      </c>
      <c r="G35" s="55">
        <f>NPV('Lvl FCR Sub Equip'!$L$9,'Lvl FCR Sub Equip'!L47:L56)</f>
        <v>29891.352232517504</v>
      </c>
      <c r="H35" s="55">
        <f>-PMT('Lvl FCR Sub Equip'!$L$9,10,G35)</f>
        <v>4342.8264408091445</v>
      </c>
      <c r="I35" s="77">
        <f t="shared" si="1"/>
        <v>0.1119992082103409</v>
      </c>
      <c r="J35" s="55"/>
    </row>
    <row r="36" spans="1:10" x14ac:dyDescent="0.2">
      <c r="A36" s="51">
        <f t="shared" si="2"/>
        <v>31</v>
      </c>
      <c r="B36" s="74"/>
      <c r="C36" s="74"/>
      <c r="D36" s="54"/>
      <c r="E36" s="67">
        <f>'Lvl FCR Sub Equip'!B48</f>
        <v>36734.693877551086</v>
      </c>
      <c r="F36" s="76">
        <f t="shared" ca="1" si="0"/>
        <v>0.22459561066154904</v>
      </c>
      <c r="G36" s="55">
        <f>NPV('Lvl FCR Sub Equip'!$L$9,'Lvl FCR Sub Equip'!L48:L57)</f>
        <v>28888.990742633134</v>
      </c>
      <c r="H36" s="55">
        <f>-PMT('Lvl FCR Sub Equip'!$L$9,10,G36)</f>
        <v>4197.1962950848183</v>
      </c>
      <c r="I36" s="77">
        <f t="shared" si="1"/>
        <v>0.11425701025508651</v>
      </c>
      <c r="J36" s="55"/>
    </row>
    <row r="37" spans="1:10" x14ac:dyDescent="0.2">
      <c r="A37" s="51">
        <f t="shared" si="2"/>
        <v>32</v>
      </c>
      <c r="B37" s="74"/>
      <c r="C37" s="74"/>
      <c r="D37" s="54"/>
      <c r="E37" s="67">
        <f>'Lvl FCR Sub Equip'!B49</f>
        <v>34693.877551020472</v>
      </c>
      <c r="F37" s="76">
        <f t="shared" ca="1" si="0"/>
        <v>0.23780711717105191</v>
      </c>
      <c r="G37" s="55">
        <f>NPV('Lvl FCR Sub Equip'!$L$9,'Lvl FCR Sub Equip'!L49:L58)</f>
        <v>27886.62925274876</v>
      </c>
      <c r="H37" s="55">
        <f>-PMT('Lvl FCR Sub Equip'!$L$9,10,G37)</f>
        <v>4051.5661493604912</v>
      </c>
      <c r="I37" s="77">
        <f t="shared" si="1"/>
        <v>0.11678043606980218</v>
      </c>
      <c r="J37" s="55"/>
    </row>
    <row r="38" spans="1:10" x14ac:dyDescent="0.2">
      <c r="A38" s="51">
        <f t="shared" si="2"/>
        <v>33</v>
      </c>
      <c r="B38" s="74"/>
      <c r="C38" s="74"/>
      <c r="D38" s="54"/>
      <c r="E38" s="67">
        <f>'Lvl FCR Sub Equip'!B50</f>
        <v>32653.061224489858</v>
      </c>
      <c r="F38" s="76">
        <f t="shared" ca="1" si="0"/>
        <v>0.25267006199424263</v>
      </c>
      <c r="G38" s="55">
        <f>NPV('Lvl FCR Sub Equip'!$L$9,'Lvl FCR Sub Equip'!L50:L59)</f>
        <v>26884.267762864391</v>
      </c>
      <c r="H38" s="55">
        <f>-PMT('Lvl FCR Sub Equip'!$L$9,10,G38)</f>
        <v>3905.936003636165</v>
      </c>
      <c r="I38" s="77">
        <f t="shared" si="1"/>
        <v>0.11961929011135733</v>
      </c>
      <c r="J38" s="55"/>
    </row>
    <row r="39" spans="1:10" x14ac:dyDescent="0.2">
      <c r="A39" s="51">
        <f t="shared" si="2"/>
        <v>34</v>
      </c>
      <c r="B39" s="74"/>
      <c r="C39" s="74"/>
      <c r="D39" s="54"/>
      <c r="E39" s="67">
        <f>'Lvl FCR Sub Equip'!B51</f>
        <v>30612.244897959245</v>
      </c>
      <c r="F39" s="76">
        <f t="shared" ref="F39:F43" ca="1" si="3">$C$5/E39</f>
        <v>0.26951473279385879</v>
      </c>
      <c r="G39" s="55">
        <f>NPV('Lvl FCR Sub Equip'!$L$9,'Lvl FCR Sub Equip'!L51:L60)</f>
        <v>25881.906272980024</v>
      </c>
      <c r="H39" s="55">
        <f>-PMT('Lvl FCR Sub Equip'!$L$9,10,G39)</f>
        <v>3760.3058579118392</v>
      </c>
      <c r="I39" s="77">
        <f t="shared" ref="I39:I40" si="4">H39/E39</f>
        <v>0.12283665802511984</v>
      </c>
      <c r="J39" s="55"/>
    </row>
    <row r="40" spans="1:10" x14ac:dyDescent="0.2">
      <c r="A40" s="51">
        <f t="shared" si="2"/>
        <v>35</v>
      </c>
      <c r="B40" s="74"/>
      <c r="C40" s="74"/>
      <c r="D40" s="54"/>
      <c r="E40" s="67">
        <f>'Lvl FCR Sub Equip'!B52</f>
        <v>28571.428571428631</v>
      </c>
      <c r="F40" s="76">
        <f t="shared" ca="1" si="3"/>
        <v>0.28876578513627726</v>
      </c>
      <c r="G40" s="55">
        <f>NPV('Lvl FCR Sub Equip'!$L$9,'Lvl FCR Sub Equip'!L52:L61)</f>
        <v>24879.544783095658</v>
      </c>
      <c r="H40" s="55">
        <f>-PMT('Lvl FCR Sub Equip'!$L$9,10,G40)</f>
        <v>3614.6757121875135</v>
      </c>
      <c r="I40" s="77">
        <f t="shared" si="4"/>
        <v>0.12651364992656272</v>
      </c>
      <c r="J40" s="55"/>
    </row>
    <row r="41" spans="1:10" x14ac:dyDescent="0.2">
      <c r="A41" s="51">
        <f t="shared" si="2"/>
        <v>36</v>
      </c>
      <c r="B41" s="74"/>
      <c r="C41" s="74"/>
      <c r="D41" s="54"/>
      <c r="E41" s="67">
        <f>'Lvl FCR Sub Equip'!B53</f>
        <v>26530.612244898017</v>
      </c>
      <c r="F41" s="76">
        <f t="shared" ca="1" si="3"/>
        <v>0.31097853783906781</v>
      </c>
      <c r="G41" s="55">
        <f>NPV('Lvl FCR Sub Equip'!$L$9,'Lvl FCR Sub Equip'!L53:L61)</f>
        <v>22546.051976190498</v>
      </c>
      <c r="H41" s="55">
        <f>-PMT('Lvl FCR Sub Equip'!$L$9,10,G41)</f>
        <v>3275.6494218264706</v>
      </c>
      <c r="I41" s="77">
        <f t="shared" ref="I41:I43" si="5">H41/E41</f>
        <v>0.12346678589961285</v>
      </c>
      <c r="J41" s="55"/>
    </row>
    <row r="42" spans="1:10" x14ac:dyDescent="0.2">
      <c r="A42" s="51">
        <f t="shared" si="2"/>
        <v>37</v>
      </c>
      <c r="B42" s="74"/>
      <c r="C42" s="74"/>
      <c r="D42" s="54"/>
      <c r="E42" s="67">
        <f>'Lvl FCR Sub Equip'!B54</f>
        <v>24489.795918367403</v>
      </c>
      <c r="F42" s="76">
        <f t="shared" ca="1" si="3"/>
        <v>0.33689341599232342</v>
      </c>
      <c r="G42" s="55">
        <f>NPV('Lvl FCR Sub Equip'!$L$9,'Lvl FCR Sub Equip'!L54:L61)</f>
        <v>20184.577450175915</v>
      </c>
      <c r="H42" s="55">
        <f>-PMT('Lvl FCR Sub Equip'!$L$9,10,G42)</f>
        <v>2932.5577499911333</v>
      </c>
      <c r="I42" s="77">
        <f t="shared" si="5"/>
        <v>0.11974610812463767</v>
      </c>
      <c r="J42" s="55"/>
    </row>
    <row r="43" spans="1:10" x14ac:dyDescent="0.2">
      <c r="A43" s="51">
        <f t="shared" si="2"/>
        <v>38</v>
      </c>
      <c r="B43" s="74"/>
      <c r="C43" s="74"/>
      <c r="D43" s="54"/>
      <c r="E43" s="67">
        <f>'Lvl FCR Sub Equip'!B55</f>
        <v>22448.979591836789</v>
      </c>
      <c r="F43" s="76">
        <f t="shared" ca="1" si="3"/>
        <v>0.36752009017344367</v>
      </c>
      <c r="G43" s="55">
        <f>NPV('Lvl FCR Sub Equip'!$L$9,'Lvl FCR Sub Equip'!L55:L61)</f>
        <v>17793.03936515018</v>
      </c>
      <c r="H43" s="55">
        <f>-PMT('Lvl FCR Sub Equip'!$L$9,10,G43)</f>
        <v>2585.0982322998161</v>
      </c>
      <c r="I43" s="77">
        <f t="shared" si="5"/>
        <v>0.11515437580244607</v>
      </c>
      <c r="J43" s="55"/>
    </row>
    <row r="44" spans="1:10" x14ac:dyDescent="0.2">
      <c r="A44" s="51">
        <f t="shared" si="2"/>
        <v>39</v>
      </c>
      <c r="B44" s="74"/>
      <c r="C44" s="74"/>
      <c r="D44" s="54"/>
      <c r="E44" s="67">
        <f>'Lvl FCR Sub Equip'!B56</f>
        <v>20408.163265306175</v>
      </c>
      <c r="F44" s="76">
        <f t="shared" ref="F44:F50" ca="1" si="6">$C$5/E44</f>
        <v>0.40427209919078799</v>
      </c>
      <c r="G44" s="55">
        <f>NPV('Lvl FCR Sub Equip'!$L$9,'Lvl FCR Sub Equip'!L56:L62)</f>
        <v>17020.093893297533</v>
      </c>
      <c r="H44" s="55">
        <f>-PMT('Lvl FCR Sub Equip'!$L$9,10,G44)</f>
        <v>2472.7992634758598</v>
      </c>
      <c r="I44" s="77">
        <f t="shared" ref="I44:I50" si="7">H44/E44</f>
        <v>0.12116716391031682</v>
      </c>
      <c r="J44" s="55"/>
    </row>
    <row r="45" spans="1:10" x14ac:dyDescent="0.2">
      <c r="A45" s="51">
        <f t="shared" si="2"/>
        <v>40</v>
      </c>
      <c r="B45" s="74"/>
      <c r="C45" s="74"/>
      <c r="D45" s="54"/>
      <c r="E45" s="67">
        <f>'Lvl FCR Sub Equip'!B57</f>
        <v>18367.346938775561</v>
      </c>
      <c r="F45" s="76">
        <f t="shared" ca="1" si="6"/>
        <v>0.44919122132309763</v>
      </c>
      <c r="G45" s="55">
        <f>NPV('Lvl FCR Sub Equip'!$L$9,'Lvl FCR Sub Equip'!L57:L63)</f>
        <v>16247.148421444892</v>
      </c>
      <c r="H45" s="55">
        <f>-PMT('Lvl FCR Sub Equip'!$L$9,10,G45)</f>
        <v>2360.5002946519044</v>
      </c>
      <c r="I45" s="77">
        <f t="shared" si="7"/>
        <v>0.12851612715326999</v>
      </c>
      <c r="J45" s="55"/>
    </row>
    <row r="46" spans="1:10" x14ac:dyDescent="0.2">
      <c r="A46" s="51">
        <f t="shared" si="2"/>
        <v>41</v>
      </c>
      <c r="B46" s="74"/>
      <c r="C46" s="74"/>
      <c r="D46" s="54"/>
      <c r="E46" s="67">
        <f>'Lvl FCR Sub Equip'!B58</f>
        <v>16326.530612244949</v>
      </c>
      <c r="F46" s="76">
        <f t="shared" ca="1" si="6"/>
        <v>0.50534012398848471</v>
      </c>
      <c r="G46" s="55">
        <f>NPV('Lvl FCR Sub Equip'!$L$9,'Lvl FCR Sub Equip'!L58:L64)</f>
        <v>15474.202949592247</v>
      </c>
      <c r="H46" s="55">
        <f>-PMT('Lvl FCR Sub Equip'!$L$9,10,G46)</f>
        <v>2248.2013258279485</v>
      </c>
      <c r="I46" s="77">
        <f t="shared" si="7"/>
        <v>0.1377023312069614</v>
      </c>
      <c r="J46" s="55"/>
    </row>
    <row r="47" spans="1:10" x14ac:dyDescent="0.2">
      <c r="A47" s="51">
        <f t="shared" si="2"/>
        <v>42</v>
      </c>
      <c r="B47" s="74"/>
      <c r="C47" s="74"/>
      <c r="D47" s="54"/>
      <c r="E47" s="67">
        <f>'Lvl FCR Sub Equip'!B59</f>
        <v>14285.714285714337</v>
      </c>
      <c r="F47" s="76">
        <f t="shared" ca="1" si="6"/>
        <v>0.57753157027255364</v>
      </c>
      <c r="G47" s="55">
        <f>NPV('Lvl FCR Sub Equip'!$L$9,'Lvl FCR Sub Equip'!L59:L65)</f>
        <v>14701.257477739602</v>
      </c>
      <c r="H47" s="55">
        <f>-PMT('Lvl FCR Sub Equip'!$L$9,10,G47)</f>
        <v>2135.9023570039926</v>
      </c>
      <c r="I47" s="77">
        <f t="shared" si="7"/>
        <v>0.14951316499027895</v>
      </c>
      <c r="J47" s="55"/>
    </row>
    <row r="48" spans="1:10" x14ac:dyDescent="0.2">
      <c r="A48" s="51">
        <f t="shared" si="2"/>
        <v>43</v>
      </c>
      <c r="B48" s="74"/>
      <c r="C48" s="74"/>
      <c r="D48" s="54"/>
      <c r="E48" s="67">
        <f>'Lvl FCR Sub Equip'!B60</f>
        <v>12244.897959183725</v>
      </c>
      <c r="F48" s="76">
        <f t="shared" ca="1" si="6"/>
        <v>0.67378683198464551</v>
      </c>
      <c r="G48" s="55">
        <f>NPV('Lvl FCR Sub Equip'!$L$9,'Lvl FCR Sub Equip'!L60:L65)</f>
        <v>12629.911115386234</v>
      </c>
      <c r="H48" s="55">
        <f>-PMT('Lvl FCR Sub Equip'!$L$9,10,G48)</f>
        <v>1834.9625507172691</v>
      </c>
      <c r="I48" s="77">
        <f t="shared" si="7"/>
        <v>0.14985527497524301</v>
      </c>
      <c r="J48" s="55"/>
    </row>
    <row r="49" spans="1:10" x14ac:dyDescent="0.2">
      <c r="A49" s="51">
        <f t="shared" si="2"/>
        <v>44</v>
      </c>
      <c r="B49" s="74"/>
      <c r="C49" s="74"/>
      <c r="D49" s="54"/>
      <c r="E49" s="67">
        <f>'Lvl FCR Sub Equip'!B61</f>
        <v>10204.081632653113</v>
      </c>
      <c r="F49" s="76">
        <f t="shared" ca="1" si="6"/>
        <v>0.80854419838157388</v>
      </c>
      <c r="G49" s="55">
        <f>NPV('Lvl FCR Sub Equip'!$L$9,'Lvl FCR Sub Equip'!L61:L65)</f>
        <v>10550.086729398101</v>
      </c>
      <c r="H49" s="55">
        <f>-PMT('Lvl FCR Sub Equip'!$L$9,10,G49)</f>
        <v>1532.7909973713804</v>
      </c>
      <c r="I49" s="77">
        <f t="shared" si="7"/>
        <v>0.15021351774239453</v>
      </c>
      <c r="J49" s="55"/>
    </row>
    <row r="50" spans="1:10" x14ac:dyDescent="0.2">
      <c r="A50" s="51">
        <f t="shared" si="2"/>
        <v>45</v>
      </c>
      <c r="B50" s="74"/>
      <c r="C50" s="74"/>
      <c r="D50" s="54"/>
      <c r="E50" s="67">
        <f>'Lvl FCR Sub Equip'!B62</f>
        <v>8163.265306122501</v>
      </c>
      <c r="F50" s="76">
        <f t="shared" ca="1" si="6"/>
        <v>1.0106802479769661</v>
      </c>
      <c r="G50" s="55">
        <f>NPV('Lvl FCR Sub Equip'!$L$9,'Lvl FCR Sub Equip'!L62:L65)</f>
        <v>8461.1535548167758</v>
      </c>
      <c r="H50" s="55">
        <f>-PMT('Lvl FCR Sub Equip'!$L$9,10,G50)</f>
        <v>1229.296054985125</v>
      </c>
      <c r="I50" s="77">
        <f t="shared" si="7"/>
        <v>0.15058876673567687</v>
      </c>
      <c r="J50" s="55"/>
    </row>
    <row r="51" spans="1:10" x14ac:dyDescent="0.2">
      <c r="A51" s="51">
        <f t="shared" si="2"/>
        <v>46</v>
      </c>
      <c r="B51" s="74"/>
      <c r="C51" s="74"/>
      <c r="D51" s="54"/>
      <c r="E51" s="67">
        <f>'Lvl FCR Sub Equip'!B63</f>
        <v>6122.4489795918889</v>
      </c>
      <c r="F51" s="76">
        <f t="shared" ref="F51:F53" ca="1" si="8">$C$5/E51</f>
        <v>1.3475736639692852</v>
      </c>
      <c r="G51" s="55">
        <f>NPV('Lvl FCR Sub Equip'!$L$9,'Lvl FCR Sub Equip'!L63:L65)</f>
        <v>6362.4338977709258</v>
      </c>
      <c r="H51" s="55">
        <f>-PMT('Lvl FCR Sub Equip'!$L$9,10,G51)</f>
        <v>924.37926341389982</v>
      </c>
      <c r="I51" s="77">
        <f t="shared" ref="I51:I53" si="9">H51/E51</f>
        <v>0.15098194635760234</v>
      </c>
      <c r="J51" s="55"/>
    </row>
    <row r="52" spans="1:10" x14ac:dyDescent="0.2">
      <c r="A52" s="51">
        <f t="shared" si="2"/>
        <v>47</v>
      </c>
      <c r="B52" s="74"/>
      <c r="C52" s="74"/>
      <c r="D52" s="54"/>
      <c r="E52" s="67">
        <f>'Lvl FCR Sub Equip'!B64</f>
        <v>4081.6326530612769</v>
      </c>
      <c r="F52" s="76">
        <f t="shared" ca="1" si="8"/>
        <v>2.0213604959539193</v>
      </c>
      <c r="G52" s="55">
        <f>NPV('Lvl FCR Sub Equip'!$L$9,'Lvl FCR Sub Equip'!L64:L65)</f>
        <v>4253.1996439651894</v>
      </c>
      <c r="H52" s="55">
        <f>-PMT('Lvl FCR Sub Equip'!$L$9,10,G52)</f>
        <v>617.93483707834287</v>
      </c>
      <c r="I52" s="77">
        <f t="shared" si="9"/>
        <v>0.15139403508419205</v>
      </c>
      <c r="J52" s="55"/>
    </row>
    <row r="53" spans="1:10" x14ac:dyDescent="0.2">
      <c r="A53" s="51">
        <f t="shared" si="2"/>
        <v>48</v>
      </c>
      <c r="B53" s="74"/>
      <c r="C53" s="74"/>
      <c r="D53" s="54"/>
      <c r="E53" s="67">
        <f>'Lvl FCR Sub Equip'!B65</f>
        <v>2040.8163265306646</v>
      </c>
      <c r="F53" s="76">
        <f t="shared" ca="1" si="8"/>
        <v>4.0427209919077862</v>
      </c>
      <c r="G53" s="55">
        <f>NPV('Lvl FCR Sub Equip'!$L$9,'Lvl FCR Sub Equip'!L65:L65)</f>
        <v>2132.6685074006332</v>
      </c>
      <c r="H53" s="55">
        <f>-PMT('Lvl FCR Sub Equip'!$L$9,10,G53)</f>
        <v>309.84911995198803</v>
      </c>
      <c r="I53" s="77">
        <f t="shared" si="9"/>
        <v>0.15182606877647023</v>
      </c>
      <c r="J53" s="55"/>
    </row>
    <row r="54" spans="1:10" x14ac:dyDescent="0.2">
      <c r="A54" s="51">
        <f t="shared" si="2"/>
        <v>49</v>
      </c>
      <c r="B54" s="74"/>
      <c r="C54" s="74"/>
      <c r="D54" s="54"/>
      <c r="E54" s="67"/>
      <c r="F54" s="76"/>
      <c r="G54" s="55"/>
      <c r="H54" s="55"/>
      <c r="I54" s="77"/>
      <c r="J54" s="55"/>
    </row>
    <row r="55" spans="1:10" ht="13.5" thickBot="1" x14ac:dyDescent="0.25">
      <c r="B55" s="74"/>
      <c r="C55" s="74"/>
      <c r="D55" s="59"/>
      <c r="E55" s="67"/>
      <c r="F55" s="76"/>
      <c r="G55" s="55"/>
      <c r="H55" s="55"/>
      <c r="I55" s="75"/>
      <c r="J55" s="55"/>
    </row>
  </sheetData>
  <mergeCells count="2">
    <mergeCell ref="A1:I1"/>
    <mergeCell ref="A2:I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53"/>
  <sheetViews>
    <sheetView showGridLines="0" zoomScaleNormal="100" workbookViewId="0">
      <pane xSplit="1" ySplit="16" topLeftCell="B17" activePane="bottomRight" state="frozen"/>
      <selection activeCell="C11" sqref="C11"/>
      <selection pane="topRight" activeCell="C11" sqref="C11"/>
      <selection pane="bottomLeft" activeCell="C11" sqref="C11"/>
      <selection pane="bottomRight" activeCell="C11" sqref="C11"/>
    </sheetView>
  </sheetViews>
  <sheetFormatPr defaultColWidth="13.28515625" defaultRowHeight="12.75" x14ac:dyDescent="0.2"/>
  <cols>
    <col min="1" max="1" width="8.7109375" style="1" bestFit="1" customWidth="1"/>
    <col min="2" max="2" width="10.7109375" style="1" customWidth="1"/>
    <col min="3" max="3" width="14.140625" style="1" bestFit="1" customWidth="1"/>
    <col min="4" max="4" width="12.28515625" style="1" bestFit="1" customWidth="1"/>
    <col min="5" max="5" width="11.28515625" style="1" bestFit="1" customWidth="1"/>
    <col min="6" max="6" width="10.85546875" style="1" bestFit="1" customWidth="1"/>
    <col min="7" max="8" width="9.28515625" style="1" bestFit="1" customWidth="1"/>
    <col min="9" max="9" width="12.140625" style="1" bestFit="1" customWidth="1"/>
    <col min="10" max="10" width="11.42578125" style="1" bestFit="1" customWidth="1"/>
    <col min="11" max="11" width="9.28515625" style="1" bestFit="1" customWidth="1"/>
    <col min="12" max="12" width="11.5703125" style="1" bestFit="1" customWidth="1"/>
    <col min="13" max="13" width="8.28515625" style="1" bestFit="1" customWidth="1"/>
    <col min="14" max="14" width="7" style="1" customWidth="1"/>
    <col min="15" max="15" width="9.28515625" style="1" bestFit="1" customWidth="1"/>
    <col min="16" max="22" width="13.28515625" style="1"/>
    <col min="23" max="23" width="2" style="1" bestFit="1" customWidth="1"/>
    <col min="24" max="25" width="15.5703125" style="1" customWidth="1"/>
    <col min="26" max="200" width="13.28515625" style="1"/>
    <col min="201" max="201" width="83" style="1" customWidth="1"/>
    <col min="202" max="16384" width="13.28515625" style="1"/>
  </cols>
  <sheetData>
    <row r="1" spans="1:25" ht="13.5" thickBot="1" x14ac:dyDescent="0.25">
      <c r="A1" s="126" t="s">
        <v>89</v>
      </c>
      <c r="B1" s="126"/>
      <c r="C1" s="126"/>
      <c r="D1" s="126"/>
      <c r="E1" s="126"/>
      <c r="F1" s="126"/>
      <c r="G1" s="126"/>
      <c r="H1" s="69"/>
      <c r="I1" s="69"/>
      <c r="J1" s="69"/>
      <c r="K1" s="69"/>
      <c r="L1" s="69"/>
      <c r="M1" s="69"/>
      <c r="N1" s="69"/>
      <c r="Q1" s="13"/>
      <c r="R1" s="13"/>
      <c r="S1" s="13"/>
      <c r="W1" s="108" t="s">
        <v>15</v>
      </c>
    </row>
    <row r="2" spans="1:25" ht="14.45" customHeight="1" thickBot="1" x14ac:dyDescent="0.25">
      <c r="A2" s="126" t="s">
        <v>28</v>
      </c>
      <c r="B2" s="126"/>
      <c r="C2" s="126"/>
      <c r="D2" s="126"/>
      <c r="E2" s="126"/>
      <c r="F2" s="126"/>
      <c r="G2" s="126"/>
      <c r="I2" s="132" t="s">
        <v>27</v>
      </c>
      <c r="J2" s="133"/>
      <c r="K2" s="133"/>
      <c r="L2" s="134"/>
      <c r="Q2" s="13"/>
      <c r="R2" s="13"/>
      <c r="S2" s="13"/>
      <c r="W2" s="108" t="s">
        <v>15</v>
      </c>
    </row>
    <row r="3" spans="1:25" x14ac:dyDescent="0.2">
      <c r="A3" s="12"/>
      <c r="B3" s="12"/>
      <c r="C3" s="12"/>
      <c r="D3" s="12"/>
      <c r="E3" s="12"/>
      <c r="F3" s="12"/>
      <c r="I3" s="7"/>
      <c r="J3" s="26"/>
      <c r="K3" s="27"/>
      <c r="L3" s="28"/>
      <c r="Q3" s="13"/>
      <c r="R3" s="13"/>
      <c r="S3" s="13"/>
      <c r="W3" s="108"/>
    </row>
    <row r="4" spans="1:25" x14ac:dyDescent="0.2">
      <c r="A4" s="12"/>
      <c r="B4" s="12"/>
      <c r="C4" s="12"/>
      <c r="D4" s="12"/>
      <c r="E4" s="12"/>
      <c r="F4" s="12"/>
      <c r="I4" s="7"/>
      <c r="J4" s="26"/>
      <c r="K4" s="27"/>
      <c r="L4" s="28"/>
      <c r="Q4" s="13"/>
      <c r="R4" s="13"/>
      <c r="S4" s="13"/>
      <c r="W4" s="108"/>
    </row>
    <row r="5" spans="1:25" x14ac:dyDescent="0.2">
      <c r="I5" s="9" t="s">
        <v>29</v>
      </c>
      <c r="J5" s="45">
        <f>+'LvlFCR Land'!J4</f>
        <v>0.51500000000000001</v>
      </c>
      <c r="K5" s="27">
        <f>+'LvlFCR Land'!K4</f>
        <v>5.4951456310679617E-2</v>
      </c>
      <c r="L5" s="28">
        <f>+'LvlFCR Land'!L4</f>
        <v>2.8299999999999999E-2</v>
      </c>
      <c r="Q5" s="13"/>
      <c r="R5" s="13"/>
      <c r="S5" s="13"/>
      <c r="W5" s="108" t="s">
        <v>15</v>
      </c>
      <c r="X5" s="13"/>
      <c r="Y5" s="13"/>
    </row>
    <row r="6" spans="1:25" x14ac:dyDescent="0.2">
      <c r="I6" s="9" t="s">
        <v>24</v>
      </c>
      <c r="J6" s="45">
        <f>+'LvlFCR Land'!J5</f>
        <v>0.48499999999999999</v>
      </c>
      <c r="K6" s="27">
        <f>+'LvlFCR Land'!K5</f>
        <v>9.5000000000000001E-2</v>
      </c>
      <c r="L6" s="28">
        <f>+'LvlFCR Land'!L5</f>
        <v>4.6100000000000002E-2</v>
      </c>
      <c r="Q6" s="13"/>
      <c r="R6" s="13"/>
      <c r="S6" s="13"/>
      <c r="W6" s="108" t="s">
        <v>15</v>
      </c>
      <c r="X6" s="13"/>
      <c r="Y6" s="13"/>
    </row>
    <row r="7" spans="1:25" x14ac:dyDescent="0.2">
      <c r="C7" s="131" t="s">
        <v>23</v>
      </c>
      <c r="D7" s="131"/>
      <c r="E7" s="13">
        <f>L70</f>
        <v>107598.80082014605</v>
      </c>
      <c r="I7" s="9"/>
      <c r="J7" s="26"/>
      <c r="K7" s="27"/>
      <c r="L7" s="28"/>
      <c r="Q7" s="13"/>
      <c r="R7" s="13"/>
      <c r="S7" s="13"/>
      <c r="W7" s="108" t="s">
        <v>15</v>
      </c>
      <c r="X7" s="13"/>
      <c r="Y7" s="13"/>
    </row>
    <row r="8" spans="1:25" x14ac:dyDescent="0.2">
      <c r="C8" s="131" t="s">
        <v>22</v>
      </c>
      <c r="D8" s="131"/>
      <c r="E8" s="13">
        <f>PMT(L9,H12,-E7)</f>
        <v>8250.4510038936533</v>
      </c>
      <c r="I8" s="10"/>
      <c r="J8" s="11"/>
      <c r="K8" s="11"/>
      <c r="L8" s="8" t="s">
        <v>14</v>
      </c>
      <c r="W8" s="108" t="s">
        <v>15</v>
      </c>
      <c r="X8" s="13"/>
      <c r="Y8" s="13"/>
    </row>
    <row r="9" spans="1:25" ht="13.5" thickBot="1" x14ac:dyDescent="0.25">
      <c r="C9" s="131" t="s">
        <v>21</v>
      </c>
      <c r="D9" s="131"/>
      <c r="E9" s="14">
        <f>($E$8/$D$12)*100</f>
        <v>8.2504510038936534</v>
      </c>
      <c r="I9" s="127" t="s">
        <v>20</v>
      </c>
      <c r="J9" s="128"/>
      <c r="K9" s="128"/>
      <c r="L9" s="29">
        <f>L7+L6+L5</f>
        <v>7.4399999999999994E-2</v>
      </c>
      <c r="Q9" s="13"/>
      <c r="R9" s="13"/>
      <c r="S9" s="13"/>
      <c r="W9" s="108" t="s">
        <v>15</v>
      </c>
      <c r="X9" s="13"/>
      <c r="Y9" s="13"/>
    </row>
    <row r="10" spans="1:25" x14ac:dyDescent="0.2">
      <c r="Q10" s="13"/>
      <c r="R10" s="13"/>
      <c r="S10" s="13"/>
      <c r="W10" s="108" t="s">
        <v>15</v>
      </c>
      <c r="X10" s="13"/>
      <c r="Y10" s="13"/>
    </row>
    <row r="11" spans="1:25" x14ac:dyDescent="0.2">
      <c r="C11" s="108" t="s">
        <v>19</v>
      </c>
      <c r="D11" s="15">
        <v>12</v>
      </c>
      <c r="H11" s="4">
        <f>+'Property Insurance Rate'!$D$8</f>
        <v>4.0000000000000002E-4</v>
      </c>
      <c r="I11" s="129" t="s">
        <v>26</v>
      </c>
      <c r="J11" s="129"/>
      <c r="K11" s="129"/>
      <c r="L11" s="129"/>
      <c r="M11" s="129"/>
      <c r="N11" s="63"/>
      <c r="Q11" s="13"/>
      <c r="R11" s="13"/>
      <c r="S11" s="13"/>
      <c r="W11" s="108" t="s">
        <v>15</v>
      </c>
      <c r="X11" s="13"/>
      <c r="Y11" s="13"/>
    </row>
    <row r="12" spans="1:25" x14ac:dyDescent="0.2">
      <c r="C12" s="108" t="s">
        <v>17</v>
      </c>
      <c r="D12" s="13">
        <v>100000</v>
      </c>
      <c r="E12" s="13"/>
      <c r="F12" s="108"/>
      <c r="G12" s="15"/>
      <c r="H12" s="5">
        <f>+'Sub &amp; Feeder Depr Life'!$D$12</f>
        <v>49</v>
      </c>
      <c r="I12" s="129" t="s">
        <v>33</v>
      </c>
      <c r="J12" s="129"/>
      <c r="K12" s="129"/>
      <c r="L12" s="129"/>
      <c r="M12" s="129"/>
      <c r="W12" s="108" t="s">
        <v>15</v>
      </c>
      <c r="X12" s="13"/>
      <c r="Y12" s="13"/>
    </row>
    <row r="13" spans="1:25" x14ac:dyDescent="0.2">
      <c r="C13" s="16" t="s">
        <v>16</v>
      </c>
      <c r="D13" s="13">
        <f>D12</f>
        <v>100000</v>
      </c>
      <c r="E13" s="13"/>
      <c r="G13" s="17"/>
      <c r="H13" s="6">
        <f>1-'Converson Factor'!$D$20</f>
        <v>0.24861900000000003</v>
      </c>
      <c r="I13" s="130" t="s">
        <v>56</v>
      </c>
      <c r="J13" s="129"/>
      <c r="K13" s="129"/>
      <c r="L13" s="129"/>
      <c r="M13" s="129"/>
      <c r="W13" s="108" t="s">
        <v>15</v>
      </c>
      <c r="X13" s="13"/>
      <c r="Y13" s="13"/>
    </row>
    <row r="14" spans="1:25" x14ac:dyDescent="0.2">
      <c r="C14" s="108" t="s">
        <v>18</v>
      </c>
      <c r="D14" s="13">
        <f>D12</f>
        <v>100000</v>
      </c>
      <c r="H14" s="6">
        <f>+'Converson Factor'!$C$19</f>
        <v>0.21</v>
      </c>
      <c r="I14" s="129" t="s">
        <v>37</v>
      </c>
      <c r="J14" s="129"/>
      <c r="K14" s="129"/>
      <c r="L14" s="129"/>
      <c r="M14" s="129"/>
      <c r="N14" s="64"/>
      <c r="O14" s="123"/>
      <c r="P14" s="123"/>
      <c r="Q14" s="123"/>
    </row>
    <row r="15" spans="1:25" x14ac:dyDescent="0.2">
      <c r="C15" s="105"/>
      <c r="H15" s="2"/>
      <c r="M15" s="64"/>
      <c r="N15" s="64"/>
      <c r="O15" s="105"/>
      <c r="P15" s="105"/>
      <c r="Q15" s="105"/>
    </row>
    <row r="16" spans="1:25" ht="26.25" thickBot="1" x14ac:dyDescent="0.25">
      <c r="A16" s="18" t="s">
        <v>42</v>
      </c>
      <c r="B16" s="18" t="s">
        <v>43</v>
      </c>
      <c r="C16" s="18" t="s">
        <v>52</v>
      </c>
      <c r="D16" s="18" t="s">
        <v>44</v>
      </c>
      <c r="E16" s="18" t="s">
        <v>54</v>
      </c>
      <c r="F16" s="18" t="s">
        <v>51</v>
      </c>
      <c r="G16" s="18" t="s">
        <v>45</v>
      </c>
      <c r="H16" s="18" t="s">
        <v>46</v>
      </c>
      <c r="I16" s="18" t="s">
        <v>53</v>
      </c>
      <c r="J16" s="18" t="s">
        <v>47</v>
      </c>
      <c r="K16" s="18" t="s">
        <v>48</v>
      </c>
      <c r="L16" s="18" t="s">
        <v>49</v>
      </c>
      <c r="M16" s="18" t="s">
        <v>50</v>
      </c>
    </row>
    <row r="17" spans="1:36" x14ac:dyDescent="0.2">
      <c r="A17" s="106">
        <v>1</v>
      </c>
      <c r="B17" s="22">
        <f>D12</f>
        <v>100000</v>
      </c>
      <c r="C17" s="20">
        <v>3.7999999999999999E-2</v>
      </c>
      <c r="D17" s="22">
        <f>D12</f>
        <v>100000</v>
      </c>
      <c r="E17" s="22">
        <f t="shared" ref="E17:E55" si="0">D$13*C17</f>
        <v>3800</v>
      </c>
      <c r="F17" s="22">
        <f t="shared" ref="F17:F61" si="1">H$14*(E17-I17*D$13/D$12)</f>
        <v>369.42857142857133</v>
      </c>
      <c r="G17" s="22">
        <f>L$5*D17*(D11/12)</f>
        <v>2830</v>
      </c>
      <c r="H17" s="22">
        <f>D17*(L$6+L$7)*(D11/12)</f>
        <v>4610</v>
      </c>
      <c r="I17" s="22">
        <f>(D11/12)*D$12/H$12</f>
        <v>2040.8163265306123</v>
      </c>
      <c r="J17" s="22">
        <f>+B17*$H$11</f>
        <v>40</v>
      </c>
      <c r="K17" s="22">
        <f t="shared" ref="K17:K61" si="2">(H$13/(1-H$13))*(H17+I17-E17+F17+J17)</f>
        <v>1078.7587472743048</v>
      </c>
      <c r="L17" s="22">
        <f>SUM(F17:K17)</f>
        <v>10969.00364523349</v>
      </c>
      <c r="M17" s="23">
        <f t="shared" ref="M17:M52" si="3">NPV($L$9,L17:L26)</f>
        <v>68142.39566542687</v>
      </c>
      <c r="O17" s="55"/>
      <c r="P17" s="55"/>
      <c r="Q17" s="67"/>
    </row>
    <row r="18" spans="1:36" x14ac:dyDescent="0.2">
      <c r="A18" s="106">
        <f t="shared" ref="A18:A66" si="4">A17+1</f>
        <v>2</v>
      </c>
      <c r="B18" s="22">
        <f t="shared" ref="B18:B55" si="5">B17-I17</f>
        <v>97959.183673469393</v>
      </c>
      <c r="C18" s="20">
        <v>7.1999999999999995E-2</v>
      </c>
      <c r="D18" s="22">
        <f t="shared" ref="D18:D55" si="6">D17-F17-I17</f>
        <v>97589.755102040828</v>
      </c>
      <c r="E18" s="22">
        <f t="shared" si="0"/>
        <v>7199.9999999999991</v>
      </c>
      <c r="F18" s="22">
        <f t="shared" si="1"/>
        <v>1083.4285714285711</v>
      </c>
      <c r="G18" s="22">
        <f t="shared" ref="G18:G49" si="7">L$5*D18</f>
        <v>2761.7900693877555</v>
      </c>
      <c r="H18" s="22">
        <f t="shared" ref="H18:H49" si="8">D18*(L$6+L$7)</f>
        <v>4498.8877102040824</v>
      </c>
      <c r="I18" s="22">
        <f t="shared" ref="I18:I61" si="9">IF(A18-A$17&gt;H$12,0,IF(A18-A$17=H$12,(12-D$11)/12*$D$12/H$12,D$12/H$12))</f>
        <v>2040.8163265306123</v>
      </c>
      <c r="J18" s="22">
        <f t="shared" ref="J18:J61" si="10">+B18*$H$11</f>
        <v>39.183673469387756</v>
      </c>
      <c r="K18" s="22">
        <f t="shared" si="2"/>
        <v>152.97247551272773</v>
      </c>
      <c r="L18" s="22">
        <f t="shared" ref="L18:L61" si="11">SUM(F18:K18)</f>
        <v>10577.078826533138</v>
      </c>
      <c r="M18" s="23">
        <f t="shared" si="3"/>
        <v>66377.362727326778</v>
      </c>
    </row>
    <row r="19" spans="1:36" x14ac:dyDescent="0.2">
      <c r="A19" s="106">
        <f t="shared" si="4"/>
        <v>3</v>
      </c>
      <c r="B19" s="22">
        <f t="shared" si="5"/>
        <v>95918.367346938787</v>
      </c>
      <c r="C19" s="20">
        <v>6.7000000000000004E-2</v>
      </c>
      <c r="D19" s="22">
        <f t="shared" si="6"/>
        <v>94465.510204081656</v>
      </c>
      <c r="E19" s="22">
        <f t="shared" si="0"/>
        <v>6700</v>
      </c>
      <c r="F19" s="22">
        <f t="shared" si="1"/>
        <v>978.42857142857144</v>
      </c>
      <c r="G19" s="22">
        <f t="shared" si="7"/>
        <v>2673.3739387755109</v>
      </c>
      <c r="H19" s="22">
        <f t="shared" si="8"/>
        <v>4354.8600204081649</v>
      </c>
      <c r="I19" s="22">
        <f t="shared" si="9"/>
        <v>2040.8163265306123</v>
      </c>
      <c r="J19" s="22">
        <f t="shared" si="10"/>
        <v>38.367346938775519</v>
      </c>
      <c r="K19" s="22">
        <f t="shared" si="2"/>
        <v>235.74477146500013</v>
      </c>
      <c r="L19" s="22">
        <f t="shared" si="11"/>
        <v>10321.590975546636</v>
      </c>
      <c r="M19" s="23">
        <f t="shared" si="3"/>
        <v>64760.544606908777</v>
      </c>
      <c r="O19" s="55"/>
      <c r="P19" s="55"/>
      <c r="Q19" s="67"/>
    </row>
    <row r="20" spans="1:36" x14ac:dyDescent="0.2">
      <c r="A20" s="106">
        <f t="shared" si="4"/>
        <v>4</v>
      </c>
      <c r="B20" s="22">
        <f t="shared" si="5"/>
        <v>93877.55102040818</v>
      </c>
      <c r="C20" s="20">
        <v>6.2E-2</v>
      </c>
      <c r="D20" s="22">
        <f t="shared" si="6"/>
        <v>91446.265306122485</v>
      </c>
      <c r="E20" s="22">
        <f t="shared" si="0"/>
        <v>6200</v>
      </c>
      <c r="F20" s="22">
        <f t="shared" si="1"/>
        <v>873.42857142857144</v>
      </c>
      <c r="G20" s="22">
        <f t="shared" si="7"/>
        <v>2587.9293081632663</v>
      </c>
      <c r="H20" s="22">
        <f t="shared" si="8"/>
        <v>4215.6728306122468</v>
      </c>
      <c r="I20" s="22">
        <f t="shared" si="9"/>
        <v>2040.8163265306123</v>
      </c>
      <c r="J20" s="22">
        <f t="shared" si="10"/>
        <v>37.551020408163275</v>
      </c>
      <c r="K20" s="22">
        <f t="shared" si="2"/>
        <v>320.11870529406201</v>
      </c>
      <c r="L20" s="22">
        <f t="shared" si="11"/>
        <v>10075.516762436922</v>
      </c>
      <c r="M20" s="23">
        <f t="shared" si="3"/>
        <v>63166.531518894561</v>
      </c>
      <c r="O20" s="55"/>
      <c r="P20" s="55"/>
      <c r="Q20" s="67"/>
    </row>
    <row r="21" spans="1:36" x14ac:dyDescent="0.2">
      <c r="A21" s="106">
        <f t="shared" si="4"/>
        <v>5</v>
      </c>
      <c r="B21" s="22">
        <f t="shared" si="5"/>
        <v>91836.734693877574</v>
      </c>
      <c r="C21" s="20">
        <v>5.7000000000000002E-2</v>
      </c>
      <c r="D21" s="22">
        <f t="shared" si="6"/>
        <v>88532.020408163313</v>
      </c>
      <c r="E21" s="22">
        <f t="shared" si="0"/>
        <v>5700</v>
      </c>
      <c r="F21" s="22">
        <f t="shared" si="1"/>
        <v>768.42857142857133</v>
      </c>
      <c r="G21" s="22">
        <f t="shared" si="7"/>
        <v>2505.4561775510215</v>
      </c>
      <c r="H21" s="22">
        <f t="shared" si="8"/>
        <v>4081.3261408163289</v>
      </c>
      <c r="I21" s="22">
        <f t="shared" si="9"/>
        <v>2040.8163265306123</v>
      </c>
      <c r="J21" s="22">
        <f t="shared" si="10"/>
        <v>36.734693877551031</v>
      </c>
      <c r="K21" s="22">
        <f t="shared" si="2"/>
        <v>406.09427699991352</v>
      </c>
      <c r="L21" s="22">
        <f t="shared" si="11"/>
        <v>9838.8561872039991</v>
      </c>
      <c r="M21" s="23">
        <f t="shared" si="3"/>
        <v>61587.606519818175</v>
      </c>
      <c r="O21" s="55"/>
      <c r="P21" s="55"/>
      <c r="Q21" s="67"/>
    </row>
    <row r="22" spans="1:36" x14ac:dyDescent="0.2">
      <c r="A22" s="106">
        <f t="shared" si="4"/>
        <v>6</v>
      </c>
      <c r="B22" s="22">
        <f t="shared" si="5"/>
        <v>89795.918367346967</v>
      </c>
      <c r="C22" s="20">
        <v>5.2999999999999999E-2</v>
      </c>
      <c r="D22" s="22">
        <f t="shared" si="6"/>
        <v>85722.775510204141</v>
      </c>
      <c r="E22" s="22">
        <f t="shared" si="0"/>
        <v>5300</v>
      </c>
      <c r="F22" s="22">
        <f t="shared" si="1"/>
        <v>684.42857142857133</v>
      </c>
      <c r="G22" s="22">
        <f t="shared" si="7"/>
        <v>2425.9545469387772</v>
      </c>
      <c r="H22" s="22">
        <f t="shared" si="8"/>
        <v>3951.8199510204113</v>
      </c>
      <c r="I22" s="22">
        <f t="shared" si="9"/>
        <v>2040.8163265306123</v>
      </c>
      <c r="J22" s="22">
        <f t="shared" si="10"/>
        <v>35.918367346938787</v>
      </c>
      <c r="K22" s="22">
        <f t="shared" si="2"/>
        <v>467.5317505498362</v>
      </c>
      <c r="L22" s="22">
        <f t="shared" si="11"/>
        <v>9606.4695138151474</v>
      </c>
      <c r="M22" s="23">
        <f t="shared" si="3"/>
        <v>60015.478525619816</v>
      </c>
      <c r="O22" s="55"/>
      <c r="P22" s="55"/>
      <c r="Q22" s="67"/>
    </row>
    <row r="23" spans="1:36" x14ac:dyDescent="0.2">
      <c r="A23" s="106">
        <f t="shared" si="4"/>
        <v>7</v>
      </c>
      <c r="B23" s="22">
        <f t="shared" si="5"/>
        <v>87755.10204081636</v>
      </c>
      <c r="C23" s="20">
        <v>4.9000000000000002E-2</v>
      </c>
      <c r="D23" s="22">
        <f t="shared" si="6"/>
        <v>82997.530612244969</v>
      </c>
      <c r="E23" s="22">
        <f t="shared" si="0"/>
        <v>4900</v>
      </c>
      <c r="F23" s="22">
        <f t="shared" si="1"/>
        <v>600.42857142857133</v>
      </c>
      <c r="G23" s="22">
        <f t="shared" si="7"/>
        <v>2348.8301163265323</v>
      </c>
      <c r="H23" s="22">
        <f t="shared" si="8"/>
        <v>3826.1861612244934</v>
      </c>
      <c r="I23" s="22">
        <f t="shared" si="9"/>
        <v>2040.8163265306123</v>
      </c>
      <c r="J23" s="22">
        <f t="shared" si="10"/>
        <v>35.102040816326543</v>
      </c>
      <c r="K23" s="22">
        <f t="shared" si="2"/>
        <v>530.25053440119063</v>
      </c>
      <c r="L23" s="22">
        <f t="shared" si="11"/>
        <v>9381.6137507277272</v>
      </c>
      <c r="M23" s="23">
        <f t="shared" si="3"/>
        <v>58446.379331618322</v>
      </c>
      <c r="O23" s="55"/>
      <c r="P23" s="55"/>
      <c r="Q23" s="67"/>
    </row>
    <row r="24" spans="1:36" x14ac:dyDescent="0.2">
      <c r="A24" s="106">
        <f t="shared" si="4"/>
        <v>8</v>
      </c>
      <c r="B24" s="22">
        <f t="shared" si="5"/>
        <v>85714.285714285754</v>
      </c>
      <c r="C24" s="20">
        <v>4.4999999999999998E-2</v>
      </c>
      <c r="D24" s="22">
        <f t="shared" si="6"/>
        <v>80356.285714285797</v>
      </c>
      <c r="E24" s="22">
        <f t="shared" si="0"/>
        <v>4500</v>
      </c>
      <c r="F24" s="22">
        <f t="shared" si="1"/>
        <v>516.42857142857133</v>
      </c>
      <c r="G24" s="22">
        <f t="shared" si="7"/>
        <v>2274.0828857142878</v>
      </c>
      <c r="H24" s="22">
        <f t="shared" si="8"/>
        <v>3704.4247714285752</v>
      </c>
      <c r="I24" s="22">
        <f t="shared" si="9"/>
        <v>2040.8163265306123</v>
      </c>
      <c r="J24" s="22">
        <f t="shared" si="10"/>
        <v>34.285714285714306</v>
      </c>
      <c r="K24" s="22">
        <f t="shared" si="2"/>
        <v>594.25062855397641</v>
      </c>
      <c r="L24" s="22">
        <f t="shared" si="11"/>
        <v>9164.2888979417366</v>
      </c>
      <c r="M24" s="23">
        <f t="shared" si="3"/>
        <v>56873.003370246908</v>
      </c>
      <c r="O24" s="55"/>
      <c r="P24" s="55"/>
      <c r="Q24" s="67"/>
    </row>
    <row r="25" spans="1:36" x14ac:dyDescent="0.2">
      <c r="A25" s="106">
        <f t="shared" si="4"/>
        <v>9</v>
      </c>
      <c r="B25" s="22">
        <f t="shared" si="5"/>
        <v>83673.469387755147</v>
      </c>
      <c r="C25" s="20">
        <v>4.4999999999999998E-2</v>
      </c>
      <c r="D25" s="22">
        <f t="shared" si="6"/>
        <v>77799.040816326626</v>
      </c>
      <c r="E25" s="22">
        <f t="shared" si="0"/>
        <v>4500</v>
      </c>
      <c r="F25" s="22">
        <f t="shared" si="1"/>
        <v>516.42857142857133</v>
      </c>
      <c r="G25" s="22">
        <f t="shared" si="7"/>
        <v>2201.7128551020432</v>
      </c>
      <c r="H25" s="22">
        <f t="shared" si="8"/>
        <v>3586.5357816326577</v>
      </c>
      <c r="I25" s="22">
        <f t="shared" si="9"/>
        <v>2040.8163265306123</v>
      </c>
      <c r="J25" s="22">
        <f t="shared" si="10"/>
        <v>33.469387755102062</v>
      </c>
      <c r="K25" s="22">
        <f t="shared" si="2"/>
        <v>554.97308887732027</v>
      </c>
      <c r="L25" s="22">
        <f t="shared" si="11"/>
        <v>8933.9360113263083</v>
      </c>
      <c r="M25" s="23">
        <f t="shared" si="3"/>
        <v>55287.501539711819</v>
      </c>
      <c r="O25" s="55"/>
      <c r="P25" s="55"/>
      <c r="Q25" s="67"/>
    </row>
    <row r="26" spans="1:36" x14ac:dyDescent="0.2">
      <c r="A26" s="106">
        <f t="shared" si="4"/>
        <v>10</v>
      </c>
      <c r="B26" s="22">
        <f t="shared" si="5"/>
        <v>81632.653061224541</v>
      </c>
      <c r="C26" s="20">
        <v>4.4999999999999998E-2</v>
      </c>
      <c r="D26" s="22">
        <f t="shared" si="6"/>
        <v>75241.795918367454</v>
      </c>
      <c r="E26" s="22">
        <f t="shared" si="0"/>
        <v>4500</v>
      </c>
      <c r="F26" s="22">
        <f t="shared" si="1"/>
        <v>516.42857142857133</v>
      </c>
      <c r="G26" s="22">
        <f t="shared" si="7"/>
        <v>2129.3428244897987</v>
      </c>
      <c r="H26" s="22">
        <f t="shared" si="8"/>
        <v>3468.6467918367398</v>
      </c>
      <c r="I26" s="22">
        <f t="shared" si="9"/>
        <v>2040.8163265306123</v>
      </c>
      <c r="J26" s="22">
        <f t="shared" si="10"/>
        <v>32.653061224489818</v>
      </c>
      <c r="K26" s="22">
        <f t="shared" si="2"/>
        <v>515.695549200664</v>
      </c>
      <c r="L26" s="22">
        <f t="shared" si="11"/>
        <v>8703.5831247108763</v>
      </c>
      <c r="M26" s="23">
        <f t="shared" si="3"/>
        <v>53701.999709176751</v>
      </c>
      <c r="O26" s="55"/>
      <c r="P26" s="55"/>
      <c r="Q26" s="67"/>
      <c r="R26" s="68"/>
      <c r="S26" s="68"/>
      <c r="T26" s="68"/>
    </row>
    <row r="27" spans="1:36" x14ac:dyDescent="0.2">
      <c r="A27" s="106">
        <f t="shared" si="4"/>
        <v>11</v>
      </c>
      <c r="B27" s="22">
        <f t="shared" si="5"/>
        <v>79591.836734693934</v>
      </c>
      <c r="C27" s="20">
        <v>4.4999999999999998E-2</v>
      </c>
      <c r="D27" s="22">
        <f t="shared" si="6"/>
        <v>72684.551020408282</v>
      </c>
      <c r="E27" s="22">
        <f t="shared" si="0"/>
        <v>4500</v>
      </c>
      <c r="F27" s="22">
        <f t="shared" si="1"/>
        <v>516.42857142857133</v>
      </c>
      <c r="G27" s="22">
        <f t="shared" si="7"/>
        <v>2056.9727938775541</v>
      </c>
      <c r="H27" s="22">
        <f t="shared" si="8"/>
        <v>3350.7578020408218</v>
      </c>
      <c r="I27" s="22">
        <f t="shared" si="9"/>
        <v>2040.8163265306123</v>
      </c>
      <c r="J27" s="22">
        <f t="shared" si="10"/>
        <v>31.836734693877574</v>
      </c>
      <c r="K27" s="22">
        <f t="shared" si="2"/>
        <v>476.4180095240078</v>
      </c>
      <c r="L27" s="22">
        <f t="shared" si="11"/>
        <v>8473.2302380954443</v>
      </c>
      <c r="M27" s="23">
        <f t="shared" si="3"/>
        <v>52116.497878641669</v>
      </c>
      <c r="O27" s="55"/>
      <c r="P27" s="55"/>
      <c r="Q27" s="67"/>
    </row>
    <row r="28" spans="1:36" x14ac:dyDescent="0.2">
      <c r="A28" s="106">
        <f t="shared" si="4"/>
        <v>12</v>
      </c>
      <c r="B28" s="22">
        <f t="shared" si="5"/>
        <v>77551.020408163327</v>
      </c>
      <c r="C28" s="20">
        <v>4.4999999999999998E-2</v>
      </c>
      <c r="D28" s="22">
        <f t="shared" si="6"/>
        <v>70127.30612244911</v>
      </c>
      <c r="E28" s="22">
        <f t="shared" si="0"/>
        <v>4500</v>
      </c>
      <c r="F28" s="22">
        <f t="shared" si="1"/>
        <v>516.42857142857133</v>
      </c>
      <c r="G28" s="22">
        <f t="shared" si="7"/>
        <v>1984.6027632653097</v>
      </c>
      <c r="H28" s="22">
        <f t="shared" si="8"/>
        <v>3232.8688122449043</v>
      </c>
      <c r="I28" s="22">
        <f t="shared" si="9"/>
        <v>2040.8163265306123</v>
      </c>
      <c r="J28" s="22">
        <f t="shared" si="10"/>
        <v>31.020408163265333</v>
      </c>
      <c r="K28" s="22">
        <f t="shared" si="2"/>
        <v>437.14046984735188</v>
      </c>
      <c r="L28" s="22">
        <f t="shared" si="11"/>
        <v>8242.8773514800159</v>
      </c>
      <c r="M28" s="23">
        <f t="shared" si="3"/>
        <v>50601.212495051295</v>
      </c>
      <c r="O28" s="55"/>
      <c r="P28" s="55"/>
      <c r="Q28" s="67"/>
    </row>
    <row r="29" spans="1:36" x14ac:dyDescent="0.2">
      <c r="A29" s="106">
        <f t="shared" si="4"/>
        <v>13</v>
      </c>
      <c r="B29" s="22">
        <f t="shared" si="5"/>
        <v>75510.204081632721</v>
      </c>
      <c r="C29" s="20">
        <v>4.4999999999999998E-2</v>
      </c>
      <c r="D29" s="22">
        <f t="shared" si="6"/>
        <v>67570.061224489938</v>
      </c>
      <c r="E29" s="22">
        <f t="shared" si="0"/>
        <v>4500</v>
      </c>
      <c r="F29" s="22">
        <f t="shared" si="1"/>
        <v>516.42857142857133</v>
      </c>
      <c r="G29" s="22">
        <f t="shared" si="7"/>
        <v>1912.2327326530651</v>
      </c>
      <c r="H29" s="22">
        <f t="shared" si="8"/>
        <v>3114.9798224489864</v>
      </c>
      <c r="I29" s="22">
        <f t="shared" si="9"/>
        <v>2040.8163265306123</v>
      </c>
      <c r="J29" s="22">
        <f t="shared" si="10"/>
        <v>30.204081632653089</v>
      </c>
      <c r="K29" s="22">
        <f t="shared" si="2"/>
        <v>397.86293017069568</v>
      </c>
      <c r="L29" s="22">
        <f t="shared" si="11"/>
        <v>8012.5244648645848</v>
      </c>
      <c r="M29" s="23">
        <f t="shared" si="3"/>
        <v>49159.503491270196</v>
      </c>
      <c r="O29" s="55"/>
      <c r="P29" s="55"/>
      <c r="Q29" s="67"/>
    </row>
    <row r="30" spans="1:36" x14ac:dyDescent="0.2">
      <c r="A30" s="106">
        <f t="shared" si="4"/>
        <v>14</v>
      </c>
      <c r="B30" s="22">
        <f t="shared" si="5"/>
        <v>73469.387755102114</v>
      </c>
      <c r="C30" s="20">
        <v>4.4999999999999998E-2</v>
      </c>
      <c r="D30" s="22">
        <f t="shared" si="6"/>
        <v>65012.816326530759</v>
      </c>
      <c r="E30" s="22">
        <f t="shared" si="0"/>
        <v>4500</v>
      </c>
      <c r="F30" s="22">
        <f t="shared" si="1"/>
        <v>516.42857142857133</v>
      </c>
      <c r="G30" s="22">
        <f t="shared" si="7"/>
        <v>1839.8627020408205</v>
      </c>
      <c r="H30" s="22">
        <f t="shared" si="8"/>
        <v>2997.090832653068</v>
      </c>
      <c r="I30" s="22">
        <f t="shared" si="9"/>
        <v>2040.8163265306123</v>
      </c>
      <c r="J30" s="22">
        <f t="shared" si="10"/>
        <v>29.387755102040845</v>
      </c>
      <c r="K30" s="22">
        <f t="shared" si="2"/>
        <v>358.58539049403925</v>
      </c>
      <c r="L30" s="22">
        <f t="shared" si="11"/>
        <v>7782.1715782491519</v>
      </c>
      <c r="M30" s="23">
        <f t="shared" si="3"/>
        <v>47769.829773346275</v>
      </c>
      <c r="O30" s="55"/>
      <c r="P30" s="55"/>
      <c r="Q30" s="67"/>
    </row>
    <row r="31" spans="1:36" x14ac:dyDescent="0.2">
      <c r="A31" s="106">
        <f t="shared" si="4"/>
        <v>15</v>
      </c>
      <c r="B31" s="22">
        <f t="shared" si="5"/>
        <v>71428.571428571508</v>
      </c>
      <c r="C31" s="20">
        <v>4.4999999999999998E-2</v>
      </c>
      <c r="D31" s="22">
        <f t="shared" si="6"/>
        <v>62455.571428571573</v>
      </c>
      <c r="E31" s="22">
        <f t="shared" si="0"/>
        <v>4500</v>
      </c>
      <c r="F31" s="22">
        <f t="shared" si="1"/>
        <v>516.42857142857133</v>
      </c>
      <c r="G31" s="22">
        <f t="shared" si="7"/>
        <v>1767.4926714285755</v>
      </c>
      <c r="H31" s="22">
        <f t="shared" si="8"/>
        <v>2879.2018428571496</v>
      </c>
      <c r="I31" s="22">
        <f t="shared" si="9"/>
        <v>2040.8163265306123</v>
      </c>
      <c r="J31" s="22">
        <f t="shared" si="10"/>
        <v>28.571428571428605</v>
      </c>
      <c r="K31" s="22">
        <f t="shared" si="2"/>
        <v>319.30785081738298</v>
      </c>
      <c r="L31" s="22">
        <f t="shared" si="11"/>
        <v>7551.8186916337199</v>
      </c>
      <c r="M31" s="23">
        <f t="shared" si="3"/>
        <v>46436.062766547315</v>
      </c>
      <c r="O31" s="55"/>
      <c r="P31" s="55"/>
      <c r="Q31" s="67"/>
    </row>
    <row r="32" spans="1:36" x14ac:dyDescent="0.2">
      <c r="A32" s="106">
        <f t="shared" si="4"/>
        <v>16</v>
      </c>
      <c r="B32" s="22">
        <f t="shared" si="5"/>
        <v>69387.755102040901</v>
      </c>
      <c r="C32" s="20">
        <v>4.4999999999999998E-2</v>
      </c>
      <c r="D32" s="22">
        <f t="shared" si="6"/>
        <v>59898.326530612387</v>
      </c>
      <c r="E32" s="22">
        <f t="shared" si="0"/>
        <v>4500</v>
      </c>
      <c r="F32" s="22">
        <f t="shared" si="1"/>
        <v>516.42857142857133</v>
      </c>
      <c r="G32" s="22">
        <f t="shared" si="7"/>
        <v>1695.1226408163304</v>
      </c>
      <c r="H32" s="22">
        <f t="shared" si="8"/>
        <v>2761.3128530612312</v>
      </c>
      <c r="I32" s="22">
        <f t="shared" si="9"/>
        <v>2040.8163265306123</v>
      </c>
      <c r="J32" s="22">
        <f t="shared" si="10"/>
        <v>27.755102040816361</v>
      </c>
      <c r="K32" s="22">
        <f t="shared" si="2"/>
        <v>280.0303111407265</v>
      </c>
      <c r="L32" s="22">
        <f t="shared" si="11"/>
        <v>7321.4658050182879</v>
      </c>
      <c r="M32" s="23">
        <f t="shared" si="3"/>
        <v>45162.361930181025</v>
      </c>
      <c r="O32" s="55"/>
      <c r="P32" s="55"/>
      <c r="Q32" s="67"/>
      <c r="AI32" s="13"/>
      <c r="AJ32" s="13"/>
    </row>
    <row r="33" spans="1:36" x14ac:dyDescent="0.2">
      <c r="A33" s="106">
        <f t="shared" si="4"/>
        <v>17</v>
      </c>
      <c r="B33" s="22">
        <f t="shared" si="5"/>
        <v>67346.938775510294</v>
      </c>
      <c r="C33" s="20">
        <v>4.4999999999999998E-2</v>
      </c>
      <c r="D33" s="22">
        <f t="shared" si="6"/>
        <v>57341.0816326532</v>
      </c>
      <c r="E33" s="22">
        <f t="shared" si="0"/>
        <v>4500</v>
      </c>
      <c r="F33" s="22">
        <f t="shared" si="1"/>
        <v>516.42857142857133</v>
      </c>
      <c r="G33" s="22">
        <f t="shared" si="7"/>
        <v>1622.7526102040856</v>
      </c>
      <c r="H33" s="22">
        <f t="shared" si="8"/>
        <v>2643.4238632653128</v>
      </c>
      <c r="I33" s="22">
        <f t="shared" si="9"/>
        <v>2040.8163265306123</v>
      </c>
      <c r="J33" s="22">
        <f t="shared" si="10"/>
        <v>26.93877551020412</v>
      </c>
      <c r="K33" s="22">
        <f t="shared" si="2"/>
        <v>240.75277146407026</v>
      </c>
      <c r="L33" s="22">
        <f t="shared" si="11"/>
        <v>7091.1129184028559</v>
      </c>
      <c r="M33" s="23">
        <f t="shared" si="3"/>
        <v>43953.196187327572</v>
      </c>
      <c r="O33" s="55"/>
      <c r="P33" s="55"/>
      <c r="Q33" s="67"/>
      <c r="AI33" s="13"/>
      <c r="AJ33" s="13"/>
    </row>
    <row r="34" spans="1:36" x14ac:dyDescent="0.2">
      <c r="A34" s="106">
        <f t="shared" si="4"/>
        <v>18</v>
      </c>
      <c r="B34" s="22">
        <f t="shared" si="5"/>
        <v>65306.12244897968</v>
      </c>
      <c r="C34" s="20">
        <v>4.4999999999999998E-2</v>
      </c>
      <c r="D34" s="22">
        <f t="shared" si="6"/>
        <v>54783.836734694014</v>
      </c>
      <c r="E34" s="22">
        <f t="shared" si="0"/>
        <v>4500</v>
      </c>
      <c r="F34" s="22">
        <f t="shared" si="1"/>
        <v>516.42857142857133</v>
      </c>
      <c r="G34" s="22">
        <f t="shared" si="7"/>
        <v>1550.3825795918406</v>
      </c>
      <c r="H34" s="22">
        <f t="shared" si="8"/>
        <v>2525.5348734693944</v>
      </c>
      <c r="I34" s="22">
        <f t="shared" si="9"/>
        <v>2040.8163265306123</v>
      </c>
      <c r="J34" s="22">
        <f t="shared" si="10"/>
        <v>26.122448979591873</v>
      </c>
      <c r="K34" s="22">
        <f t="shared" si="2"/>
        <v>201.47523178741378</v>
      </c>
      <c r="L34" s="22">
        <f t="shared" si="11"/>
        <v>6860.7600317874239</v>
      </c>
      <c r="M34" s="23">
        <f t="shared" si="3"/>
        <v>42813.366948944335</v>
      </c>
      <c r="O34" s="55"/>
      <c r="P34" s="55"/>
      <c r="Q34" s="67"/>
      <c r="AI34" s="13"/>
      <c r="AJ34" s="13"/>
    </row>
    <row r="35" spans="1:36" x14ac:dyDescent="0.2">
      <c r="A35" s="106">
        <f t="shared" si="4"/>
        <v>19</v>
      </c>
      <c r="B35" s="22">
        <f t="shared" si="5"/>
        <v>63265.306122449067</v>
      </c>
      <c r="C35" s="20">
        <v>4.4999999999999998E-2</v>
      </c>
      <c r="D35" s="22">
        <f t="shared" si="6"/>
        <v>52226.591836734828</v>
      </c>
      <c r="E35" s="22">
        <f t="shared" si="0"/>
        <v>4500</v>
      </c>
      <c r="F35" s="22">
        <f t="shared" si="1"/>
        <v>516.42857142857133</v>
      </c>
      <c r="G35" s="22">
        <f t="shared" si="7"/>
        <v>1478.0125489795955</v>
      </c>
      <c r="H35" s="22">
        <f t="shared" si="8"/>
        <v>2407.6458836734755</v>
      </c>
      <c r="I35" s="22">
        <f t="shared" si="9"/>
        <v>2040.8163265306123</v>
      </c>
      <c r="J35" s="22">
        <f t="shared" si="10"/>
        <v>25.306122448979629</v>
      </c>
      <c r="K35" s="22">
        <f t="shared" si="2"/>
        <v>162.19769211075726</v>
      </c>
      <c r="L35" s="22">
        <f t="shared" si="11"/>
        <v>6630.407145171991</v>
      </c>
      <c r="M35" s="23">
        <f t="shared" si="3"/>
        <v>41748.032850963886</v>
      </c>
      <c r="O35" s="55"/>
      <c r="P35" s="55"/>
      <c r="Q35" s="67"/>
      <c r="AI35" s="13"/>
      <c r="AJ35" s="13"/>
    </row>
    <row r="36" spans="1:36" x14ac:dyDescent="0.2">
      <c r="A36" s="106">
        <f t="shared" si="4"/>
        <v>20</v>
      </c>
      <c r="B36" s="22">
        <f t="shared" si="5"/>
        <v>61224.489795918453</v>
      </c>
      <c r="C36" s="20">
        <v>4.4999999999999998E-2</v>
      </c>
      <c r="D36" s="22">
        <f t="shared" si="6"/>
        <v>49669.346938775641</v>
      </c>
      <c r="E36" s="22">
        <f t="shared" si="0"/>
        <v>4500</v>
      </c>
      <c r="F36" s="22">
        <f t="shared" si="1"/>
        <v>516.42857142857133</v>
      </c>
      <c r="G36" s="22">
        <f t="shared" si="7"/>
        <v>1405.6425183673505</v>
      </c>
      <c r="H36" s="22">
        <f t="shared" si="8"/>
        <v>2289.7568938775571</v>
      </c>
      <c r="I36" s="22">
        <f t="shared" si="9"/>
        <v>2040.8163265306123</v>
      </c>
      <c r="J36" s="22">
        <f t="shared" si="10"/>
        <v>24.489795918367381</v>
      </c>
      <c r="K36" s="22">
        <f t="shared" si="2"/>
        <v>122.92015243410107</v>
      </c>
      <c r="L36" s="22">
        <f t="shared" si="11"/>
        <v>6400.0542585565599</v>
      </c>
      <c r="M36" s="23">
        <f t="shared" si="3"/>
        <v>40762.736331832195</v>
      </c>
      <c r="O36" s="55"/>
      <c r="P36" s="55"/>
      <c r="Q36" s="67"/>
      <c r="R36" s="68"/>
      <c r="S36" s="68"/>
      <c r="T36" s="68"/>
      <c r="AI36" s="13"/>
      <c r="AJ36" s="13"/>
    </row>
    <row r="37" spans="1:36" x14ac:dyDescent="0.2">
      <c r="A37" s="106">
        <f t="shared" si="4"/>
        <v>21</v>
      </c>
      <c r="B37" s="22">
        <f t="shared" si="5"/>
        <v>59183.673469387839</v>
      </c>
      <c r="C37" s="20">
        <v>1.7000000000000001E-2</v>
      </c>
      <c r="D37" s="22">
        <f t="shared" si="6"/>
        <v>47112.102040816455</v>
      </c>
      <c r="E37" s="22">
        <f t="shared" si="0"/>
        <v>1700.0000000000002</v>
      </c>
      <c r="F37" s="22">
        <f t="shared" si="1"/>
        <v>-71.571428571428584</v>
      </c>
      <c r="G37" s="22">
        <f t="shared" si="7"/>
        <v>1333.2724877551057</v>
      </c>
      <c r="H37" s="22">
        <f t="shared" si="8"/>
        <v>2171.8679040816387</v>
      </c>
      <c r="I37" s="22">
        <f t="shared" si="9"/>
        <v>2040.8163265306123</v>
      </c>
      <c r="J37" s="22">
        <f t="shared" si="10"/>
        <v>23.673469387755137</v>
      </c>
      <c r="K37" s="22">
        <f t="shared" si="2"/>
        <v>815.55522167356048</v>
      </c>
      <c r="L37" s="22">
        <f t="shared" si="11"/>
        <v>6313.6139808572434</v>
      </c>
      <c r="M37" s="23">
        <f t="shared" si="3"/>
        <v>39863.432187415616</v>
      </c>
      <c r="O37" s="55"/>
      <c r="P37" s="55"/>
      <c r="Q37" s="67"/>
    </row>
    <row r="38" spans="1:36" x14ac:dyDescent="0.2">
      <c r="A38" s="106">
        <f t="shared" si="4"/>
        <v>22</v>
      </c>
      <c r="B38" s="22">
        <f t="shared" si="5"/>
        <v>57142.857142857225</v>
      </c>
      <c r="C38" s="20">
        <v>0</v>
      </c>
      <c r="D38" s="22">
        <f t="shared" si="6"/>
        <v>45142.857142857269</v>
      </c>
      <c r="E38" s="22">
        <f t="shared" si="0"/>
        <v>0</v>
      </c>
      <c r="F38" s="22">
        <f t="shared" si="1"/>
        <v>-428.57142857142861</v>
      </c>
      <c r="G38" s="22">
        <f t="shared" si="7"/>
        <v>1277.5428571428606</v>
      </c>
      <c r="H38" s="22">
        <f t="shared" si="8"/>
        <v>2081.0857142857203</v>
      </c>
      <c r="I38" s="22">
        <f t="shared" si="9"/>
        <v>2040.8163265306123</v>
      </c>
      <c r="J38" s="22">
        <f t="shared" si="10"/>
        <v>22.85714285714289</v>
      </c>
      <c r="K38" s="22">
        <f t="shared" si="2"/>
        <v>1229.6223666631388</v>
      </c>
      <c r="L38" s="22">
        <f t="shared" si="11"/>
        <v>6223.3529789080458</v>
      </c>
      <c r="M38" s="23">
        <f t="shared" si="3"/>
        <v>38912.605641476825</v>
      </c>
      <c r="O38" s="55"/>
      <c r="P38" s="55"/>
      <c r="Q38" s="67"/>
    </row>
    <row r="39" spans="1:36" x14ac:dyDescent="0.2">
      <c r="A39" s="106">
        <f t="shared" si="4"/>
        <v>23</v>
      </c>
      <c r="B39" s="22">
        <f t="shared" si="5"/>
        <v>55102.040816326611</v>
      </c>
      <c r="C39" s="20">
        <v>0</v>
      </c>
      <c r="D39" s="22">
        <f t="shared" si="6"/>
        <v>43530.612244898082</v>
      </c>
      <c r="E39" s="22">
        <f t="shared" si="0"/>
        <v>0</v>
      </c>
      <c r="F39" s="22">
        <f t="shared" si="1"/>
        <v>-428.57142857142861</v>
      </c>
      <c r="G39" s="22">
        <f t="shared" si="7"/>
        <v>1231.9163265306156</v>
      </c>
      <c r="H39" s="22">
        <f t="shared" si="8"/>
        <v>2006.7612244898016</v>
      </c>
      <c r="I39" s="22">
        <f t="shared" si="9"/>
        <v>2040.8163265306123</v>
      </c>
      <c r="J39" s="22">
        <f t="shared" si="10"/>
        <v>22.040816326530646</v>
      </c>
      <c r="K39" s="22">
        <f t="shared" si="2"/>
        <v>1204.7595678775883</v>
      </c>
      <c r="L39" s="22">
        <f t="shared" si="11"/>
        <v>6077.7228331837196</v>
      </c>
      <c r="M39" s="23">
        <f t="shared" si="3"/>
        <v>37910.244151592451</v>
      </c>
      <c r="O39" s="55"/>
      <c r="P39" s="55"/>
      <c r="Q39" s="67"/>
    </row>
    <row r="40" spans="1:36" x14ac:dyDescent="0.2">
      <c r="A40" s="106">
        <f t="shared" si="4"/>
        <v>24</v>
      </c>
      <c r="B40" s="22">
        <f t="shared" si="5"/>
        <v>53061.224489795997</v>
      </c>
      <c r="C40" s="20">
        <v>0</v>
      </c>
      <c r="D40" s="22">
        <f t="shared" si="6"/>
        <v>41918.367346938896</v>
      </c>
      <c r="E40" s="22">
        <f t="shared" si="0"/>
        <v>0</v>
      </c>
      <c r="F40" s="22">
        <f t="shared" si="1"/>
        <v>-428.57142857142861</v>
      </c>
      <c r="G40" s="22">
        <f t="shared" si="7"/>
        <v>1186.2897959183706</v>
      </c>
      <c r="H40" s="22">
        <f t="shared" si="8"/>
        <v>1932.4367346938832</v>
      </c>
      <c r="I40" s="22">
        <f t="shared" si="9"/>
        <v>2040.8163265306123</v>
      </c>
      <c r="J40" s="22">
        <f t="shared" si="10"/>
        <v>21.224489795918402</v>
      </c>
      <c r="K40" s="22">
        <f t="shared" si="2"/>
        <v>1179.8967690920379</v>
      </c>
      <c r="L40" s="22">
        <f t="shared" si="11"/>
        <v>5932.0926874593933</v>
      </c>
      <c r="M40" s="23">
        <f t="shared" si="3"/>
        <v>36907.882661708078</v>
      </c>
      <c r="O40" s="55"/>
      <c r="P40" s="55"/>
      <c r="Q40" s="67"/>
    </row>
    <row r="41" spans="1:36" x14ac:dyDescent="0.2">
      <c r="A41" s="106">
        <f t="shared" si="4"/>
        <v>25</v>
      </c>
      <c r="B41" s="22">
        <f t="shared" si="5"/>
        <v>51020.408163265383</v>
      </c>
      <c r="C41" s="20">
        <v>0</v>
      </c>
      <c r="D41" s="22">
        <f t="shared" si="6"/>
        <v>40306.12244897971</v>
      </c>
      <c r="E41" s="22">
        <f t="shared" si="0"/>
        <v>0</v>
      </c>
      <c r="F41" s="22">
        <f t="shared" si="1"/>
        <v>-428.57142857142861</v>
      </c>
      <c r="G41" s="22">
        <f t="shared" si="7"/>
        <v>1140.6632653061258</v>
      </c>
      <c r="H41" s="22">
        <f t="shared" si="8"/>
        <v>1858.1122448979647</v>
      </c>
      <c r="I41" s="22">
        <f t="shared" si="9"/>
        <v>2040.8163265306123</v>
      </c>
      <c r="J41" s="22">
        <f t="shared" si="10"/>
        <v>20.408163265306154</v>
      </c>
      <c r="K41" s="22">
        <f t="shared" si="2"/>
        <v>1155.0339703064872</v>
      </c>
      <c r="L41" s="22">
        <f t="shared" si="11"/>
        <v>5786.4625417350671</v>
      </c>
      <c r="M41" s="23">
        <f t="shared" si="3"/>
        <v>35905.521171823711</v>
      </c>
      <c r="O41" s="55"/>
      <c r="P41" s="55"/>
      <c r="Q41" s="67"/>
    </row>
    <row r="42" spans="1:36" x14ac:dyDescent="0.2">
      <c r="A42" s="106">
        <f t="shared" si="4"/>
        <v>26</v>
      </c>
      <c r="B42" s="22">
        <f t="shared" si="5"/>
        <v>48979.591836734769</v>
      </c>
      <c r="C42" s="20">
        <v>0</v>
      </c>
      <c r="D42" s="22">
        <f t="shared" si="6"/>
        <v>38693.877551020523</v>
      </c>
      <c r="E42" s="22">
        <f t="shared" si="0"/>
        <v>0</v>
      </c>
      <c r="F42" s="22">
        <f t="shared" si="1"/>
        <v>-428.57142857142861</v>
      </c>
      <c r="G42" s="22">
        <f t="shared" si="7"/>
        <v>1095.0367346938808</v>
      </c>
      <c r="H42" s="22">
        <f t="shared" si="8"/>
        <v>1783.7877551020463</v>
      </c>
      <c r="I42" s="22">
        <f t="shared" si="9"/>
        <v>2040.8163265306123</v>
      </c>
      <c r="J42" s="22">
        <f t="shared" si="10"/>
        <v>19.59183673469391</v>
      </c>
      <c r="K42" s="22">
        <f t="shared" si="2"/>
        <v>1130.1711715209367</v>
      </c>
      <c r="L42" s="22">
        <f t="shared" si="11"/>
        <v>5640.8323960107409</v>
      </c>
      <c r="M42" s="23">
        <f t="shared" si="3"/>
        <v>34903.159681939345</v>
      </c>
      <c r="O42" s="55"/>
      <c r="P42" s="55"/>
      <c r="Q42" s="67"/>
    </row>
    <row r="43" spans="1:36" x14ac:dyDescent="0.2">
      <c r="A43" s="106">
        <f t="shared" si="4"/>
        <v>27</v>
      </c>
      <c r="B43" s="22">
        <f t="shared" si="5"/>
        <v>46938.775510204156</v>
      </c>
      <c r="C43" s="20">
        <v>0</v>
      </c>
      <c r="D43" s="22">
        <f t="shared" si="6"/>
        <v>37081.632653061337</v>
      </c>
      <c r="E43" s="22">
        <f t="shared" si="0"/>
        <v>0</v>
      </c>
      <c r="F43" s="22">
        <f t="shared" si="1"/>
        <v>-428.57142857142861</v>
      </c>
      <c r="G43" s="22">
        <f t="shared" si="7"/>
        <v>1049.4102040816358</v>
      </c>
      <c r="H43" s="22">
        <f t="shared" si="8"/>
        <v>1709.4632653061276</v>
      </c>
      <c r="I43" s="22">
        <f t="shared" si="9"/>
        <v>2040.8163265306123</v>
      </c>
      <c r="J43" s="22">
        <f t="shared" si="10"/>
        <v>18.775510204081662</v>
      </c>
      <c r="K43" s="22">
        <f t="shared" si="2"/>
        <v>1105.3083727353862</v>
      </c>
      <c r="L43" s="22">
        <f t="shared" si="11"/>
        <v>5495.2022502864147</v>
      </c>
      <c r="M43" s="23">
        <f t="shared" si="3"/>
        <v>33900.798192054979</v>
      </c>
      <c r="O43" s="55"/>
      <c r="P43" s="55"/>
      <c r="Q43" s="67"/>
    </row>
    <row r="44" spans="1:36" x14ac:dyDescent="0.2">
      <c r="A44" s="106">
        <f t="shared" si="4"/>
        <v>28</v>
      </c>
      <c r="B44" s="22">
        <f t="shared" si="5"/>
        <v>44897.959183673542</v>
      </c>
      <c r="C44" s="20">
        <v>0</v>
      </c>
      <c r="D44" s="22">
        <f t="shared" si="6"/>
        <v>35469.387755102151</v>
      </c>
      <c r="E44" s="22">
        <f t="shared" si="0"/>
        <v>0</v>
      </c>
      <c r="F44" s="22">
        <f t="shared" si="1"/>
        <v>-428.57142857142861</v>
      </c>
      <c r="G44" s="22">
        <f t="shared" si="7"/>
        <v>1003.7836734693908</v>
      </c>
      <c r="H44" s="22">
        <f t="shared" si="8"/>
        <v>1635.1387755102091</v>
      </c>
      <c r="I44" s="22">
        <f t="shared" si="9"/>
        <v>2040.8163265306123</v>
      </c>
      <c r="J44" s="22">
        <f t="shared" si="10"/>
        <v>17.959183673469418</v>
      </c>
      <c r="K44" s="22">
        <f t="shared" si="2"/>
        <v>1080.4455739498358</v>
      </c>
      <c r="L44" s="22">
        <f t="shared" si="11"/>
        <v>5349.5721045620885</v>
      </c>
      <c r="M44" s="23">
        <f t="shared" si="3"/>
        <v>32898.436702170606</v>
      </c>
      <c r="O44" s="55"/>
      <c r="P44" s="55"/>
      <c r="Q44" s="67"/>
    </row>
    <row r="45" spans="1:36" x14ac:dyDescent="0.2">
      <c r="A45" s="106">
        <f t="shared" si="4"/>
        <v>29</v>
      </c>
      <c r="B45" s="22">
        <f t="shared" si="5"/>
        <v>42857.142857142928</v>
      </c>
      <c r="C45" s="20">
        <v>0</v>
      </c>
      <c r="D45" s="22">
        <f t="shared" si="6"/>
        <v>33857.142857142964</v>
      </c>
      <c r="E45" s="22">
        <f t="shared" si="0"/>
        <v>0</v>
      </c>
      <c r="F45" s="22">
        <f t="shared" si="1"/>
        <v>-428.57142857142861</v>
      </c>
      <c r="G45" s="22">
        <f t="shared" si="7"/>
        <v>958.1571428571458</v>
      </c>
      <c r="H45" s="22">
        <f t="shared" si="8"/>
        <v>1560.8142857142907</v>
      </c>
      <c r="I45" s="22">
        <f t="shared" si="9"/>
        <v>2040.8163265306123</v>
      </c>
      <c r="J45" s="22">
        <f t="shared" si="10"/>
        <v>17.142857142857171</v>
      </c>
      <c r="K45" s="22">
        <f t="shared" si="2"/>
        <v>1055.5827751642853</v>
      </c>
      <c r="L45" s="22">
        <f t="shared" si="11"/>
        <v>5203.9419588377623</v>
      </c>
      <c r="M45" s="23">
        <f t="shared" si="3"/>
        <v>31896.075212286247</v>
      </c>
      <c r="O45" s="55"/>
      <c r="P45" s="55"/>
      <c r="Q45" s="67"/>
      <c r="R45" s="68"/>
      <c r="S45" s="68"/>
      <c r="T45" s="68"/>
    </row>
    <row r="46" spans="1:36" x14ac:dyDescent="0.2">
      <c r="A46" s="106">
        <f t="shared" si="4"/>
        <v>30</v>
      </c>
      <c r="B46" s="22">
        <f t="shared" si="5"/>
        <v>40816.326530612314</v>
      </c>
      <c r="C46" s="20">
        <v>0</v>
      </c>
      <c r="D46" s="22">
        <f t="shared" si="6"/>
        <v>32244.897959183778</v>
      </c>
      <c r="E46" s="22">
        <f t="shared" si="0"/>
        <v>0</v>
      </c>
      <c r="F46" s="22">
        <f t="shared" si="1"/>
        <v>-428.57142857142861</v>
      </c>
      <c r="G46" s="22">
        <f t="shared" si="7"/>
        <v>912.53061224490091</v>
      </c>
      <c r="H46" s="22">
        <f t="shared" si="8"/>
        <v>1486.4897959183722</v>
      </c>
      <c r="I46" s="22">
        <f t="shared" si="9"/>
        <v>2040.8163265306123</v>
      </c>
      <c r="J46" s="22">
        <f t="shared" si="10"/>
        <v>16.326530612244927</v>
      </c>
      <c r="K46" s="22">
        <f t="shared" si="2"/>
        <v>1030.7199763787346</v>
      </c>
      <c r="L46" s="22">
        <f t="shared" si="11"/>
        <v>5058.3118131134361</v>
      </c>
      <c r="M46" s="23">
        <f t="shared" si="3"/>
        <v>30893.713722401877</v>
      </c>
      <c r="O46" s="55"/>
      <c r="P46" s="55"/>
      <c r="Q46" s="67"/>
    </row>
    <row r="47" spans="1:36" x14ac:dyDescent="0.2">
      <c r="A47" s="106">
        <f t="shared" si="4"/>
        <v>31</v>
      </c>
      <c r="B47" s="22">
        <f t="shared" si="5"/>
        <v>38775.5102040817</v>
      </c>
      <c r="C47" s="20">
        <v>0</v>
      </c>
      <c r="D47" s="22">
        <f t="shared" si="6"/>
        <v>30632.653061224592</v>
      </c>
      <c r="E47" s="22">
        <f t="shared" si="0"/>
        <v>0</v>
      </c>
      <c r="F47" s="22">
        <f t="shared" si="1"/>
        <v>-428.57142857142861</v>
      </c>
      <c r="G47" s="22">
        <f t="shared" si="7"/>
        <v>866.9040816326559</v>
      </c>
      <c r="H47" s="22">
        <f t="shared" si="8"/>
        <v>1412.1653061224538</v>
      </c>
      <c r="I47" s="22">
        <f t="shared" si="9"/>
        <v>2040.8163265306123</v>
      </c>
      <c r="J47" s="22">
        <f t="shared" si="10"/>
        <v>15.510204081632681</v>
      </c>
      <c r="K47" s="22">
        <f t="shared" si="2"/>
        <v>1005.8571775931841</v>
      </c>
      <c r="L47" s="22">
        <f t="shared" si="11"/>
        <v>4912.6816673891099</v>
      </c>
      <c r="M47" s="23">
        <f t="shared" si="3"/>
        <v>29891.352232517504</v>
      </c>
      <c r="O47" s="55"/>
      <c r="P47" s="55"/>
      <c r="Q47" s="67"/>
    </row>
    <row r="48" spans="1:36" x14ac:dyDescent="0.2">
      <c r="A48" s="106">
        <f t="shared" si="4"/>
        <v>32</v>
      </c>
      <c r="B48" s="22">
        <f t="shared" si="5"/>
        <v>36734.693877551086</v>
      </c>
      <c r="C48" s="20">
        <v>0</v>
      </c>
      <c r="D48" s="22">
        <f t="shared" si="6"/>
        <v>29020.408163265405</v>
      </c>
      <c r="E48" s="22">
        <f t="shared" si="0"/>
        <v>0</v>
      </c>
      <c r="F48" s="22">
        <f t="shared" si="1"/>
        <v>-428.57142857142861</v>
      </c>
      <c r="G48" s="22">
        <f t="shared" si="7"/>
        <v>821.2775510204109</v>
      </c>
      <c r="H48" s="22">
        <f t="shared" si="8"/>
        <v>1337.8408163265353</v>
      </c>
      <c r="I48" s="22">
        <f t="shared" si="9"/>
        <v>2040.8163265306123</v>
      </c>
      <c r="J48" s="22">
        <f t="shared" si="10"/>
        <v>14.693877551020435</v>
      </c>
      <c r="K48" s="22">
        <f t="shared" si="2"/>
        <v>980.99437880763355</v>
      </c>
      <c r="L48" s="22">
        <f t="shared" si="11"/>
        <v>4767.0515216647836</v>
      </c>
      <c r="M48" s="23">
        <f t="shared" si="3"/>
        <v>28888.990742633134</v>
      </c>
      <c r="O48" s="55"/>
      <c r="P48" s="55"/>
      <c r="Q48" s="67"/>
    </row>
    <row r="49" spans="1:20" x14ac:dyDescent="0.2">
      <c r="A49" s="106">
        <f t="shared" si="4"/>
        <v>33</v>
      </c>
      <c r="B49" s="22">
        <f t="shared" si="5"/>
        <v>34693.877551020472</v>
      </c>
      <c r="C49" s="20">
        <v>0</v>
      </c>
      <c r="D49" s="22">
        <f t="shared" si="6"/>
        <v>27408.163265306219</v>
      </c>
      <c r="E49" s="22">
        <f t="shared" si="0"/>
        <v>0</v>
      </c>
      <c r="F49" s="22">
        <f t="shared" si="1"/>
        <v>-428.57142857142861</v>
      </c>
      <c r="G49" s="22">
        <f t="shared" si="7"/>
        <v>775.651020408166</v>
      </c>
      <c r="H49" s="22">
        <f t="shared" si="8"/>
        <v>1263.5163265306167</v>
      </c>
      <c r="I49" s="22">
        <f t="shared" si="9"/>
        <v>2040.8163265306123</v>
      </c>
      <c r="J49" s="22">
        <f t="shared" si="10"/>
        <v>13.877551020408189</v>
      </c>
      <c r="K49" s="22">
        <f t="shared" si="2"/>
        <v>956.13158002208286</v>
      </c>
      <c r="L49" s="22">
        <f t="shared" si="11"/>
        <v>4621.4213759404574</v>
      </c>
      <c r="M49" s="23">
        <f t="shared" si="3"/>
        <v>27886.62925274876</v>
      </c>
      <c r="O49" s="55"/>
      <c r="P49" s="55"/>
      <c r="Q49" s="67"/>
    </row>
    <row r="50" spans="1:20" x14ac:dyDescent="0.2">
      <c r="A50" s="106">
        <f t="shared" si="4"/>
        <v>34</v>
      </c>
      <c r="B50" s="22">
        <f t="shared" si="5"/>
        <v>32653.061224489858</v>
      </c>
      <c r="C50" s="20">
        <v>0</v>
      </c>
      <c r="D50" s="22">
        <f t="shared" si="6"/>
        <v>25795.918367347032</v>
      </c>
      <c r="E50" s="22">
        <f t="shared" si="0"/>
        <v>0</v>
      </c>
      <c r="F50" s="22">
        <f t="shared" si="1"/>
        <v>-428.57142857142861</v>
      </c>
      <c r="G50" s="22">
        <f t="shared" ref="G50:G65" si="12">L$5*D50</f>
        <v>730.024489795921</v>
      </c>
      <c r="H50" s="22">
        <f t="shared" ref="H50:H65" si="13">D50*(L$6+L$7)</f>
        <v>1189.1918367346982</v>
      </c>
      <c r="I50" s="22">
        <f t="shared" si="9"/>
        <v>2040.8163265306123</v>
      </c>
      <c r="J50" s="22">
        <f t="shared" si="10"/>
        <v>13.061224489795944</v>
      </c>
      <c r="K50" s="22">
        <f t="shared" si="2"/>
        <v>931.26878123653239</v>
      </c>
      <c r="L50" s="22">
        <f t="shared" si="11"/>
        <v>4475.7912302161312</v>
      </c>
      <c r="M50" s="23">
        <f t="shared" si="3"/>
        <v>26884.267762864391</v>
      </c>
      <c r="O50" s="55"/>
      <c r="P50" s="55"/>
      <c r="Q50" s="67"/>
    </row>
    <row r="51" spans="1:20" x14ac:dyDescent="0.2">
      <c r="A51" s="106">
        <f t="shared" si="4"/>
        <v>35</v>
      </c>
      <c r="B51" s="22">
        <f t="shared" si="5"/>
        <v>30612.244897959245</v>
      </c>
      <c r="C51" s="20">
        <v>0</v>
      </c>
      <c r="D51" s="22">
        <f t="shared" si="6"/>
        <v>24183.673469387846</v>
      </c>
      <c r="E51" s="22">
        <f t="shared" si="0"/>
        <v>0</v>
      </c>
      <c r="F51" s="22">
        <f t="shared" si="1"/>
        <v>-428.57142857142861</v>
      </c>
      <c r="G51" s="22">
        <f t="shared" si="12"/>
        <v>684.39795918367599</v>
      </c>
      <c r="H51" s="22">
        <f t="shared" si="13"/>
        <v>1114.8673469387797</v>
      </c>
      <c r="I51" s="22">
        <f t="shared" si="9"/>
        <v>2040.8163265306123</v>
      </c>
      <c r="J51" s="22">
        <f t="shared" si="10"/>
        <v>12.244897959183698</v>
      </c>
      <c r="K51" s="22">
        <f t="shared" si="2"/>
        <v>906.40598245098181</v>
      </c>
      <c r="L51" s="22">
        <f t="shared" si="11"/>
        <v>4330.161084491805</v>
      </c>
      <c r="M51" s="23">
        <f t="shared" si="3"/>
        <v>25881.906272980024</v>
      </c>
      <c r="O51" s="55"/>
      <c r="P51" s="55"/>
      <c r="Q51" s="67"/>
      <c r="R51" s="68"/>
      <c r="S51" s="68"/>
      <c r="T51" s="68"/>
    </row>
    <row r="52" spans="1:20" x14ac:dyDescent="0.2">
      <c r="A52" s="106">
        <f t="shared" si="4"/>
        <v>36</v>
      </c>
      <c r="B52" s="22">
        <f t="shared" si="5"/>
        <v>28571.428571428631</v>
      </c>
      <c r="C52" s="20">
        <v>0</v>
      </c>
      <c r="D52" s="22">
        <f t="shared" si="6"/>
        <v>22571.42857142866</v>
      </c>
      <c r="E52" s="22">
        <f t="shared" si="0"/>
        <v>0</v>
      </c>
      <c r="F52" s="22">
        <f t="shared" si="1"/>
        <v>-428.57142857142861</v>
      </c>
      <c r="G52" s="22">
        <f t="shared" si="12"/>
        <v>638.77142857143099</v>
      </c>
      <c r="H52" s="22">
        <f t="shared" si="13"/>
        <v>1040.5428571428613</v>
      </c>
      <c r="I52" s="22">
        <f t="shared" si="9"/>
        <v>2040.8163265306123</v>
      </c>
      <c r="J52" s="22">
        <f t="shared" si="10"/>
        <v>11.428571428571454</v>
      </c>
      <c r="K52" s="22">
        <f t="shared" si="2"/>
        <v>881.54318366543134</v>
      </c>
      <c r="L52" s="22">
        <f t="shared" si="11"/>
        <v>4184.5309387674788</v>
      </c>
      <c r="M52" s="23">
        <f t="shared" si="3"/>
        <v>24879.544783095658</v>
      </c>
      <c r="O52" s="55"/>
      <c r="P52" s="55"/>
      <c r="Q52" s="67"/>
    </row>
    <row r="53" spans="1:20" x14ac:dyDescent="0.2">
      <c r="A53" s="106">
        <f t="shared" si="4"/>
        <v>37</v>
      </c>
      <c r="B53" s="22">
        <f t="shared" si="5"/>
        <v>26530.612244898017</v>
      </c>
      <c r="C53" s="20">
        <v>0</v>
      </c>
      <c r="D53" s="22">
        <f t="shared" si="6"/>
        <v>20959.183673469473</v>
      </c>
      <c r="E53" s="22">
        <f t="shared" si="0"/>
        <v>0</v>
      </c>
      <c r="F53" s="22">
        <f t="shared" si="1"/>
        <v>-428.57142857142861</v>
      </c>
      <c r="G53" s="22">
        <f t="shared" si="12"/>
        <v>593.1448979591861</v>
      </c>
      <c r="H53" s="22">
        <f t="shared" si="13"/>
        <v>966.21836734694273</v>
      </c>
      <c r="I53" s="22">
        <f t="shared" si="9"/>
        <v>2040.8163265306123</v>
      </c>
      <c r="J53" s="22">
        <f t="shared" si="10"/>
        <v>10.612244897959208</v>
      </c>
      <c r="K53" s="22">
        <f t="shared" si="2"/>
        <v>856.68038487988076</v>
      </c>
      <c r="L53" s="22">
        <f t="shared" si="11"/>
        <v>4038.9007930431521</v>
      </c>
      <c r="M53" s="23">
        <f>NPV($L$9,L53:L61)</f>
        <v>22546.051976190498</v>
      </c>
      <c r="O53" s="55"/>
      <c r="P53" s="55"/>
    </row>
    <row r="54" spans="1:20" x14ac:dyDescent="0.2">
      <c r="A54" s="106">
        <f t="shared" si="4"/>
        <v>38</v>
      </c>
      <c r="B54" s="22">
        <f t="shared" si="5"/>
        <v>24489.795918367403</v>
      </c>
      <c r="C54" s="20">
        <v>0</v>
      </c>
      <c r="D54" s="22">
        <f t="shared" si="6"/>
        <v>19346.938775510287</v>
      </c>
      <c r="E54" s="22">
        <f t="shared" si="0"/>
        <v>0</v>
      </c>
      <c r="F54" s="22">
        <f t="shared" si="1"/>
        <v>-428.57142857142861</v>
      </c>
      <c r="G54" s="22">
        <f t="shared" si="12"/>
        <v>547.51836734694109</v>
      </c>
      <c r="H54" s="22">
        <f t="shared" si="13"/>
        <v>891.89387755102427</v>
      </c>
      <c r="I54" s="22">
        <f t="shared" si="9"/>
        <v>2040.8163265306123</v>
      </c>
      <c r="J54" s="22">
        <f t="shared" si="10"/>
        <v>9.7959183673469621</v>
      </c>
      <c r="K54" s="22">
        <f t="shared" si="2"/>
        <v>831.8175860943303</v>
      </c>
      <c r="L54" s="22">
        <f t="shared" si="11"/>
        <v>3893.2706473188259</v>
      </c>
      <c r="M54" s="23">
        <f>NPV($L$9,L54:L61)</f>
        <v>20184.577450175915</v>
      </c>
      <c r="O54" s="55"/>
      <c r="P54" s="55"/>
    </row>
    <row r="55" spans="1:20" x14ac:dyDescent="0.2">
      <c r="A55" s="106">
        <f t="shared" si="4"/>
        <v>39</v>
      </c>
      <c r="B55" s="22">
        <f t="shared" si="5"/>
        <v>22448.979591836789</v>
      </c>
      <c r="C55" s="20">
        <v>0</v>
      </c>
      <c r="D55" s="22">
        <f t="shared" si="6"/>
        <v>17734.693877551101</v>
      </c>
      <c r="E55" s="22">
        <f t="shared" si="0"/>
        <v>0</v>
      </c>
      <c r="F55" s="22">
        <f t="shared" si="1"/>
        <v>-428.57142857142861</v>
      </c>
      <c r="G55" s="22">
        <f t="shared" si="12"/>
        <v>501.89183673469614</v>
      </c>
      <c r="H55" s="22">
        <f t="shared" si="13"/>
        <v>817.56938775510582</v>
      </c>
      <c r="I55" s="22">
        <f t="shared" si="9"/>
        <v>2040.8163265306123</v>
      </c>
      <c r="J55" s="22">
        <f t="shared" si="10"/>
        <v>8.9795918367347163</v>
      </c>
      <c r="K55" s="22">
        <f t="shared" si="2"/>
        <v>806.95478730877983</v>
      </c>
      <c r="L55" s="22">
        <f t="shared" si="11"/>
        <v>3747.6405015945006</v>
      </c>
      <c r="M55" s="23">
        <f>NPV($L$9,L55:L61)</f>
        <v>17793.03936515018</v>
      </c>
      <c r="O55" s="55"/>
      <c r="P55" s="55"/>
    </row>
    <row r="56" spans="1:20" x14ac:dyDescent="0.2">
      <c r="A56" s="106">
        <f t="shared" si="4"/>
        <v>40</v>
      </c>
      <c r="B56" s="22">
        <f t="shared" ref="B56:B60" si="14">B55-I55</f>
        <v>20408.163265306175</v>
      </c>
      <c r="C56" s="20">
        <v>0</v>
      </c>
      <c r="D56" s="22">
        <f t="shared" ref="D56:D60" si="15">D55-F55-I55</f>
        <v>16122.448979591916</v>
      </c>
      <c r="E56" s="22">
        <f t="shared" ref="E56:E60" si="16">D$13*C56</f>
        <v>0</v>
      </c>
      <c r="F56" s="22">
        <f t="shared" si="1"/>
        <v>-428.57142857142861</v>
      </c>
      <c r="G56" s="22">
        <f t="shared" si="12"/>
        <v>456.26530612245119</v>
      </c>
      <c r="H56" s="22">
        <f t="shared" si="13"/>
        <v>743.24489795918737</v>
      </c>
      <c r="I56" s="22">
        <f t="shared" si="9"/>
        <v>2040.8163265306123</v>
      </c>
      <c r="J56" s="22">
        <f t="shared" si="10"/>
        <v>8.1632653061224705</v>
      </c>
      <c r="K56" s="22">
        <f t="shared" si="2"/>
        <v>782.09198852322925</v>
      </c>
      <c r="L56" s="22">
        <f t="shared" si="11"/>
        <v>3602.010355870174</v>
      </c>
      <c r="M56" s="23">
        <f>NPV($L$9,L56:L61)</f>
        <v>15369.200992322851</v>
      </c>
      <c r="O56" s="55"/>
      <c r="P56" s="55"/>
    </row>
    <row r="57" spans="1:20" x14ac:dyDescent="0.2">
      <c r="A57" s="106">
        <f t="shared" si="4"/>
        <v>41</v>
      </c>
      <c r="B57" s="22">
        <f t="shared" si="14"/>
        <v>18367.346938775561</v>
      </c>
      <c r="C57" s="20">
        <v>0</v>
      </c>
      <c r="D57" s="22">
        <f t="shared" si="15"/>
        <v>14510.204081632734</v>
      </c>
      <c r="E57" s="22">
        <f t="shared" si="16"/>
        <v>0</v>
      </c>
      <c r="F57" s="22">
        <f t="shared" si="1"/>
        <v>-428.57142857142861</v>
      </c>
      <c r="G57" s="22">
        <f t="shared" si="12"/>
        <v>410.63877551020636</v>
      </c>
      <c r="H57" s="22">
        <f t="shared" si="13"/>
        <v>668.92040816326903</v>
      </c>
      <c r="I57" s="22">
        <f t="shared" si="9"/>
        <v>2040.8163265306123</v>
      </c>
      <c r="J57" s="22">
        <f t="shared" si="10"/>
        <v>7.3469387755102247</v>
      </c>
      <c r="K57" s="22">
        <f t="shared" si="2"/>
        <v>757.22918973767878</v>
      </c>
      <c r="L57" s="22">
        <f t="shared" si="11"/>
        <v>3456.3802101458487</v>
      </c>
      <c r="M57" s="23">
        <f>NPV($L$9,L57:L61)</f>
        <v>12910.659190281502</v>
      </c>
      <c r="O57" s="55"/>
      <c r="P57" s="55"/>
    </row>
    <row r="58" spans="1:20" x14ac:dyDescent="0.2">
      <c r="A58" s="106">
        <f t="shared" si="4"/>
        <v>42</v>
      </c>
      <c r="B58" s="22">
        <f t="shared" si="14"/>
        <v>16326.530612244949</v>
      </c>
      <c r="C58" s="20">
        <v>0</v>
      </c>
      <c r="D58" s="22">
        <f t="shared" si="15"/>
        <v>12897.959183673551</v>
      </c>
      <c r="E58" s="22">
        <f t="shared" si="16"/>
        <v>0</v>
      </c>
      <c r="F58" s="22">
        <f t="shared" si="1"/>
        <v>-428.57142857142861</v>
      </c>
      <c r="G58" s="22">
        <f t="shared" si="12"/>
        <v>365.01224489796147</v>
      </c>
      <c r="H58" s="22">
        <f t="shared" si="13"/>
        <v>594.59591836735069</v>
      </c>
      <c r="I58" s="22">
        <f t="shared" si="9"/>
        <v>2040.8163265306123</v>
      </c>
      <c r="J58" s="22">
        <f t="shared" si="10"/>
        <v>6.5306122448979798</v>
      </c>
      <c r="K58" s="22">
        <f t="shared" si="2"/>
        <v>732.36639095212809</v>
      </c>
      <c r="L58" s="22">
        <f t="shared" si="11"/>
        <v>3310.7500644215215</v>
      </c>
      <c r="M58" s="23">
        <f>NPV($L$9,L58:L61)</f>
        <v>10414.832023892593</v>
      </c>
      <c r="O58" s="55"/>
      <c r="P58" s="55"/>
    </row>
    <row r="59" spans="1:20" x14ac:dyDescent="0.2">
      <c r="A59" s="106">
        <f t="shared" si="4"/>
        <v>43</v>
      </c>
      <c r="B59" s="22">
        <f t="shared" si="14"/>
        <v>14285.714285714337</v>
      </c>
      <c r="C59" s="20">
        <v>0</v>
      </c>
      <c r="D59" s="22">
        <f t="shared" si="15"/>
        <v>11285.714285714368</v>
      </c>
      <c r="E59" s="22">
        <f t="shared" si="16"/>
        <v>0</v>
      </c>
      <c r="F59" s="22">
        <f t="shared" si="1"/>
        <v>-428.57142857142861</v>
      </c>
      <c r="G59" s="22">
        <f t="shared" si="12"/>
        <v>319.38571428571663</v>
      </c>
      <c r="H59" s="22">
        <f t="shared" si="13"/>
        <v>520.27142857143235</v>
      </c>
      <c r="I59" s="22">
        <f t="shared" si="9"/>
        <v>2040.8163265306123</v>
      </c>
      <c r="J59" s="22">
        <f t="shared" si="10"/>
        <v>5.7142857142857348</v>
      </c>
      <c r="K59" s="22">
        <f t="shared" si="2"/>
        <v>707.50359216657785</v>
      </c>
      <c r="L59" s="22">
        <f t="shared" si="11"/>
        <v>3165.1199186971962</v>
      </c>
      <c r="M59" s="23">
        <f>NPV($L$9,L59:L61)</f>
        <v>7878.9454620486822</v>
      </c>
      <c r="O59" s="55"/>
      <c r="P59" s="55"/>
    </row>
    <row r="60" spans="1:20" x14ac:dyDescent="0.2">
      <c r="A60" s="106">
        <f t="shared" si="4"/>
        <v>44</v>
      </c>
      <c r="B60" s="22">
        <f t="shared" si="14"/>
        <v>12244.897959183725</v>
      </c>
      <c r="C60" s="20">
        <v>0</v>
      </c>
      <c r="D60" s="22">
        <f t="shared" si="15"/>
        <v>9673.4693877551854</v>
      </c>
      <c r="E60" s="22">
        <f t="shared" si="16"/>
        <v>0</v>
      </c>
      <c r="F60" s="22">
        <f t="shared" si="1"/>
        <v>-428.57142857142861</v>
      </c>
      <c r="G60" s="22">
        <f t="shared" si="12"/>
        <v>273.75918367347174</v>
      </c>
      <c r="H60" s="22">
        <f t="shared" si="13"/>
        <v>445.94693877551407</v>
      </c>
      <c r="I60" s="22">
        <f t="shared" si="9"/>
        <v>2040.8163265306123</v>
      </c>
      <c r="J60" s="22">
        <f t="shared" si="10"/>
        <v>4.8979591836734899</v>
      </c>
      <c r="K60" s="22">
        <f t="shared" si="2"/>
        <v>682.64079338102727</v>
      </c>
      <c r="L60" s="22">
        <f t="shared" si="11"/>
        <v>3019.48977297287</v>
      </c>
      <c r="M60" s="23">
        <f>NPV($L$9,L60:L61)</f>
        <v>5300.0190857279076</v>
      </c>
      <c r="O60" s="55"/>
      <c r="P60" s="55"/>
    </row>
    <row r="61" spans="1:20" x14ac:dyDescent="0.2">
      <c r="A61" s="106">
        <f t="shared" si="4"/>
        <v>45</v>
      </c>
      <c r="B61" s="22">
        <f t="shared" ref="B61" si="17">B60-I60</f>
        <v>10204.081632653113</v>
      </c>
      <c r="C61" s="20">
        <v>0</v>
      </c>
      <c r="D61" s="22">
        <f t="shared" ref="D61" si="18">D60-F60-I60</f>
        <v>8061.2244897960027</v>
      </c>
      <c r="E61" s="22">
        <f t="shared" ref="E61" si="19">D$13*C61</f>
        <v>0</v>
      </c>
      <c r="F61" s="22">
        <f t="shared" si="1"/>
        <v>-428.57142857142861</v>
      </c>
      <c r="G61" s="22">
        <f t="shared" si="12"/>
        <v>228.13265306122688</v>
      </c>
      <c r="H61" s="22">
        <f t="shared" si="13"/>
        <v>371.62244897959573</v>
      </c>
      <c r="I61" s="22">
        <f t="shared" si="9"/>
        <v>2040.8163265306123</v>
      </c>
      <c r="J61" s="22">
        <f t="shared" si="10"/>
        <v>4.081632653061245</v>
      </c>
      <c r="K61" s="22">
        <f t="shared" si="2"/>
        <v>657.77799459547668</v>
      </c>
      <c r="L61" s="22">
        <f t="shared" si="11"/>
        <v>2873.8596272485443</v>
      </c>
      <c r="M61" s="23">
        <f t="shared" ref="M61:M65" si="20">NPV($L$9,L61:L61)</f>
        <v>2674.8507327331945</v>
      </c>
      <c r="O61" s="55"/>
      <c r="P61" s="55"/>
    </row>
    <row r="62" spans="1:20" x14ac:dyDescent="0.2">
      <c r="A62" s="106">
        <f t="shared" si="4"/>
        <v>46</v>
      </c>
      <c r="B62" s="22">
        <f t="shared" ref="B62:B65" si="21">B61-I61</f>
        <v>8163.265306122501</v>
      </c>
      <c r="C62" s="20">
        <v>0</v>
      </c>
      <c r="D62" s="22">
        <f t="shared" ref="D62:D65" si="22">D61-F61-I61</f>
        <v>6448.97959183682</v>
      </c>
      <c r="E62" s="22">
        <f t="shared" ref="E62:E65" si="23">D$13*C62</f>
        <v>0</v>
      </c>
      <c r="F62" s="22">
        <f t="shared" ref="F62:F65" si="24">H$14*(E62-I62*D$13/D$12)</f>
        <v>-428.57142857142861</v>
      </c>
      <c r="G62" s="22">
        <f t="shared" si="12"/>
        <v>182.50612244898198</v>
      </c>
      <c r="H62" s="22">
        <f t="shared" si="13"/>
        <v>297.29795918367739</v>
      </c>
      <c r="I62" s="22">
        <f t="shared" ref="I62:I65" si="25">IF(A62-A$17&gt;H$12,0,IF(A62-A$17=H$12,(12-D$11)/12*$D$12/H$12,D$12/H$12))</f>
        <v>2040.8163265306123</v>
      </c>
      <c r="J62" s="22">
        <f t="shared" ref="J62:J65" si="26">+B62*$H$11</f>
        <v>3.2653061224490005</v>
      </c>
      <c r="K62" s="22">
        <f t="shared" ref="K62:K65" si="27">(H$13/(1-H$13))*(H62+I62-E62+F62+J62)</f>
        <v>632.9151958099261</v>
      </c>
      <c r="L62" s="22">
        <f t="shared" ref="L62:L65" si="28">SUM(F62:K62)</f>
        <v>2728.229481524218</v>
      </c>
      <c r="M62" s="23">
        <f t="shared" si="20"/>
        <v>2539.3051764000538</v>
      </c>
      <c r="O62" s="55"/>
      <c r="P62" s="55"/>
    </row>
    <row r="63" spans="1:20" x14ac:dyDescent="0.2">
      <c r="A63" s="106">
        <f t="shared" si="4"/>
        <v>47</v>
      </c>
      <c r="B63" s="22">
        <f t="shared" si="21"/>
        <v>6122.4489795918889</v>
      </c>
      <c r="C63" s="20">
        <v>0</v>
      </c>
      <c r="D63" s="22">
        <f t="shared" si="22"/>
        <v>4836.7346938776363</v>
      </c>
      <c r="E63" s="22">
        <f t="shared" si="23"/>
        <v>0</v>
      </c>
      <c r="F63" s="22">
        <f t="shared" si="24"/>
        <v>-428.57142857142861</v>
      </c>
      <c r="G63" s="22">
        <f t="shared" si="12"/>
        <v>136.87959183673709</v>
      </c>
      <c r="H63" s="22">
        <f t="shared" si="13"/>
        <v>222.97346938775905</v>
      </c>
      <c r="I63" s="22">
        <f t="shared" si="25"/>
        <v>2040.8163265306123</v>
      </c>
      <c r="J63" s="22">
        <f t="shared" si="26"/>
        <v>2.4489795918367556</v>
      </c>
      <c r="K63" s="22">
        <f t="shared" si="27"/>
        <v>608.05239702437586</v>
      </c>
      <c r="L63" s="22">
        <f t="shared" si="28"/>
        <v>2582.5993357998927</v>
      </c>
      <c r="M63" s="23">
        <f t="shared" si="20"/>
        <v>2403.7596200669141</v>
      </c>
      <c r="O63" s="55"/>
      <c r="P63" s="55"/>
    </row>
    <row r="64" spans="1:20" x14ac:dyDescent="0.2">
      <c r="A64" s="106">
        <f t="shared" si="4"/>
        <v>48</v>
      </c>
      <c r="B64" s="22">
        <f t="shared" si="21"/>
        <v>4081.6326530612769</v>
      </c>
      <c r="C64" s="20">
        <v>0</v>
      </c>
      <c r="D64" s="22">
        <f t="shared" si="22"/>
        <v>3224.4897959184527</v>
      </c>
      <c r="E64" s="22">
        <f t="shared" si="23"/>
        <v>0</v>
      </c>
      <c r="F64" s="22">
        <f t="shared" si="24"/>
        <v>-428.57142857142861</v>
      </c>
      <c r="G64" s="22">
        <f t="shared" si="12"/>
        <v>91.253061224492214</v>
      </c>
      <c r="H64" s="22">
        <f t="shared" si="13"/>
        <v>148.64897959184069</v>
      </c>
      <c r="I64" s="22">
        <f t="shared" si="25"/>
        <v>2040.8163265306123</v>
      </c>
      <c r="J64" s="22">
        <f t="shared" si="26"/>
        <v>1.6326530612245109</v>
      </c>
      <c r="K64" s="22">
        <f t="shared" si="27"/>
        <v>583.18959823882528</v>
      </c>
      <c r="L64" s="22">
        <f t="shared" si="28"/>
        <v>2436.9691900755665</v>
      </c>
      <c r="M64" s="23">
        <f t="shared" si="20"/>
        <v>2268.2140637337739</v>
      </c>
      <c r="O64" s="55"/>
      <c r="P64" s="55"/>
    </row>
    <row r="65" spans="1:17" x14ac:dyDescent="0.2">
      <c r="A65" s="106">
        <f t="shared" si="4"/>
        <v>49</v>
      </c>
      <c r="B65" s="22">
        <f t="shared" si="21"/>
        <v>2040.8163265306646</v>
      </c>
      <c r="C65" s="20">
        <v>0</v>
      </c>
      <c r="D65" s="22">
        <f t="shared" si="22"/>
        <v>1612.2448979592689</v>
      </c>
      <c r="E65" s="22">
        <f t="shared" si="23"/>
        <v>0</v>
      </c>
      <c r="F65" s="22">
        <f t="shared" si="24"/>
        <v>-428.57142857142861</v>
      </c>
      <c r="G65" s="22">
        <f t="shared" si="12"/>
        <v>45.626530612247308</v>
      </c>
      <c r="H65" s="22">
        <f t="shared" si="13"/>
        <v>74.324489795922304</v>
      </c>
      <c r="I65" s="22">
        <f t="shared" si="25"/>
        <v>2040.8163265306123</v>
      </c>
      <c r="J65" s="22">
        <f t="shared" si="26"/>
        <v>0.8163265306122659</v>
      </c>
      <c r="K65" s="22">
        <f t="shared" si="27"/>
        <v>558.3267994532747</v>
      </c>
      <c r="L65" s="22">
        <f t="shared" si="28"/>
        <v>2291.3390443512403</v>
      </c>
      <c r="M65" s="23">
        <f t="shared" si="20"/>
        <v>2132.6685074006332</v>
      </c>
      <c r="O65" s="55"/>
      <c r="P65" s="55"/>
    </row>
    <row r="66" spans="1:17" x14ac:dyDescent="0.2">
      <c r="A66" s="106">
        <f t="shared" si="4"/>
        <v>50</v>
      </c>
      <c r="B66" s="22">
        <f t="shared" ref="B66" si="29">B65-I65</f>
        <v>5.2295945351943374E-11</v>
      </c>
      <c r="C66" s="20">
        <v>0</v>
      </c>
      <c r="D66" s="22">
        <f t="shared" ref="D66" si="30">D65-F65-I65</f>
        <v>8.5265128291212022E-11</v>
      </c>
      <c r="E66" s="22">
        <f t="shared" ref="E66" si="31">D$13*C66</f>
        <v>0</v>
      </c>
      <c r="F66" s="22">
        <f t="shared" ref="F66" si="32">H$14*(E66-I66*D$13/D$12)</f>
        <v>0</v>
      </c>
      <c r="G66" s="22">
        <f t="shared" ref="G66" si="33">L$5*D66</f>
        <v>2.4130031306413E-12</v>
      </c>
      <c r="H66" s="22">
        <f t="shared" ref="H66" si="34">D66*(L$6+L$7)</f>
        <v>3.9307224142248746E-12</v>
      </c>
      <c r="I66" s="22">
        <f t="shared" ref="I66" si="35">IF(A66-A$17&gt;H$12,0,IF(A66-A$17=H$12,(12-D$11)/12*$D$12/H$12,D$12/H$12))</f>
        <v>0</v>
      </c>
      <c r="J66" s="22">
        <f t="shared" ref="J66" si="36">+B66*$H$11</f>
        <v>2.0918378140777349E-14</v>
      </c>
      <c r="K66" s="22">
        <f t="shared" ref="K66" si="37">(H$13/(1-H$13))*(H66+I66-E66+F66+J66)</f>
        <v>1.3075297115007646E-12</v>
      </c>
      <c r="L66" s="22">
        <f t="shared" ref="L66" si="38">SUM(F66:K66)</f>
        <v>7.6721736345077154E-12</v>
      </c>
      <c r="M66" s="23">
        <f t="shared" ref="M66" si="39">NPV($L$9,L66:L66)</f>
        <v>7.140891320278961E-12</v>
      </c>
      <c r="O66" s="55"/>
      <c r="P66" s="55"/>
    </row>
    <row r="67" spans="1:17" x14ac:dyDescent="0.2">
      <c r="A67" s="106" t="s">
        <v>14</v>
      </c>
      <c r="B67" s="19"/>
      <c r="C67" s="20" t="s">
        <v>14</v>
      </c>
      <c r="D67" s="22" t="s">
        <v>14</v>
      </c>
      <c r="E67" s="22" t="s">
        <v>14</v>
      </c>
      <c r="F67" s="22" t="s">
        <v>14</v>
      </c>
      <c r="G67" s="22" t="s">
        <v>14</v>
      </c>
      <c r="H67" s="22" t="s">
        <v>14</v>
      </c>
      <c r="I67" s="22" t="s">
        <v>14</v>
      </c>
      <c r="J67" s="22" t="s">
        <v>14</v>
      </c>
      <c r="K67" s="22" t="s">
        <v>14</v>
      </c>
      <c r="L67" s="22" t="s">
        <v>14</v>
      </c>
      <c r="M67" s="23"/>
      <c r="O67" s="19"/>
      <c r="P67" s="19"/>
      <c r="Q67" s="19"/>
    </row>
    <row r="68" spans="1:17" x14ac:dyDescent="0.2">
      <c r="A68" s="106" t="s">
        <v>13</v>
      </c>
      <c r="B68" s="19"/>
      <c r="C68" s="20">
        <f>SUM(C17:C65)</f>
        <v>1.0000000000000002</v>
      </c>
      <c r="D68" s="22" t="s">
        <v>12</v>
      </c>
      <c r="E68" s="22">
        <f t="shared" ref="E68:L68" si="40">SUM(E17:E65)</f>
        <v>100000</v>
      </c>
      <c r="F68" s="22">
        <f t="shared" si="40"/>
        <v>-1.0118128557223827E-11</v>
      </c>
      <c r="G68" s="22">
        <f t="shared" si="40"/>
        <v>61909.193200000125</v>
      </c>
      <c r="H68" s="22">
        <f t="shared" si="40"/>
        <v>100848.54440000022</v>
      </c>
      <c r="I68" s="22">
        <f t="shared" si="40"/>
        <v>99999.999999999942</v>
      </c>
      <c r="J68" s="22">
        <f t="shared" si="40"/>
        <v>1000.0000000000013</v>
      </c>
      <c r="K68" s="22">
        <f t="shared" si="40"/>
        <v>33699.924885222892</v>
      </c>
      <c r="L68" s="22">
        <f t="shared" si="40"/>
        <v>297457.66248522326</v>
      </c>
      <c r="M68" s="23"/>
      <c r="O68" s="55"/>
      <c r="P68" s="55"/>
      <c r="Q68" s="55"/>
    </row>
    <row r="69" spans="1:17" x14ac:dyDescent="0.2">
      <c r="B69" s="19"/>
      <c r="C69" s="24"/>
      <c r="D69" s="25"/>
      <c r="E69" s="25"/>
      <c r="F69" s="22"/>
      <c r="G69" s="22"/>
      <c r="H69" s="22"/>
      <c r="I69" s="22"/>
      <c r="J69" s="22"/>
      <c r="K69" s="22"/>
      <c r="L69" s="22"/>
      <c r="M69" s="23"/>
    </row>
    <row r="70" spans="1:17" x14ac:dyDescent="0.2">
      <c r="B70" s="19"/>
      <c r="C70" s="125" t="s">
        <v>11</v>
      </c>
      <c r="D70" s="125"/>
      <c r="E70" s="22">
        <f t="shared" ref="E70:L70" si="41">NPV($L9,E17:E65)</f>
        <v>52799.497267888837</v>
      </c>
      <c r="F70" s="22">
        <f t="shared" si="41"/>
        <v>5498.651879600724</v>
      </c>
      <c r="G70" s="22">
        <f t="shared" si="41"/>
        <v>25822.193280156829</v>
      </c>
      <c r="H70" s="22">
        <f t="shared" si="41"/>
        <v>42063.714141880904</v>
      </c>
      <c r="I70" s="22">
        <f t="shared" si="41"/>
        <v>26615.440698361599</v>
      </c>
      <c r="J70" s="22">
        <f t="shared" si="41"/>
        <v>394.54064140665827</v>
      </c>
      <c r="K70" s="22">
        <f t="shared" si="41"/>
        <v>7204.2601787393223</v>
      </c>
      <c r="L70" s="22">
        <f t="shared" si="41"/>
        <v>107598.80082014605</v>
      </c>
      <c r="M70" s="23"/>
      <c r="O70" s="19"/>
      <c r="P70" s="19"/>
      <c r="Q70" s="19"/>
    </row>
    <row r="71" spans="1:17" x14ac:dyDescent="0.2">
      <c r="B71" s="106"/>
      <c r="C71" s="106"/>
      <c r="D71" s="106"/>
      <c r="E71" s="106"/>
      <c r="F71" s="106"/>
      <c r="G71" s="106"/>
      <c r="H71" s="106"/>
      <c r="I71" s="106"/>
      <c r="J71" s="106"/>
      <c r="K71" s="106"/>
      <c r="L71" s="106"/>
      <c r="M71" s="106"/>
      <c r="O71" s="106"/>
    </row>
    <row r="72" spans="1:17" x14ac:dyDescent="0.2">
      <c r="B72" s="66"/>
      <c r="C72" s="24"/>
      <c r="D72" s="66"/>
      <c r="E72" s="66"/>
      <c r="F72" s="66"/>
      <c r="G72" s="66"/>
      <c r="H72" s="66"/>
      <c r="I72" s="66"/>
      <c r="J72" s="66"/>
      <c r="K72" s="66"/>
      <c r="L72" s="66"/>
      <c r="M72" s="66"/>
      <c r="O72" s="66"/>
    </row>
    <row r="73" spans="1:17" x14ac:dyDescent="0.2">
      <c r="B73" s="66"/>
      <c r="C73" s="66"/>
      <c r="D73" s="66"/>
      <c r="E73" s="66"/>
      <c r="F73" s="66"/>
      <c r="G73" s="66"/>
      <c r="H73" s="66"/>
      <c r="I73" s="66"/>
      <c r="J73" s="66"/>
      <c r="K73" s="66"/>
      <c r="L73" s="66"/>
      <c r="M73" s="66"/>
      <c r="O73" s="66"/>
    </row>
    <row r="74" spans="1:17" x14ac:dyDescent="0.2">
      <c r="B74" s="66"/>
      <c r="C74" s="66"/>
      <c r="D74" s="66"/>
      <c r="E74" s="66"/>
      <c r="F74" s="66"/>
      <c r="G74" s="66"/>
      <c r="H74" s="66"/>
      <c r="I74" s="66"/>
      <c r="J74" s="66"/>
      <c r="K74" s="66"/>
      <c r="L74" s="66"/>
      <c r="M74" s="66"/>
      <c r="O74" s="66"/>
    </row>
    <row r="75" spans="1:17" x14ac:dyDescent="0.2">
      <c r="B75" s="106"/>
      <c r="C75" s="66"/>
      <c r="D75" s="66"/>
      <c r="E75" s="66"/>
      <c r="F75" s="66"/>
      <c r="G75" s="66"/>
      <c r="H75" s="66"/>
      <c r="I75" s="66"/>
      <c r="J75" s="66"/>
      <c r="K75" s="66"/>
      <c r="L75" s="66"/>
      <c r="M75" s="66"/>
      <c r="O75" s="66"/>
    </row>
    <row r="76" spans="1:17" x14ac:dyDescent="0.2">
      <c r="B76" s="66"/>
      <c r="C76" s="66"/>
      <c r="D76" s="66"/>
      <c r="E76" s="66"/>
      <c r="F76" s="66"/>
      <c r="G76" s="66"/>
      <c r="H76" s="66"/>
      <c r="I76" s="66"/>
      <c r="J76" s="66"/>
      <c r="K76" s="66"/>
      <c r="L76" s="66"/>
      <c r="M76" s="66"/>
      <c r="O76" s="66"/>
    </row>
    <row r="77" spans="1:17" x14ac:dyDescent="0.2">
      <c r="B77" s="66"/>
      <c r="C77" s="66"/>
      <c r="D77" s="66"/>
      <c r="E77" s="66"/>
      <c r="F77" s="66"/>
      <c r="G77" s="66"/>
      <c r="H77" s="66"/>
      <c r="I77" s="66"/>
      <c r="J77" s="66"/>
      <c r="K77" s="66"/>
      <c r="L77" s="66"/>
      <c r="M77" s="66"/>
      <c r="O77" s="66"/>
    </row>
    <row r="78" spans="1:17" x14ac:dyDescent="0.2">
      <c r="B78" s="66"/>
      <c r="C78" s="66"/>
      <c r="D78" s="66"/>
      <c r="E78" s="66"/>
      <c r="F78" s="66"/>
      <c r="G78" s="66"/>
      <c r="H78" s="66"/>
      <c r="I78" s="66"/>
      <c r="J78" s="66"/>
      <c r="K78" s="66"/>
      <c r="L78" s="66"/>
      <c r="M78" s="66"/>
      <c r="O78" s="66"/>
    </row>
    <row r="79" spans="1:17" x14ac:dyDescent="0.2">
      <c r="B79" s="66"/>
      <c r="C79" s="66"/>
      <c r="D79" s="66"/>
      <c r="E79" s="66"/>
      <c r="F79" s="66"/>
      <c r="G79" s="66"/>
      <c r="H79" s="66"/>
      <c r="I79" s="66"/>
      <c r="J79" s="66"/>
      <c r="K79" s="66"/>
      <c r="L79" s="66"/>
      <c r="M79" s="66"/>
      <c r="O79" s="66"/>
    </row>
    <row r="80" spans="1:17" x14ac:dyDescent="0.2">
      <c r="B80" s="66"/>
      <c r="C80" s="66"/>
      <c r="D80" s="66"/>
      <c r="E80" s="66"/>
      <c r="F80" s="66"/>
      <c r="G80" s="66"/>
      <c r="H80" s="66"/>
      <c r="I80" s="66"/>
      <c r="J80" s="66"/>
      <c r="K80" s="66"/>
      <c r="L80" s="66"/>
      <c r="M80" s="66"/>
      <c r="O80" s="66"/>
    </row>
    <row r="81" spans="2:15" x14ac:dyDescent="0.2">
      <c r="B81" s="66"/>
      <c r="C81" s="66"/>
      <c r="D81" s="66"/>
      <c r="E81" s="66"/>
      <c r="F81" s="66"/>
      <c r="G81" s="66"/>
      <c r="H81" s="66"/>
      <c r="I81" s="66"/>
      <c r="J81" s="66"/>
      <c r="K81" s="66"/>
      <c r="L81" s="66"/>
      <c r="M81" s="66"/>
      <c r="O81" s="66"/>
    </row>
    <row r="82" spans="2:15" x14ac:dyDescent="0.2">
      <c r="B82" s="66"/>
      <c r="C82" s="66"/>
      <c r="D82" s="66"/>
      <c r="E82" s="66"/>
      <c r="F82" s="66"/>
      <c r="G82" s="66"/>
      <c r="H82" s="66"/>
      <c r="I82" s="66"/>
      <c r="J82" s="66"/>
      <c r="K82" s="66"/>
      <c r="L82" s="66"/>
      <c r="M82" s="66"/>
      <c r="O82" s="66"/>
    </row>
    <row r="83" spans="2:15" x14ac:dyDescent="0.2">
      <c r="B83" s="66"/>
      <c r="C83" s="66"/>
      <c r="D83" s="66"/>
      <c r="E83" s="66"/>
      <c r="F83" s="66"/>
      <c r="G83" s="66"/>
      <c r="H83" s="66"/>
      <c r="I83" s="66"/>
      <c r="J83" s="66"/>
      <c r="K83" s="66"/>
      <c r="L83" s="66"/>
      <c r="M83" s="66"/>
      <c r="O83" s="66"/>
    </row>
    <row r="84" spans="2:15" x14ac:dyDescent="0.2">
      <c r="B84" s="66"/>
      <c r="C84" s="66"/>
      <c r="D84" s="66"/>
      <c r="E84" s="66"/>
      <c r="F84" s="66"/>
      <c r="G84" s="66"/>
      <c r="H84" s="66"/>
      <c r="I84" s="66"/>
      <c r="J84" s="66"/>
      <c r="K84" s="66"/>
      <c r="L84" s="66"/>
      <c r="M84" s="66"/>
      <c r="O84" s="66"/>
    </row>
    <row r="85" spans="2:15" x14ac:dyDescent="0.2">
      <c r="B85" s="66"/>
      <c r="C85" s="66"/>
      <c r="D85" s="66"/>
      <c r="E85" s="66"/>
      <c r="F85" s="66"/>
      <c r="G85" s="66"/>
      <c r="H85" s="66"/>
      <c r="I85" s="66"/>
      <c r="J85" s="66"/>
      <c r="K85" s="66"/>
      <c r="L85" s="66"/>
      <c r="M85" s="66"/>
      <c r="O85" s="66"/>
    </row>
    <row r="86" spans="2:15" x14ac:dyDescent="0.2">
      <c r="B86" s="66"/>
      <c r="C86" s="66"/>
      <c r="D86" s="66"/>
      <c r="E86" s="66"/>
      <c r="F86" s="66"/>
      <c r="G86" s="66"/>
      <c r="H86" s="66"/>
      <c r="I86" s="66"/>
      <c r="J86" s="66"/>
      <c r="K86" s="66"/>
      <c r="L86" s="66"/>
      <c r="M86" s="66"/>
      <c r="O86" s="66"/>
    </row>
    <row r="87" spans="2:15" x14ac:dyDescent="0.2">
      <c r="B87" s="66"/>
      <c r="C87" s="66"/>
      <c r="D87" s="66"/>
      <c r="E87" s="66"/>
      <c r="F87" s="66"/>
      <c r="G87" s="66"/>
      <c r="H87" s="66"/>
      <c r="I87" s="66"/>
      <c r="J87" s="66"/>
      <c r="K87" s="66"/>
      <c r="L87" s="66"/>
      <c r="M87" s="66"/>
      <c r="O87" s="66"/>
    </row>
    <row r="88" spans="2:15" x14ac:dyDescent="0.2">
      <c r="B88" s="66"/>
      <c r="C88" s="66"/>
      <c r="D88" s="66"/>
      <c r="E88" s="66"/>
      <c r="F88" s="66"/>
      <c r="G88" s="66"/>
      <c r="H88" s="66"/>
      <c r="I88" s="66"/>
      <c r="J88" s="66"/>
      <c r="K88" s="66"/>
      <c r="L88" s="66"/>
      <c r="M88" s="66"/>
      <c r="O88" s="66"/>
    </row>
    <row r="89" spans="2:15" x14ac:dyDescent="0.2">
      <c r="B89" s="66"/>
      <c r="C89" s="66"/>
      <c r="D89" s="66"/>
      <c r="E89" s="66"/>
      <c r="F89" s="66"/>
      <c r="G89" s="66"/>
      <c r="H89" s="66"/>
      <c r="I89" s="66"/>
      <c r="J89" s="66"/>
      <c r="K89" s="66"/>
      <c r="L89" s="66"/>
      <c r="M89" s="66"/>
      <c r="O89" s="66"/>
    </row>
    <row r="90" spans="2:15" x14ac:dyDescent="0.2">
      <c r="B90" s="66"/>
      <c r="C90" s="66"/>
      <c r="D90" s="66"/>
      <c r="E90" s="66"/>
      <c r="F90" s="66"/>
      <c r="G90" s="66"/>
      <c r="H90" s="66"/>
      <c r="I90" s="66"/>
      <c r="J90" s="66"/>
      <c r="K90" s="66"/>
      <c r="L90" s="66"/>
      <c r="M90" s="66"/>
      <c r="N90" s="66"/>
      <c r="O90" s="66"/>
    </row>
    <row r="91" spans="2:15" x14ac:dyDescent="0.2">
      <c r="B91" s="66"/>
      <c r="C91" s="66"/>
      <c r="D91" s="66"/>
      <c r="E91" s="66"/>
      <c r="F91" s="66"/>
      <c r="G91" s="66"/>
      <c r="H91" s="66"/>
      <c r="I91" s="66"/>
      <c r="J91" s="66"/>
      <c r="K91" s="66"/>
      <c r="L91" s="66"/>
      <c r="M91" s="66"/>
      <c r="N91" s="66"/>
      <c r="O91" s="66"/>
    </row>
    <row r="92" spans="2:15" x14ac:dyDescent="0.2">
      <c r="B92" s="66"/>
      <c r="C92" s="66"/>
      <c r="D92" s="66"/>
      <c r="E92" s="66"/>
      <c r="F92" s="66"/>
      <c r="G92" s="66"/>
      <c r="H92" s="66"/>
      <c r="I92" s="66"/>
      <c r="J92" s="66"/>
      <c r="K92" s="66"/>
      <c r="L92" s="66"/>
      <c r="M92" s="66"/>
      <c r="N92" s="66"/>
      <c r="O92" s="66"/>
    </row>
    <row r="93" spans="2:15" x14ac:dyDescent="0.2">
      <c r="B93" s="66"/>
      <c r="C93" s="66"/>
      <c r="D93" s="66"/>
      <c r="E93" s="66"/>
      <c r="F93" s="66"/>
      <c r="G93" s="66"/>
      <c r="H93" s="66"/>
      <c r="I93" s="66"/>
      <c r="J93" s="66"/>
      <c r="K93" s="66"/>
      <c r="L93" s="66"/>
      <c r="M93" s="66"/>
      <c r="N93" s="66"/>
      <c r="O93" s="66"/>
    </row>
    <row r="94" spans="2:15" x14ac:dyDescent="0.2">
      <c r="B94" s="66"/>
      <c r="C94" s="66"/>
      <c r="D94" s="66"/>
      <c r="E94" s="66"/>
      <c r="F94" s="66"/>
      <c r="G94" s="66"/>
      <c r="H94" s="66"/>
      <c r="I94" s="66"/>
      <c r="J94" s="66"/>
      <c r="K94" s="66"/>
      <c r="L94" s="66"/>
      <c r="M94" s="66"/>
      <c r="N94" s="66"/>
      <c r="O94" s="66"/>
    </row>
    <row r="95" spans="2:15" x14ac:dyDescent="0.2">
      <c r="B95" s="66"/>
      <c r="C95" s="66"/>
      <c r="D95" s="66"/>
      <c r="E95" s="66"/>
      <c r="F95" s="66"/>
      <c r="G95" s="66"/>
      <c r="H95" s="66"/>
      <c r="I95" s="66"/>
      <c r="J95" s="66"/>
      <c r="K95" s="66"/>
      <c r="L95" s="66"/>
      <c r="M95" s="66"/>
      <c r="N95" s="66"/>
      <c r="O95" s="66"/>
    </row>
    <row r="96" spans="2:15" x14ac:dyDescent="0.2">
      <c r="B96" s="66"/>
      <c r="C96" s="66"/>
      <c r="D96" s="66"/>
      <c r="E96" s="66"/>
      <c r="F96" s="66"/>
      <c r="G96" s="66"/>
      <c r="H96" s="66"/>
      <c r="I96" s="66"/>
      <c r="J96" s="66"/>
      <c r="K96" s="66"/>
      <c r="L96" s="66"/>
      <c r="M96" s="66"/>
      <c r="N96" s="66"/>
      <c r="O96" s="66"/>
    </row>
    <row r="97" spans="2:15" x14ac:dyDescent="0.2">
      <c r="B97" s="66"/>
      <c r="C97" s="66"/>
      <c r="D97" s="66"/>
      <c r="E97" s="66"/>
      <c r="F97" s="66"/>
      <c r="G97" s="66"/>
      <c r="H97" s="66"/>
      <c r="I97" s="66"/>
      <c r="J97" s="66"/>
      <c r="K97" s="66"/>
      <c r="L97" s="66"/>
      <c r="M97" s="66"/>
      <c r="N97" s="66"/>
      <c r="O97" s="66"/>
    </row>
    <row r="98" spans="2:15" x14ac:dyDescent="0.2">
      <c r="B98" s="66"/>
      <c r="C98" s="66"/>
      <c r="D98" s="66"/>
      <c r="E98" s="66"/>
      <c r="F98" s="66"/>
      <c r="G98" s="66"/>
      <c r="H98" s="66"/>
      <c r="I98" s="66"/>
      <c r="J98" s="66"/>
      <c r="K98" s="66"/>
      <c r="L98" s="66"/>
      <c r="M98" s="66"/>
      <c r="N98" s="66"/>
      <c r="O98" s="66"/>
    </row>
    <row r="99" spans="2:15" x14ac:dyDescent="0.2">
      <c r="B99" s="66"/>
      <c r="C99" s="66"/>
      <c r="D99" s="66"/>
      <c r="E99" s="66"/>
      <c r="F99" s="66"/>
      <c r="G99" s="66"/>
      <c r="H99" s="66"/>
      <c r="I99" s="66"/>
      <c r="J99" s="66"/>
      <c r="K99" s="66"/>
      <c r="L99" s="66"/>
      <c r="M99" s="66"/>
      <c r="N99" s="66"/>
      <c r="O99" s="66"/>
    </row>
    <row r="100" spans="2:15" x14ac:dyDescent="0.2">
      <c r="B100" s="66"/>
      <c r="C100" s="66"/>
      <c r="D100" s="66"/>
      <c r="E100" s="66"/>
      <c r="F100" s="66"/>
      <c r="G100" s="66"/>
      <c r="H100" s="66"/>
      <c r="I100" s="66"/>
      <c r="J100" s="66"/>
      <c r="K100" s="66"/>
      <c r="L100" s="66"/>
      <c r="M100" s="66"/>
      <c r="N100" s="66"/>
      <c r="O100" s="66"/>
    </row>
    <row r="101" spans="2:15" x14ac:dyDescent="0.2">
      <c r="B101" s="66"/>
      <c r="C101" s="66"/>
      <c r="D101" s="66"/>
      <c r="E101" s="66"/>
      <c r="F101" s="66"/>
      <c r="G101" s="66"/>
      <c r="H101" s="66"/>
      <c r="I101" s="66"/>
      <c r="J101" s="66"/>
      <c r="K101" s="66"/>
      <c r="L101" s="66"/>
      <c r="M101" s="66"/>
      <c r="N101" s="66"/>
      <c r="O101" s="66"/>
    </row>
    <row r="102" spans="2:15" x14ac:dyDescent="0.2">
      <c r="B102" s="66"/>
      <c r="C102" s="66"/>
      <c r="D102" s="66"/>
      <c r="E102" s="66"/>
      <c r="F102" s="66"/>
      <c r="G102" s="66"/>
      <c r="H102" s="66"/>
      <c r="I102" s="66"/>
      <c r="J102" s="66"/>
      <c r="K102" s="66"/>
      <c r="L102" s="66"/>
      <c r="M102" s="66"/>
      <c r="N102" s="66"/>
      <c r="O102" s="66"/>
    </row>
    <row r="103" spans="2:15" x14ac:dyDescent="0.2">
      <c r="B103" s="66"/>
      <c r="C103" s="66"/>
      <c r="D103" s="66"/>
      <c r="E103" s="66"/>
      <c r="F103" s="66"/>
      <c r="G103" s="66"/>
      <c r="H103" s="66"/>
      <c r="I103" s="66"/>
      <c r="J103" s="66"/>
      <c r="K103" s="66"/>
      <c r="L103" s="66"/>
      <c r="M103" s="66"/>
      <c r="N103" s="66"/>
      <c r="O103" s="66"/>
    </row>
    <row r="104" spans="2:15" x14ac:dyDescent="0.2">
      <c r="B104" s="66"/>
      <c r="C104" s="66"/>
      <c r="D104" s="66"/>
      <c r="E104" s="66"/>
      <c r="F104" s="66"/>
      <c r="G104" s="66"/>
      <c r="H104" s="66"/>
      <c r="I104" s="66"/>
      <c r="J104" s="66"/>
      <c r="K104" s="66"/>
      <c r="L104" s="66"/>
      <c r="M104" s="66"/>
      <c r="N104" s="66"/>
      <c r="O104" s="66"/>
    </row>
    <row r="105" spans="2:15" x14ac:dyDescent="0.2">
      <c r="B105" s="66"/>
      <c r="C105" s="66"/>
      <c r="D105" s="66"/>
      <c r="E105" s="66"/>
      <c r="F105" s="66"/>
      <c r="G105" s="66"/>
      <c r="H105" s="66"/>
      <c r="I105" s="66"/>
      <c r="J105" s="66"/>
      <c r="K105" s="66"/>
      <c r="L105" s="66"/>
      <c r="M105" s="66"/>
      <c r="N105" s="66"/>
      <c r="O105" s="66"/>
    </row>
    <row r="106" spans="2:15" x14ac:dyDescent="0.2">
      <c r="B106" s="66"/>
      <c r="C106" s="66"/>
      <c r="D106" s="66"/>
      <c r="E106" s="66"/>
      <c r="F106" s="66"/>
      <c r="G106" s="66"/>
      <c r="H106" s="66"/>
      <c r="I106" s="66"/>
      <c r="J106" s="66"/>
      <c r="K106" s="66"/>
      <c r="L106" s="66"/>
      <c r="M106" s="66"/>
      <c r="N106" s="66"/>
      <c r="O106" s="66"/>
    </row>
    <row r="107" spans="2:15" x14ac:dyDescent="0.2">
      <c r="B107" s="66"/>
      <c r="C107" s="66"/>
      <c r="D107" s="66"/>
      <c r="E107" s="66"/>
      <c r="F107" s="66"/>
      <c r="G107" s="66"/>
      <c r="H107" s="66"/>
      <c r="I107" s="66"/>
      <c r="J107" s="66"/>
      <c r="K107" s="66"/>
      <c r="L107" s="66"/>
      <c r="M107" s="66"/>
      <c r="N107" s="66"/>
      <c r="O107" s="66"/>
    </row>
    <row r="108" spans="2:15" x14ac:dyDescent="0.2">
      <c r="B108" s="66"/>
      <c r="C108" s="66"/>
      <c r="D108" s="66"/>
      <c r="E108" s="66"/>
      <c r="F108" s="66"/>
      <c r="G108" s="66"/>
      <c r="H108" s="66"/>
      <c r="I108" s="66"/>
      <c r="J108" s="66"/>
      <c r="K108" s="66"/>
      <c r="L108" s="66"/>
      <c r="M108" s="66"/>
      <c r="N108" s="66"/>
      <c r="O108" s="66"/>
    </row>
    <row r="109" spans="2:15" x14ac:dyDescent="0.2">
      <c r="B109" s="66"/>
      <c r="C109" s="66"/>
      <c r="D109" s="66"/>
      <c r="E109" s="66"/>
      <c r="F109" s="66"/>
      <c r="G109" s="66"/>
      <c r="H109" s="66"/>
      <c r="I109" s="66"/>
      <c r="J109" s="66"/>
      <c r="K109" s="66"/>
      <c r="L109" s="66"/>
      <c r="M109" s="66"/>
      <c r="N109" s="66"/>
      <c r="O109" s="66"/>
    </row>
    <row r="110" spans="2:15" x14ac:dyDescent="0.2">
      <c r="B110" s="66"/>
      <c r="C110" s="66"/>
      <c r="D110" s="66"/>
      <c r="E110" s="66"/>
      <c r="F110" s="66"/>
      <c r="G110" s="66"/>
      <c r="H110" s="66"/>
      <c r="I110" s="66"/>
      <c r="J110" s="66"/>
      <c r="K110" s="66"/>
      <c r="L110" s="66"/>
      <c r="M110" s="66"/>
      <c r="N110" s="66"/>
      <c r="O110" s="66"/>
    </row>
    <row r="111" spans="2:15" x14ac:dyDescent="0.2">
      <c r="B111" s="66"/>
      <c r="C111" s="66"/>
      <c r="D111" s="66"/>
      <c r="E111" s="66"/>
      <c r="F111" s="66"/>
      <c r="G111" s="66"/>
      <c r="H111" s="66"/>
      <c r="I111" s="66"/>
      <c r="J111" s="66"/>
      <c r="K111" s="66"/>
      <c r="L111" s="66"/>
      <c r="M111" s="66"/>
      <c r="N111" s="66"/>
      <c r="O111" s="66"/>
    </row>
    <row r="112" spans="2:15" x14ac:dyDescent="0.2">
      <c r="B112" s="66"/>
      <c r="C112" s="66"/>
      <c r="D112" s="66"/>
      <c r="E112" s="66"/>
      <c r="F112" s="66"/>
      <c r="G112" s="66"/>
      <c r="H112" s="66"/>
      <c r="I112" s="66"/>
      <c r="J112" s="66"/>
      <c r="K112" s="66"/>
      <c r="L112" s="66"/>
      <c r="M112" s="66"/>
      <c r="N112" s="66"/>
      <c r="O112" s="66"/>
    </row>
    <row r="113" spans="2:15" x14ac:dyDescent="0.2">
      <c r="B113" s="66"/>
      <c r="C113" s="66"/>
      <c r="D113" s="66"/>
      <c r="E113" s="66"/>
      <c r="F113" s="66"/>
      <c r="G113" s="66"/>
      <c r="H113" s="66"/>
      <c r="I113" s="66"/>
      <c r="J113" s="66"/>
      <c r="K113" s="66"/>
      <c r="L113" s="66"/>
      <c r="M113" s="66"/>
      <c r="N113" s="66"/>
      <c r="O113" s="66"/>
    </row>
    <row r="114" spans="2:15" x14ac:dyDescent="0.2">
      <c r="B114" s="66"/>
      <c r="C114" s="66"/>
      <c r="D114" s="66"/>
      <c r="E114" s="66"/>
      <c r="F114" s="66"/>
      <c r="G114" s="66"/>
      <c r="H114" s="66"/>
      <c r="I114" s="66"/>
      <c r="J114" s="66"/>
      <c r="K114" s="66"/>
      <c r="L114" s="66"/>
      <c r="M114" s="66"/>
      <c r="N114" s="66"/>
      <c r="O114" s="66"/>
    </row>
    <row r="115" spans="2:15" x14ac:dyDescent="0.2">
      <c r="B115" s="66"/>
      <c r="C115" s="66"/>
      <c r="D115" s="66"/>
      <c r="E115" s="66"/>
      <c r="F115" s="66"/>
      <c r="G115" s="66"/>
      <c r="H115" s="66"/>
      <c r="I115" s="66"/>
      <c r="J115" s="66"/>
      <c r="K115" s="66"/>
      <c r="L115" s="66"/>
      <c r="M115" s="66"/>
      <c r="N115" s="66"/>
      <c r="O115" s="66"/>
    </row>
    <row r="116" spans="2:15" x14ac:dyDescent="0.2">
      <c r="B116" s="66"/>
      <c r="C116" s="66"/>
      <c r="D116" s="66"/>
      <c r="E116" s="66"/>
      <c r="F116" s="66"/>
      <c r="G116" s="66"/>
      <c r="H116" s="66"/>
      <c r="I116" s="66"/>
      <c r="J116" s="66"/>
      <c r="K116" s="66"/>
      <c r="L116" s="66"/>
      <c r="M116" s="66"/>
      <c r="N116" s="66"/>
      <c r="O116" s="66"/>
    </row>
    <row r="117" spans="2:15" x14ac:dyDescent="0.2">
      <c r="B117" s="66"/>
      <c r="C117" s="66"/>
      <c r="D117" s="66"/>
      <c r="E117" s="66"/>
      <c r="F117" s="66"/>
      <c r="G117" s="66"/>
      <c r="H117" s="66"/>
      <c r="I117" s="66"/>
      <c r="J117" s="66"/>
      <c r="K117" s="66"/>
      <c r="L117" s="66"/>
      <c r="M117" s="66"/>
      <c r="N117" s="66"/>
      <c r="O117" s="66"/>
    </row>
    <row r="118" spans="2:15" x14ac:dyDescent="0.2">
      <c r="B118" s="66"/>
      <c r="C118" s="66"/>
      <c r="D118" s="66"/>
      <c r="E118" s="66"/>
      <c r="F118" s="66"/>
      <c r="G118" s="66"/>
      <c r="H118" s="66"/>
      <c r="I118" s="66"/>
      <c r="J118" s="66"/>
      <c r="K118" s="66"/>
      <c r="L118" s="66"/>
      <c r="M118" s="66"/>
      <c r="N118" s="66"/>
      <c r="O118" s="66"/>
    </row>
    <row r="119" spans="2:15" x14ac:dyDescent="0.2">
      <c r="B119" s="66"/>
      <c r="C119" s="66"/>
      <c r="D119" s="66"/>
      <c r="E119" s="66"/>
      <c r="F119" s="66"/>
      <c r="G119" s="66"/>
      <c r="H119" s="66"/>
      <c r="I119" s="66"/>
      <c r="J119" s="66"/>
      <c r="K119" s="66"/>
      <c r="L119" s="66"/>
      <c r="M119" s="66"/>
      <c r="N119" s="66"/>
      <c r="O119" s="66"/>
    </row>
    <row r="120" spans="2:15" x14ac:dyDescent="0.2">
      <c r="B120" s="66"/>
      <c r="C120" s="66"/>
      <c r="D120" s="66"/>
      <c r="E120" s="66"/>
      <c r="F120" s="66"/>
      <c r="G120" s="66"/>
      <c r="H120" s="66"/>
      <c r="I120" s="66"/>
      <c r="J120" s="66"/>
      <c r="K120" s="66"/>
      <c r="L120" s="66"/>
      <c r="M120" s="66"/>
      <c r="N120" s="66"/>
      <c r="O120" s="66"/>
    </row>
    <row r="121" spans="2:15" x14ac:dyDescent="0.2">
      <c r="B121" s="66"/>
      <c r="C121" s="66"/>
      <c r="D121" s="66"/>
      <c r="E121" s="66"/>
      <c r="F121" s="66"/>
      <c r="G121" s="66"/>
      <c r="H121" s="66"/>
      <c r="I121" s="66"/>
      <c r="J121" s="66"/>
      <c r="K121" s="66"/>
      <c r="L121" s="66"/>
      <c r="M121" s="66"/>
      <c r="N121" s="66"/>
      <c r="O121" s="66"/>
    </row>
    <row r="122" spans="2:15" x14ac:dyDescent="0.2">
      <c r="B122" s="66"/>
      <c r="C122" s="66"/>
      <c r="D122" s="66"/>
      <c r="E122" s="66"/>
      <c r="F122" s="66"/>
      <c r="G122" s="66"/>
      <c r="H122" s="66"/>
      <c r="I122" s="66"/>
      <c r="J122" s="66"/>
      <c r="K122" s="66"/>
      <c r="L122" s="66"/>
      <c r="M122" s="66"/>
      <c r="N122" s="66"/>
      <c r="O122" s="66"/>
    </row>
    <row r="123" spans="2:15" x14ac:dyDescent="0.2">
      <c r="B123" s="66"/>
      <c r="C123" s="66"/>
      <c r="D123" s="66"/>
      <c r="E123" s="66"/>
      <c r="F123" s="66"/>
      <c r="G123" s="66"/>
      <c r="H123" s="66"/>
      <c r="I123" s="66"/>
      <c r="J123" s="66"/>
      <c r="K123" s="66"/>
      <c r="L123" s="66"/>
      <c r="M123" s="66"/>
      <c r="N123" s="66"/>
      <c r="O123" s="66"/>
    </row>
    <row r="124" spans="2:15" x14ac:dyDescent="0.2">
      <c r="B124" s="66"/>
      <c r="C124" s="66"/>
      <c r="D124" s="66"/>
      <c r="E124" s="66"/>
      <c r="F124" s="66"/>
      <c r="G124" s="66"/>
      <c r="H124" s="66"/>
      <c r="I124" s="66"/>
      <c r="J124" s="66"/>
      <c r="K124" s="66"/>
      <c r="L124" s="66"/>
      <c r="M124" s="66"/>
      <c r="N124" s="66"/>
      <c r="O124" s="66"/>
    </row>
    <row r="125" spans="2:15" x14ac:dyDescent="0.2">
      <c r="B125" s="66"/>
      <c r="C125" s="66"/>
      <c r="D125" s="66"/>
      <c r="E125" s="66"/>
      <c r="F125" s="66"/>
      <c r="G125" s="66"/>
      <c r="H125" s="66"/>
      <c r="I125" s="66"/>
      <c r="J125" s="66"/>
      <c r="K125" s="66"/>
      <c r="L125" s="66"/>
      <c r="M125" s="66"/>
      <c r="N125" s="66"/>
      <c r="O125" s="66"/>
    </row>
    <row r="126" spans="2:15" x14ac:dyDescent="0.2">
      <c r="B126" s="66"/>
      <c r="C126" s="66"/>
      <c r="D126" s="66"/>
      <c r="E126" s="66"/>
      <c r="F126" s="66"/>
      <c r="G126" s="66"/>
      <c r="H126" s="66"/>
      <c r="I126" s="66"/>
      <c r="J126" s="66"/>
      <c r="K126" s="66"/>
      <c r="L126" s="66"/>
      <c r="M126" s="66"/>
      <c r="N126" s="66"/>
      <c r="O126" s="66"/>
    </row>
    <row r="127" spans="2:15" x14ac:dyDescent="0.2">
      <c r="B127" s="66"/>
      <c r="C127" s="66"/>
      <c r="D127" s="66"/>
      <c r="E127" s="66"/>
      <c r="F127" s="66"/>
      <c r="G127" s="66"/>
      <c r="H127" s="66"/>
      <c r="I127" s="66"/>
      <c r="J127" s="66"/>
      <c r="K127" s="66"/>
      <c r="L127" s="66"/>
      <c r="M127" s="66"/>
      <c r="N127" s="66"/>
      <c r="O127" s="66"/>
    </row>
    <row r="128" spans="2:15" x14ac:dyDescent="0.2">
      <c r="B128" s="66"/>
      <c r="C128" s="66"/>
      <c r="D128" s="66"/>
      <c r="E128" s="66"/>
      <c r="F128" s="66"/>
      <c r="G128" s="66"/>
      <c r="H128" s="66"/>
      <c r="I128" s="66"/>
      <c r="J128" s="66"/>
      <c r="K128" s="66"/>
      <c r="L128" s="66"/>
      <c r="M128" s="66"/>
      <c r="N128" s="66"/>
      <c r="O128" s="66"/>
    </row>
    <row r="129" spans="2:15" x14ac:dyDescent="0.2">
      <c r="B129" s="66"/>
      <c r="C129" s="66"/>
      <c r="D129" s="66"/>
      <c r="E129" s="66"/>
      <c r="F129" s="66"/>
      <c r="G129" s="66"/>
      <c r="H129" s="66"/>
      <c r="I129" s="66"/>
      <c r="J129" s="66"/>
      <c r="K129" s="66"/>
      <c r="L129" s="66"/>
      <c r="M129" s="66"/>
      <c r="N129" s="66"/>
      <c r="O129" s="66"/>
    </row>
    <row r="130" spans="2:15" x14ac:dyDescent="0.2">
      <c r="B130" s="66"/>
      <c r="C130" s="66"/>
      <c r="D130" s="66"/>
      <c r="E130" s="66"/>
      <c r="F130" s="66"/>
      <c r="G130" s="66"/>
      <c r="H130" s="66"/>
      <c r="I130" s="66"/>
      <c r="J130" s="66"/>
      <c r="K130" s="66"/>
      <c r="L130" s="66"/>
      <c r="M130" s="66"/>
      <c r="N130" s="66"/>
      <c r="O130" s="66"/>
    </row>
    <row r="131" spans="2:15" x14ac:dyDescent="0.2">
      <c r="B131" s="66"/>
      <c r="C131" s="66"/>
      <c r="D131" s="66"/>
      <c r="E131" s="66"/>
      <c r="F131" s="66"/>
      <c r="G131" s="66"/>
      <c r="H131" s="66"/>
      <c r="I131" s="66"/>
      <c r="J131" s="66"/>
      <c r="K131" s="66"/>
      <c r="L131" s="66"/>
      <c r="M131" s="66"/>
      <c r="N131" s="66"/>
      <c r="O131" s="66"/>
    </row>
    <row r="132" spans="2:15" x14ac:dyDescent="0.2">
      <c r="B132" s="66"/>
      <c r="C132" s="66"/>
      <c r="D132" s="66"/>
      <c r="E132" s="66"/>
      <c r="F132" s="66"/>
      <c r="G132" s="66"/>
      <c r="H132" s="66"/>
      <c r="I132" s="66"/>
      <c r="J132" s="66"/>
      <c r="K132" s="66"/>
      <c r="L132" s="66"/>
      <c r="M132" s="66"/>
      <c r="N132" s="66"/>
      <c r="O132" s="66"/>
    </row>
    <row r="133" spans="2:15" x14ac:dyDescent="0.2">
      <c r="B133" s="66"/>
      <c r="C133" s="66"/>
      <c r="D133" s="66"/>
      <c r="E133" s="66"/>
      <c r="F133" s="66"/>
      <c r="G133" s="66"/>
      <c r="H133" s="66"/>
      <c r="I133" s="66"/>
      <c r="J133" s="66"/>
      <c r="K133" s="66"/>
      <c r="L133" s="66"/>
      <c r="M133" s="66"/>
      <c r="N133" s="66"/>
      <c r="O133" s="66"/>
    </row>
    <row r="134" spans="2:15" x14ac:dyDescent="0.2">
      <c r="B134" s="66"/>
      <c r="C134" s="66"/>
      <c r="D134" s="66"/>
      <c r="E134" s="66"/>
      <c r="F134" s="66"/>
      <c r="G134" s="66"/>
      <c r="H134" s="66"/>
      <c r="I134" s="66"/>
      <c r="J134" s="66"/>
      <c r="K134" s="66"/>
      <c r="L134" s="66"/>
      <c r="M134" s="66"/>
      <c r="N134" s="66"/>
      <c r="O134" s="66"/>
    </row>
    <row r="135" spans="2:15" x14ac:dyDescent="0.2">
      <c r="B135" s="66"/>
      <c r="C135" s="66"/>
      <c r="D135" s="66"/>
      <c r="E135" s="66"/>
      <c r="F135" s="66"/>
      <c r="G135" s="66"/>
      <c r="H135" s="66"/>
      <c r="I135" s="66"/>
      <c r="J135" s="66"/>
      <c r="K135" s="66"/>
      <c r="L135" s="66"/>
      <c r="M135" s="66"/>
      <c r="N135" s="66"/>
      <c r="O135" s="66"/>
    </row>
    <row r="136" spans="2:15" x14ac:dyDescent="0.2">
      <c r="B136" s="66"/>
      <c r="C136" s="66"/>
      <c r="D136" s="66"/>
      <c r="E136" s="66"/>
      <c r="F136" s="66"/>
      <c r="G136" s="66"/>
      <c r="H136" s="66"/>
      <c r="I136" s="66"/>
      <c r="J136" s="66"/>
      <c r="K136" s="66"/>
      <c r="L136" s="66"/>
      <c r="M136" s="66"/>
      <c r="N136" s="66"/>
      <c r="O136" s="66"/>
    </row>
    <row r="137" spans="2:15" x14ac:dyDescent="0.2">
      <c r="B137" s="66"/>
      <c r="C137" s="66"/>
      <c r="D137" s="66"/>
      <c r="E137" s="66"/>
      <c r="F137" s="66"/>
      <c r="G137" s="66"/>
      <c r="H137" s="66"/>
      <c r="I137" s="66"/>
      <c r="J137" s="66"/>
      <c r="K137" s="66"/>
      <c r="L137" s="66"/>
      <c r="M137" s="66"/>
      <c r="N137" s="66"/>
      <c r="O137" s="66"/>
    </row>
    <row r="138" spans="2:15" x14ac:dyDescent="0.2">
      <c r="B138" s="66"/>
      <c r="C138" s="66"/>
      <c r="D138" s="66"/>
      <c r="E138" s="66"/>
      <c r="F138" s="66"/>
      <c r="G138" s="66"/>
      <c r="H138" s="66"/>
      <c r="I138" s="66"/>
      <c r="J138" s="66"/>
      <c r="K138" s="66"/>
      <c r="L138" s="66"/>
      <c r="M138" s="66"/>
      <c r="N138" s="66"/>
      <c r="O138" s="66"/>
    </row>
    <row r="139" spans="2:15" x14ac:dyDescent="0.2">
      <c r="B139" s="66"/>
      <c r="C139" s="66"/>
      <c r="D139" s="66"/>
      <c r="E139" s="66"/>
      <c r="F139" s="66"/>
      <c r="G139" s="66"/>
      <c r="H139" s="66"/>
      <c r="I139" s="66"/>
      <c r="J139" s="66"/>
      <c r="K139" s="66"/>
      <c r="L139" s="66"/>
      <c r="M139" s="66"/>
      <c r="N139" s="66"/>
      <c r="O139" s="66"/>
    </row>
    <row r="140" spans="2:15" x14ac:dyDescent="0.2">
      <c r="B140" s="66"/>
      <c r="C140" s="66"/>
      <c r="D140" s="66"/>
      <c r="E140" s="66"/>
      <c r="F140" s="66"/>
      <c r="G140" s="66"/>
      <c r="H140" s="66"/>
      <c r="I140" s="66"/>
      <c r="J140" s="66"/>
      <c r="K140" s="66"/>
      <c r="L140" s="66"/>
      <c r="M140" s="66"/>
      <c r="N140" s="66"/>
      <c r="O140" s="66"/>
    </row>
    <row r="141" spans="2:15" x14ac:dyDescent="0.2">
      <c r="B141" s="66"/>
      <c r="C141" s="66"/>
      <c r="D141" s="66"/>
      <c r="E141" s="66"/>
      <c r="F141" s="66"/>
      <c r="G141" s="66"/>
      <c r="H141" s="66"/>
      <c r="I141" s="66"/>
      <c r="J141" s="66"/>
      <c r="K141" s="66"/>
      <c r="L141" s="66"/>
      <c r="M141" s="66"/>
      <c r="N141" s="66"/>
      <c r="O141" s="66"/>
    </row>
    <row r="142" spans="2:15" x14ac:dyDescent="0.2">
      <c r="B142" s="66"/>
      <c r="C142" s="66"/>
      <c r="D142" s="66"/>
      <c r="E142" s="66"/>
      <c r="F142" s="66"/>
      <c r="G142" s="66"/>
      <c r="H142" s="66"/>
      <c r="I142" s="66"/>
      <c r="J142" s="66"/>
      <c r="K142" s="66"/>
      <c r="L142" s="66"/>
      <c r="M142" s="66"/>
      <c r="N142" s="66"/>
      <c r="O142" s="66"/>
    </row>
    <row r="143" spans="2:15" x14ac:dyDescent="0.2">
      <c r="B143" s="66"/>
      <c r="C143" s="66"/>
      <c r="D143" s="66"/>
      <c r="E143" s="66"/>
      <c r="F143" s="66"/>
      <c r="G143" s="66"/>
      <c r="H143" s="66"/>
      <c r="I143" s="66"/>
      <c r="J143" s="66"/>
      <c r="K143" s="66"/>
      <c r="L143" s="66"/>
      <c r="M143" s="66"/>
      <c r="N143" s="66"/>
      <c r="O143" s="66"/>
    </row>
    <row r="144" spans="2:15" x14ac:dyDescent="0.2">
      <c r="B144" s="66"/>
      <c r="C144" s="66"/>
      <c r="D144" s="66"/>
      <c r="E144" s="66"/>
      <c r="F144" s="66"/>
      <c r="G144" s="66"/>
      <c r="H144" s="66"/>
      <c r="I144" s="66"/>
      <c r="J144" s="66"/>
      <c r="K144" s="66"/>
      <c r="L144" s="66"/>
      <c r="M144" s="66"/>
      <c r="N144" s="66"/>
      <c r="O144" s="66"/>
    </row>
    <row r="145" spans="2:15" x14ac:dyDescent="0.2">
      <c r="B145" s="66"/>
      <c r="C145" s="66"/>
      <c r="D145" s="66"/>
      <c r="E145" s="66"/>
      <c r="F145" s="66"/>
      <c r="G145" s="66"/>
      <c r="H145" s="66"/>
      <c r="I145" s="66"/>
      <c r="J145" s="66"/>
      <c r="K145" s="66"/>
      <c r="L145" s="66"/>
      <c r="M145" s="66"/>
      <c r="N145" s="66"/>
      <c r="O145" s="66"/>
    </row>
    <row r="146" spans="2:15" x14ac:dyDescent="0.2">
      <c r="B146" s="66"/>
      <c r="C146" s="66"/>
      <c r="D146" s="66"/>
      <c r="E146" s="66"/>
      <c r="F146" s="66"/>
      <c r="G146" s="66"/>
      <c r="H146" s="66"/>
      <c r="I146" s="66"/>
      <c r="J146" s="66"/>
      <c r="K146" s="66"/>
      <c r="L146" s="66"/>
      <c r="M146" s="66"/>
      <c r="N146" s="66"/>
      <c r="O146" s="66"/>
    </row>
    <row r="147" spans="2:15" x14ac:dyDescent="0.2">
      <c r="B147" s="66"/>
      <c r="C147" s="66"/>
      <c r="D147" s="66"/>
      <c r="E147" s="66"/>
      <c r="F147" s="66"/>
      <c r="G147" s="66"/>
      <c r="H147" s="66"/>
      <c r="I147" s="66"/>
      <c r="J147" s="66"/>
      <c r="K147" s="66"/>
      <c r="L147" s="66"/>
      <c r="M147" s="66"/>
      <c r="N147" s="66"/>
      <c r="O147" s="66"/>
    </row>
    <row r="148" spans="2:15" x14ac:dyDescent="0.2">
      <c r="B148" s="66"/>
      <c r="C148" s="66"/>
      <c r="D148" s="66"/>
      <c r="E148" s="66"/>
      <c r="F148" s="66"/>
      <c r="G148" s="66"/>
      <c r="H148" s="66"/>
      <c r="I148" s="66"/>
      <c r="J148" s="66"/>
      <c r="K148" s="66"/>
      <c r="L148" s="66"/>
      <c r="M148" s="66"/>
      <c r="N148" s="66"/>
      <c r="O148" s="66"/>
    </row>
    <row r="149" spans="2:15" x14ac:dyDescent="0.2">
      <c r="B149" s="66"/>
      <c r="C149" s="66"/>
      <c r="D149" s="66"/>
      <c r="E149" s="66"/>
      <c r="F149" s="66"/>
      <c r="G149" s="66"/>
      <c r="H149" s="66"/>
      <c r="I149" s="66"/>
      <c r="J149" s="66"/>
      <c r="K149" s="66"/>
      <c r="L149" s="66"/>
      <c r="M149" s="66"/>
      <c r="N149" s="66"/>
      <c r="O149" s="66"/>
    </row>
    <row r="150" spans="2:15" x14ac:dyDescent="0.2">
      <c r="B150" s="66"/>
      <c r="C150" s="66"/>
      <c r="D150" s="66"/>
      <c r="E150" s="66"/>
      <c r="F150" s="66"/>
      <c r="G150" s="66"/>
      <c r="H150" s="66"/>
      <c r="I150" s="66"/>
      <c r="J150" s="66"/>
      <c r="K150" s="66"/>
      <c r="L150" s="66"/>
      <c r="M150" s="66"/>
      <c r="N150" s="66"/>
      <c r="O150" s="66"/>
    </row>
    <row r="151" spans="2:15" x14ac:dyDescent="0.2">
      <c r="B151" s="66"/>
      <c r="C151" s="66"/>
      <c r="D151" s="66"/>
      <c r="E151" s="66"/>
      <c r="F151" s="66"/>
      <c r="G151" s="66"/>
      <c r="H151" s="66"/>
      <c r="I151" s="66"/>
      <c r="J151" s="66"/>
      <c r="K151" s="66"/>
      <c r="L151" s="66"/>
      <c r="M151" s="66"/>
      <c r="N151" s="66"/>
      <c r="O151" s="66"/>
    </row>
    <row r="152" spans="2:15" x14ac:dyDescent="0.2">
      <c r="B152" s="66"/>
      <c r="C152" s="66"/>
      <c r="D152" s="66"/>
      <c r="E152" s="66"/>
      <c r="F152" s="66"/>
      <c r="G152" s="66"/>
      <c r="H152" s="66"/>
      <c r="I152" s="66"/>
      <c r="J152" s="66"/>
      <c r="K152" s="66"/>
      <c r="L152" s="66"/>
      <c r="M152" s="66"/>
      <c r="N152" s="66"/>
      <c r="O152" s="66"/>
    </row>
    <row r="153" spans="2:15" x14ac:dyDescent="0.2">
      <c r="B153" s="66"/>
      <c r="C153" s="66"/>
      <c r="D153" s="66"/>
      <c r="E153" s="66"/>
      <c r="F153" s="66"/>
      <c r="G153" s="66"/>
      <c r="H153" s="66"/>
      <c r="I153" s="66"/>
      <c r="J153" s="66"/>
      <c r="K153" s="66"/>
      <c r="L153" s="66"/>
      <c r="M153" s="66"/>
      <c r="N153" s="66"/>
      <c r="O153" s="66"/>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2" orientation="landscape" r:id="rId1"/>
  <headerFooter alignWithMargins="0">
    <oddFooter>&amp;L&amp;"Arial,Regular"&amp;8&amp;F
&amp;A&amp;R&amp;"Arial,Regular"Page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7" transitionEvaluation="1">
    <pageSetUpPr fitToPage="1"/>
  </sheetPr>
  <dimension ref="A1:AJ139"/>
  <sheetViews>
    <sheetView showGridLines="0" zoomScaleNormal="100" workbookViewId="0">
      <pane xSplit="1" ySplit="16" topLeftCell="B17" activePane="bottomRight" state="frozen"/>
      <selection activeCell="C11" sqref="C11"/>
      <selection pane="topRight" activeCell="C11" sqref="C11"/>
      <selection pane="bottomLeft" activeCell="C11" sqref="C11"/>
      <selection pane="bottomRight" activeCell="C11" sqref="C11"/>
    </sheetView>
  </sheetViews>
  <sheetFormatPr defaultColWidth="13.28515625" defaultRowHeight="12.75" x14ac:dyDescent="0.2"/>
  <cols>
    <col min="1" max="1" width="8.85546875" style="1" bestFit="1" customWidth="1"/>
    <col min="2" max="2" width="10.85546875" style="1" bestFit="1" customWidth="1"/>
    <col min="3" max="3" width="14.28515625" style="1" bestFit="1" customWidth="1"/>
    <col min="4" max="4" width="12.42578125" style="1" bestFit="1" customWidth="1"/>
    <col min="5" max="5" width="11.140625" style="1" bestFit="1" customWidth="1"/>
    <col min="6" max="6" width="8.42578125" style="1" bestFit="1" customWidth="1"/>
    <col min="7" max="8" width="9.42578125" style="1" bestFit="1" customWidth="1"/>
    <col min="9" max="9" width="12.28515625" style="1" bestFit="1" customWidth="1"/>
    <col min="10" max="10" width="11.5703125" style="1" bestFit="1" customWidth="1"/>
    <col min="11" max="11" width="9.28515625" style="1" bestFit="1" customWidth="1"/>
    <col min="12" max="12" width="11.7109375" style="1" bestFit="1" customWidth="1"/>
    <col min="13" max="13" width="8.5703125" style="1" bestFit="1" customWidth="1"/>
    <col min="14" max="14" width="37.28515625" style="1" bestFit="1" customWidth="1"/>
    <col min="15" max="15" width="9.28515625" style="1" bestFit="1" customWidth="1"/>
    <col min="16" max="22" width="13.28515625" style="1"/>
    <col min="23" max="23" width="2" style="1" bestFit="1" customWidth="1"/>
    <col min="24" max="25" width="15.5703125" style="1" customWidth="1"/>
    <col min="26" max="200" width="13.28515625" style="1"/>
    <col min="201" max="201" width="83" style="1" customWidth="1"/>
    <col min="202" max="16384" width="13.28515625" style="1"/>
  </cols>
  <sheetData>
    <row r="1" spans="1:25" ht="13.5" thickBot="1" x14ac:dyDescent="0.25">
      <c r="A1" s="126" t="s">
        <v>89</v>
      </c>
      <c r="B1" s="126"/>
      <c r="C1" s="126"/>
      <c r="D1" s="126"/>
      <c r="E1" s="126"/>
      <c r="F1" s="126"/>
      <c r="G1" s="126"/>
      <c r="Q1" s="13"/>
      <c r="R1" s="13"/>
      <c r="S1" s="13"/>
      <c r="W1" s="108" t="s">
        <v>15</v>
      </c>
    </row>
    <row r="2" spans="1:25" ht="14.45" customHeight="1" thickBot="1" x14ac:dyDescent="0.25">
      <c r="A2" s="126" t="s">
        <v>28</v>
      </c>
      <c r="B2" s="126"/>
      <c r="C2" s="126"/>
      <c r="D2" s="126"/>
      <c r="E2" s="126"/>
      <c r="F2" s="126"/>
      <c r="G2" s="126"/>
      <c r="I2" s="135" t="s">
        <v>41</v>
      </c>
      <c r="J2" s="136"/>
      <c r="K2" s="136"/>
      <c r="L2" s="137"/>
      <c r="Q2" s="13"/>
      <c r="R2" s="13"/>
      <c r="S2" s="13"/>
      <c r="W2" s="108" t="s">
        <v>15</v>
      </c>
    </row>
    <row r="3" spans="1:25" x14ac:dyDescent="0.2">
      <c r="A3" s="12"/>
      <c r="B3" s="12"/>
      <c r="C3" s="12"/>
      <c r="D3" s="12"/>
      <c r="E3" s="12"/>
      <c r="F3" s="12"/>
      <c r="I3" s="7"/>
      <c r="J3" s="26"/>
      <c r="K3" s="27"/>
      <c r="L3" s="28"/>
      <c r="Q3" s="13"/>
      <c r="R3" s="13"/>
      <c r="S3" s="13"/>
      <c r="W3" s="108"/>
    </row>
    <row r="4" spans="1:25" x14ac:dyDescent="0.2">
      <c r="A4" s="12"/>
      <c r="B4" s="12"/>
      <c r="C4" s="12"/>
      <c r="D4" s="12"/>
      <c r="E4" s="12"/>
      <c r="F4" s="12"/>
      <c r="I4" s="7"/>
      <c r="J4" s="26"/>
      <c r="K4" s="27"/>
      <c r="L4" s="28"/>
      <c r="Q4" s="13"/>
      <c r="R4" s="13"/>
      <c r="S4" s="13"/>
      <c r="W4" s="108"/>
    </row>
    <row r="5" spans="1:25" x14ac:dyDescent="0.2">
      <c r="I5" s="9" t="s">
        <v>29</v>
      </c>
      <c r="J5" s="45">
        <f>+'LvlFCR Land'!J4</f>
        <v>0.51500000000000001</v>
      </c>
      <c r="K5" s="27">
        <f>+'LvlFCR Land'!K4</f>
        <v>5.4951456310679617E-2</v>
      </c>
      <c r="L5" s="28">
        <f>+'LvlFCR Land'!L4</f>
        <v>2.8299999999999999E-2</v>
      </c>
      <c r="Q5" s="13"/>
      <c r="R5" s="13"/>
      <c r="S5" s="13"/>
      <c r="W5" s="108" t="s">
        <v>15</v>
      </c>
      <c r="X5" s="13"/>
      <c r="Y5" s="13"/>
    </row>
    <row r="6" spans="1:25" x14ac:dyDescent="0.2">
      <c r="I6" s="9" t="s">
        <v>24</v>
      </c>
      <c r="J6" s="45">
        <f>+'LvlFCR Land'!J5</f>
        <v>0.48499999999999999</v>
      </c>
      <c r="K6" s="27">
        <f>+'LvlFCR Land'!K5</f>
        <v>9.5000000000000001E-2</v>
      </c>
      <c r="L6" s="28">
        <f>+'LvlFCR Land'!L5</f>
        <v>4.6100000000000002E-2</v>
      </c>
      <c r="Q6" s="13"/>
      <c r="R6" s="13"/>
      <c r="S6" s="13"/>
      <c r="W6" s="108" t="s">
        <v>15</v>
      </c>
      <c r="X6" s="13"/>
      <c r="Y6" s="13"/>
    </row>
    <row r="7" spans="1:25" x14ac:dyDescent="0.2">
      <c r="C7" s="131" t="s">
        <v>23</v>
      </c>
      <c r="D7" s="131"/>
      <c r="E7" s="13">
        <f>L56</f>
        <v>108398.94307070129</v>
      </c>
      <c r="I7" s="9"/>
      <c r="J7" s="26"/>
      <c r="K7" s="27"/>
      <c r="L7" s="28"/>
      <c r="Q7" s="13"/>
      <c r="R7" s="13"/>
      <c r="S7" s="13"/>
      <c r="W7" s="108" t="s">
        <v>15</v>
      </c>
      <c r="X7" s="13"/>
      <c r="Y7" s="13"/>
    </row>
    <row r="8" spans="1:25" x14ac:dyDescent="0.2">
      <c r="C8" s="131" t="s">
        <v>22</v>
      </c>
      <c r="D8" s="131"/>
      <c r="E8" s="13">
        <f>PMT(L9,H12,-E7)</f>
        <v>8776.9710189517118</v>
      </c>
      <c r="I8" s="10"/>
      <c r="J8" s="11"/>
      <c r="K8" s="11"/>
      <c r="L8" s="28" t="s">
        <v>14</v>
      </c>
      <c r="W8" s="108" t="s">
        <v>15</v>
      </c>
      <c r="X8" s="13"/>
      <c r="Y8" s="13"/>
    </row>
    <row r="9" spans="1:25" ht="15" customHeight="1" thickBot="1" x14ac:dyDescent="0.25">
      <c r="C9" s="131" t="s">
        <v>21</v>
      </c>
      <c r="D9" s="131"/>
      <c r="E9" s="14">
        <f>($E$8/$D$12)*100</f>
        <v>8.7769710189517127</v>
      </c>
      <c r="I9" s="127" t="s">
        <v>20</v>
      </c>
      <c r="J9" s="128"/>
      <c r="K9" s="128"/>
      <c r="L9" s="29">
        <f>L7+L6+L5</f>
        <v>7.4399999999999994E-2</v>
      </c>
      <c r="Q9" s="13"/>
      <c r="R9" s="13"/>
      <c r="S9" s="13"/>
      <c r="W9" s="108" t="s">
        <v>15</v>
      </c>
      <c r="X9" s="13"/>
      <c r="Y9" s="13"/>
    </row>
    <row r="10" spans="1:25" x14ac:dyDescent="0.2">
      <c r="Q10" s="13"/>
      <c r="R10" s="13"/>
      <c r="S10" s="13"/>
      <c r="W10" s="108" t="s">
        <v>15</v>
      </c>
      <c r="X10" s="13"/>
      <c r="Y10" s="13"/>
    </row>
    <row r="11" spans="1:25" x14ac:dyDescent="0.2">
      <c r="C11" s="108" t="s">
        <v>19</v>
      </c>
      <c r="D11" s="15">
        <v>12</v>
      </c>
      <c r="H11" s="4">
        <f>+'Property Insurance Rate'!$D$8</f>
        <v>4.0000000000000002E-4</v>
      </c>
      <c r="I11" s="129" t="s">
        <v>26</v>
      </c>
      <c r="J11" s="129"/>
      <c r="K11" s="129"/>
      <c r="L11" s="129"/>
      <c r="M11" s="129"/>
      <c r="N11" s="63"/>
      <c r="Q11" s="13"/>
      <c r="R11" s="13"/>
      <c r="S11" s="13"/>
      <c r="W11" s="108" t="s">
        <v>15</v>
      </c>
      <c r="X11" s="13"/>
      <c r="Y11" s="13"/>
    </row>
    <row r="12" spans="1:25" x14ac:dyDescent="0.2">
      <c r="C12" s="108" t="s">
        <v>17</v>
      </c>
      <c r="D12" s="13">
        <v>100000</v>
      </c>
      <c r="E12" s="13"/>
      <c r="F12" s="108"/>
      <c r="G12" s="15"/>
      <c r="H12" s="5">
        <f>+'Sub &amp; Feeder Depr Life'!$D$21</f>
        <v>35</v>
      </c>
      <c r="I12" s="129" t="s">
        <v>36</v>
      </c>
      <c r="J12" s="129"/>
      <c r="K12" s="129"/>
      <c r="L12" s="129"/>
      <c r="M12" s="129"/>
      <c r="W12" s="108" t="s">
        <v>15</v>
      </c>
      <c r="X12" s="13"/>
      <c r="Y12" s="13"/>
    </row>
    <row r="13" spans="1:25" x14ac:dyDescent="0.2">
      <c r="C13" s="16" t="s">
        <v>16</v>
      </c>
      <c r="D13" s="13">
        <f>D12</f>
        <v>100000</v>
      </c>
      <c r="E13" s="13"/>
      <c r="G13" s="17"/>
      <c r="H13" s="6">
        <f>1-'Converson Factor'!$D$20</f>
        <v>0.24861900000000003</v>
      </c>
      <c r="I13" s="129" t="s">
        <v>39</v>
      </c>
      <c r="J13" s="129"/>
      <c r="K13" s="129"/>
      <c r="L13" s="129"/>
      <c r="M13" s="129"/>
      <c r="W13" s="108" t="s">
        <v>15</v>
      </c>
      <c r="X13" s="13"/>
      <c r="Y13" s="13"/>
    </row>
    <row r="14" spans="1:25" x14ac:dyDescent="0.2">
      <c r="C14" s="108" t="s">
        <v>18</v>
      </c>
      <c r="D14" s="13">
        <f>D12</f>
        <v>100000</v>
      </c>
      <c r="H14" s="6">
        <f>+'Converson Factor'!$C$19</f>
        <v>0.21</v>
      </c>
      <c r="I14" s="129" t="s">
        <v>37</v>
      </c>
      <c r="J14" s="129"/>
      <c r="K14" s="129"/>
      <c r="L14" s="129"/>
      <c r="M14" s="129"/>
      <c r="N14" s="64"/>
      <c r="O14" s="123"/>
      <c r="P14" s="123"/>
      <c r="Q14" s="123"/>
    </row>
    <row r="15" spans="1:25" x14ac:dyDescent="0.2">
      <c r="C15" s="105"/>
      <c r="H15" s="3"/>
      <c r="I15" s="107"/>
      <c r="J15" s="107"/>
      <c r="K15" s="107"/>
      <c r="L15" s="107"/>
      <c r="M15" s="107"/>
      <c r="N15" s="64"/>
      <c r="O15" s="105"/>
      <c r="P15" s="105"/>
      <c r="Q15" s="105"/>
    </row>
    <row r="16" spans="1:25" ht="39" thickBot="1" x14ac:dyDescent="0.25">
      <c r="A16" s="18" t="s">
        <v>42</v>
      </c>
      <c r="B16" s="18" t="s">
        <v>43</v>
      </c>
      <c r="C16" s="18" t="s">
        <v>52</v>
      </c>
      <c r="D16" s="18" t="s">
        <v>44</v>
      </c>
      <c r="E16" s="18" t="s">
        <v>54</v>
      </c>
      <c r="F16" s="18" t="s">
        <v>51</v>
      </c>
      <c r="G16" s="18" t="s">
        <v>45</v>
      </c>
      <c r="H16" s="18" t="s">
        <v>46</v>
      </c>
      <c r="I16" s="18" t="s">
        <v>53</v>
      </c>
      <c r="J16" s="18" t="s">
        <v>47</v>
      </c>
      <c r="K16" s="18" t="s">
        <v>48</v>
      </c>
      <c r="L16" s="18" t="s">
        <v>49</v>
      </c>
      <c r="M16" s="18" t="s">
        <v>50</v>
      </c>
      <c r="O16" s="123"/>
      <c r="P16" s="123"/>
      <c r="Q16" s="123"/>
    </row>
    <row r="17" spans="1:36" x14ac:dyDescent="0.2">
      <c r="A17" s="106">
        <v>1</v>
      </c>
      <c r="B17" s="19">
        <f>D12</f>
        <v>100000</v>
      </c>
      <c r="C17" s="20">
        <v>3.7999999999999999E-2</v>
      </c>
      <c r="D17" s="22">
        <f>D12</f>
        <v>100000</v>
      </c>
      <c r="E17" s="22">
        <f>D$13*C17</f>
        <v>3800</v>
      </c>
      <c r="F17" s="21">
        <f>H$14*(E17-I17*D$13/D$12)</f>
        <v>197.99999999999994</v>
      </c>
      <c r="G17" s="22">
        <f>L$5*D17*(D11/12)</f>
        <v>2830</v>
      </c>
      <c r="H17" s="22">
        <f>D17*(L$6+L$7)*(D11/12)</f>
        <v>4610</v>
      </c>
      <c r="I17" s="22">
        <f>(D11/12)*D$12/H$12</f>
        <v>2857.1428571428573</v>
      </c>
      <c r="J17" s="22">
        <f t="shared" ref="J17:J50" si="0">+B17*$H$11</f>
        <v>40</v>
      </c>
      <c r="K17" s="22">
        <f>(H$13/(1-$H$13))*(H17+I17-E17+F17+J17)</f>
        <v>1292.1443475413939</v>
      </c>
      <c r="L17" s="22">
        <f t="shared" ref="L17:L50" si="1">SUM(F17:K17)</f>
        <v>11827.287204684251</v>
      </c>
      <c r="M17" s="23">
        <f t="shared" ref="M17:M41" si="2">NPV($L$9,L17:L26)</f>
        <v>72480.98923531262</v>
      </c>
      <c r="O17" s="123"/>
      <c r="P17" s="123"/>
      <c r="Q17" s="123"/>
    </row>
    <row r="18" spans="1:36" x14ac:dyDescent="0.2">
      <c r="A18" s="106">
        <f t="shared" ref="A18:A52" si="3">A17+1</f>
        <v>2</v>
      </c>
      <c r="B18" s="19">
        <f t="shared" ref="B18:B50" si="4">B17-I17</f>
        <v>97142.857142857145</v>
      </c>
      <c r="C18" s="20">
        <v>7.1999999999999995E-2</v>
      </c>
      <c r="D18" s="22">
        <f t="shared" ref="D18:D50" si="5">D17-F17-I17</f>
        <v>96944.857142857145</v>
      </c>
      <c r="E18" s="22">
        <f t="shared" ref="E18:E50" si="6">D$13*C18</f>
        <v>7199.9999999999991</v>
      </c>
      <c r="F18" s="21">
        <f>H$14*(E18-I18*D$13/D$12)</f>
        <v>911.99999999999966</v>
      </c>
      <c r="G18" s="22">
        <f t="shared" ref="G18:G51" si="7">L$5*D18</f>
        <v>2743.5394571428569</v>
      </c>
      <c r="H18" s="22">
        <f t="shared" ref="H18:H51" si="8">D18*(L$6+L$7)</f>
        <v>4469.1579142857145</v>
      </c>
      <c r="I18" s="22">
        <f t="shared" ref="I18:I50" si="9">D$12/H$12</f>
        <v>2857.1428571428573</v>
      </c>
      <c r="J18" s="22">
        <f t="shared" si="0"/>
        <v>38.857142857142861</v>
      </c>
      <c r="K18" s="22">
        <f t="shared" ref="K18:K50" si="10">(H$13/(1-H$13))*(H18+I18-E18+F18+J18)</f>
        <v>356.41295626559679</v>
      </c>
      <c r="L18" s="22">
        <f t="shared" si="1"/>
        <v>11377.110327694167</v>
      </c>
      <c r="M18" s="23">
        <f t="shared" si="2"/>
        <v>70315.011701258758</v>
      </c>
      <c r="O18" s="123"/>
      <c r="P18" s="123"/>
      <c r="Q18" s="123"/>
    </row>
    <row r="19" spans="1:36" x14ac:dyDescent="0.2">
      <c r="A19" s="106">
        <f t="shared" si="3"/>
        <v>3</v>
      </c>
      <c r="B19" s="19">
        <f t="shared" si="4"/>
        <v>94285.71428571429</v>
      </c>
      <c r="C19" s="20">
        <v>6.7000000000000004E-2</v>
      </c>
      <c r="D19" s="22">
        <f t="shared" si="5"/>
        <v>93175.71428571429</v>
      </c>
      <c r="E19" s="22">
        <f t="shared" si="6"/>
        <v>6700</v>
      </c>
      <c r="F19" s="22">
        <f t="shared" ref="F19:F50" si="11">H$14*(E19-I19*D$13/D$12)</f>
        <v>806.99999999999989</v>
      </c>
      <c r="G19" s="22">
        <f t="shared" si="7"/>
        <v>2636.8727142857142</v>
      </c>
      <c r="H19" s="22">
        <f t="shared" si="8"/>
        <v>4295.4004285714291</v>
      </c>
      <c r="I19" s="22">
        <f t="shared" si="9"/>
        <v>2857.1428571428573</v>
      </c>
      <c r="J19" s="22">
        <f t="shared" si="0"/>
        <v>37.714285714285715</v>
      </c>
      <c r="K19" s="22">
        <f t="shared" si="10"/>
        <v>429.2401327036485</v>
      </c>
      <c r="L19" s="22">
        <f t="shared" si="1"/>
        <v>11063.370418417935</v>
      </c>
      <c r="M19" s="23">
        <f t="shared" si="2"/>
        <v>68297.248984887017</v>
      </c>
      <c r="O19" s="55"/>
      <c r="P19" s="55"/>
      <c r="Q19" s="67"/>
    </row>
    <row r="20" spans="1:36" x14ac:dyDescent="0.2">
      <c r="A20" s="106">
        <f t="shared" si="3"/>
        <v>4</v>
      </c>
      <c r="B20" s="19">
        <f t="shared" si="4"/>
        <v>91428.571428571435</v>
      </c>
      <c r="C20" s="20">
        <v>6.2E-2</v>
      </c>
      <c r="D20" s="22">
        <f t="shared" si="5"/>
        <v>89511.571428571435</v>
      </c>
      <c r="E20" s="22">
        <f t="shared" si="6"/>
        <v>6200</v>
      </c>
      <c r="F20" s="22">
        <f t="shared" si="11"/>
        <v>701.99999999999989</v>
      </c>
      <c r="G20" s="22">
        <f t="shared" si="7"/>
        <v>2533.1774714285716</v>
      </c>
      <c r="H20" s="22">
        <f t="shared" si="8"/>
        <v>4126.483442857143</v>
      </c>
      <c r="I20" s="22">
        <f t="shared" si="9"/>
        <v>2857.1428571428573</v>
      </c>
      <c r="J20" s="22">
        <f t="shared" si="0"/>
        <v>36.571428571428577</v>
      </c>
      <c r="K20" s="22">
        <f t="shared" si="10"/>
        <v>503.66894701849003</v>
      </c>
      <c r="L20" s="22">
        <f t="shared" si="1"/>
        <v>10759.044147018491</v>
      </c>
      <c r="M20" s="23">
        <f t="shared" si="2"/>
        <v>66302.291300919067</v>
      </c>
      <c r="O20" s="55"/>
      <c r="P20" s="55"/>
      <c r="Q20" s="67"/>
    </row>
    <row r="21" spans="1:36" x14ac:dyDescent="0.2">
      <c r="A21" s="106">
        <f t="shared" si="3"/>
        <v>5</v>
      </c>
      <c r="B21" s="19">
        <f t="shared" si="4"/>
        <v>88571.42857142858</v>
      </c>
      <c r="C21" s="20">
        <v>5.7000000000000002E-2</v>
      </c>
      <c r="D21" s="22">
        <f t="shared" si="5"/>
        <v>85952.42857142858</v>
      </c>
      <c r="E21" s="22">
        <f t="shared" si="6"/>
        <v>5700</v>
      </c>
      <c r="F21" s="22">
        <f t="shared" si="11"/>
        <v>596.99999999999989</v>
      </c>
      <c r="G21" s="22">
        <f t="shared" si="7"/>
        <v>2432.4537285714287</v>
      </c>
      <c r="H21" s="22">
        <f t="shared" si="8"/>
        <v>3962.4069571428577</v>
      </c>
      <c r="I21" s="22">
        <f t="shared" si="9"/>
        <v>2857.1428571428573</v>
      </c>
      <c r="J21" s="22">
        <f t="shared" si="0"/>
        <v>35.428571428571431</v>
      </c>
      <c r="K21" s="22">
        <f t="shared" si="10"/>
        <v>579.69939921012133</v>
      </c>
      <c r="L21" s="22">
        <f t="shared" si="1"/>
        <v>10464.131513495835</v>
      </c>
      <c r="M21" s="23">
        <f t="shared" si="2"/>
        <v>64322.421705888912</v>
      </c>
      <c r="O21" s="55"/>
      <c r="P21" s="55"/>
      <c r="Q21" s="67"/>
    </row>
    <row r="22" spans="1:36" x14ac:dyDescent="0.2">
      <c r="A22" s="106">
        <f t="shared" si="3"/>
        <v>6</v>
      </c>
      <c r="B22" s="19">
        <f t="shared" si="4"/>
        <v>85714.285714285725</v>
      </c>
      <c r="C22" s="20">
        <v>5.2999999999999999E-2</v>
      </c>
      <c r="D22" s="22">
        <f t="shared" si="5"/>
        <v>82498.285714285725</v>
      </c>
      <c r="E22" s="22">
        <f t="shared" si="6"/>
        <v>5300</v>
      </c>
      <c r="F22" s="22">
        <f t="shared" si="11"/>
        <v>512.99999999999989</v>
      </c>
      <c r="G22" s="22">
        <f t="shared" si="7"/>
        <v>2334.7014857142858</v>
      </c>
      <c r="H22" s="22">
        <f t="shared" si="8"/>
        <v>3803.1709714285721</v>
      </c>
      <c r="I22" s="22">
        <f t="shared" si="9"/>
        <v>2857.1428571428573</v>
      </c>
      <c r="J22" s="22">
        <f t="shared" si="0"/>
        <v>34.285714285714292</v>
      </c>
      <c r="K22" s="22">
        <f t="shared" si="10"/>
        <v>631.19175324582375</v>
      </c>
      <c r="L22" s="22">
        <f t="shared" si="1"/>
        <v>10173.492781817251</v>
      </c>
      <c r="M22" s="23">
        <f t="shared" si="2"/>
        <v>62349.349115736797</v>
      </c>
      <c r="O22" s="55"/>
      <c r="P22" s="55"/>
      <c r="Q22" s="67"/>
    </row>
    <row r="23" spans="1:36" x14ac:dyDescent="0.2">
      <c r="A23" s="106">
        <f t="shared" si="3"/>
        <v>7</v>
      </c>
      <c r="B23" s="19">
        <f t="shared" si="4"/>
        <v>82857.14285714287</v>
      </c>
      <c r="C23" s="20">
        <v>4.9000000000000002E-2</v>
      </c>
      <c r="D23" s="22">
        <f t="shared" si="5"/>
        <v>79128.14285714287</v>
      </c>
      <c r="E23" s="22">
        <f t="shared" si="6"/>
        <v>4900</v>
      </c>
      <c r="F23" s="22">
        <f t="shared" si="11"/>
        <v>428.99999999999994</v>
      </c>
      <c r="G23" s="22">
        <f t="shared" si="7"/>
        <v>2239.3264428571433</v>
      </c>
      <c r="H23" s="22">
        <f t="shared" si="8"/>
        <v>3647.8073857142863</v>
      </c>
      <c r="I23" s="22">
        <f t="shared" si="9"/>
        <v>2857.1428571428573</v>
      </c>
      <c r="J23" s="22">
        <f t="shared" si="0"/>
        <v>33.142857142857146</v>
      </c>
      <c r="K23" s="22">
        <f t="shared" si="10"/>
        <v>683.96541758295746</v>
      </c>
      <c r="L23" s="22">
        <f t="shared" si="1"/>
        <v>9890.3849604401021</v>
      </c>
      <c r="M23" s="23">
        <f t="shared" si="2"/>
        <v>60379.305325781555</v>
      </c>
      <c r="O23" s="55"/>
      <c r="P23" s="55"/>
      <c r="Q23" s="67"/>
    </row>
    <row r="24" spans="1:36" x14ac:dyDescent="0.2">
      <c r="A24" s="106">
        <f t="shared" si="3"/>
        <v>8</v>
      </c>
      <c r="B24" s="19">
        <f t="shared" si="4"/>
        <v>80000.000000000015</v>
      </c>
      <c r="C24" s="20">
        <v>4.4999999999999998E-2</v>
      </c>
      <c r="D24" s="22">
        <f t="shared" si="5"/>
        <v>75842.000000000015</v>
      </c>
      <c r="E24" s="22">
        <f t="shared" si="6"/>
        <v>4500</v>
      </c>
      <c r="F24" s="22">
        <f t="shared" si="11"/>
        <v>344.99999999999994</v>
      </c>
      <c r="G24" s="22">
        <f t="shared" si="7"/>
        <v>2146.3286000000003</v>
      </c>
      <c r="H24" s="22">
        <f t="shared" si="8"/>
        <v>3496.3162000000007</v>
      </c>
      <c r="I24" s="22">
        <f t="shared" si="9"/>
        <v>2857.1428571428573</v>
      </c>
      <c r="J24" s="22">
        <f t="shared" si="0"/>
        <v>32.000000000000007</v>
      </c>
      <c r="K24" s="22">
        <f t="shared" si="10"/>
        <v>738.02039222152314</v>
      </c>
      <c r="L24" s="22">
        <f t="shared" si="1"/>
        <v>9614.8080493643811</v>
      </c>
      <c r="M24" s="23">
        <f t="shared" si="2"/>
        <v>58404.984768456394</v>
      </c>
      <c r="O24" s="55"/>
      <c r="P24" s="55"/>
      <c r="Q24" s="67"/>
    </row>
    <row r="25" spans="1:36" x14ac:dyDescent="0.2">
      <c r="A25" s="106">
        <f t="shared" si="3"/>
        <v>9</v>
      </c>
      <c r="B25" s="19">
        <f t="shared" si="4"/>
        <v>77142.857142857159</v>
      </c>
      <c r="C25" s="20">
        <v>4.4999999999999998E-2</v>
      </c>
      <c r="D25" s="22">
        <f t="shared" si="5"/>
        <v>72639.857142857159</v>
      </c>
      <c r="E25" s="22">
        <f t="shared" si="6"/>
        <v>4500</v>
      </c>
      <c r="F25" s="22">
        <f t="shared" si="11"/>
        <v>344.99999999999994</v>
      </c>
      <c r="G25" s="22">
        <f t="shared" si="7"/>
        <v>2055.7079571428576</v>
      </c>
      <c r="H25" s="22">
        <f t="shared" si="8"/>
        <v>3348.6974142857152</v>
      </c>
      <c r="I25" s="22">
        <f t="shared" si="9"/>
        <v>2857.1428571428573</v>
      </c>
      <c r="J25" s="22">
        <f t="shared" si="0"/>
        <v>30.857142857142865</v>
      </c>
      <c r="K25" s="22">
        <f t="shared" si="10"/>
        <v>688.79773303064678</v>
      </c>
      <c r="L25" s="22">
        <f t="shared" si="1"/>
        <v>9326.2031044592204</v>
      </c>
      <c r="M25" s="23">
        <f t="shared" si="2"/>
        <v>56418.538341967564</v>
      </c>
      <c r="O25" s="55"/>
      <c r="P25" s="55"/>
      <c r="Q25" s="67"/>
    </row>
    <row r="26" spans="1:36" x14ac:dyDescent="0.2">
      <c r="A26" s="106">
        <f t="shared" si="3"/>
        <v>10</v>
      </c>
      <c r="B26" s="19">
        <f t="shared" si="4"/>
        <v>74285.714285714304</v>
      </c>
      <c r="C26" s="20">
        <v>4.4999999999999998E-2</v>
      </c>
      <c r="D26" s="22">
        <f t="shared" si="5"/>
        <v>69437.714285714304</v>
      </c>
      <c r="E26" s="22">
        <f t="shared" si="6"/>
        <v>4500</v>
      </c>
      <c r="F26" s="22">
        <f t="shared" si="11"/>
        <v>344.99999999999994</v>
      </c>
      <c r="G26" s="22">
        <f t="shared" si="7"/>
        <v>1965.0873142857147</v>
      </c>
      <c r="H26" s="22">
        <f t="shared" si="8"/>
        <v>3201.0786285714294</v>
      </c>
      <c r="I26" s="22">
        <f t="shared" si="9"/>
        <v>2857.1428571428573</v>
      </c>
      <c r="J26" s="22">
        <f t="shared" si="0"/>
        <v>29.714285714285722</v>
      </c>
      <c r="K26" s="22">
        <f t="shared" si="10"/>
        <v>639.57507383976997</v>
      </c>
      <c r="L26" s="22">
        <f t="shared" si="1"/>
        <v>9037.5981595540561</v>
      </c>
      <c r="M26" s="23">
        <f t="shared" si="2"/>
        <v>54432.091915478748</v>
      </c>
      <c r="O26" s="55"/>
      <c r="P26" s="55"/>
      <c r="Q26" s="67"/>
      <c r="R26" s="68"/>
      <c r="S26" s="68"/>
      <c r="T26" s="68"/>
    </row>
    <row r="27" spans="1:36" x14ac:dyDescent="0.2">
      <c r="A27" s="106">
        <f t="shared" si="3"/>
        <v>11</v>
      </c>
      <c r="B27" s="19">
        <f t="shared" si="4"/>
        <v>71428.571428571449</v>
      </c>
      <c r="C27" s="20">
        <v>4.4999999999999998E-2</v>
      </c>
      <c r="D27" s="22">
        <f t="shared" si="5"/>
        <v>66235.571428571449</v>
      </c>
      <c r="E27" s="22">
        <f t="shared" si="6"/>
        <v>4500</v>
      </c>
      <c r="F27" s="22">
        <f t="shared" si="11"/>
        <v>344.99999999999994</v>
      </c>
      <c r="G27" s="22">
        <f t="shared" si="7"/>
        <v>1874.466671428572</v>
      </c>
      <c r="H27" s="22">
        <f t="shared" si="8"/>
        <v>3053.4598428571439</v>
      </c>
      <c r="I27" s="22">
        <f t="shared" si="9"/>
        <v>2857.1428571428573</v>
      </c>
      <c r="J27" s="22">
        <f t="shared" si="0"/>
        <v>28.57142857142858</v>
      </c>
      <c r="K27" s="22">
        <f t="shared" si="10"/>
        <v>590.35241464889373</v>
      </c>
      <c r="L27" s="22">
        <f t="shared" si="1"/>
        <v>8748.9932146488954</v>
      </c>
      <c r="M27" s="23">
        <f t="shared" si="2"/>
        <v>52445.645488989925</v>
      </c>
      <c r="O27" s="55"/>
      <c r="P27" s="55"/>
      <c r="Q27" s="67"/>
    </row>
    <row r="28" spans="1:36" x14ac:dyDescent="0.2">
      <c r="A28" s="106">
        <f t="shared" si="3"/>
        <v>12</v>
      </c>
      <c r="B28" s="19">
        <f t="shared" si="4"/>
        <v>68571.428571428594</v>
      </c>
      <c r="C28" s="20">
        <v>4.4999999999999998E-2</v>
      </c>
      <c r="D28" s="22">
        <f t="shared" si="5"/>
        <v>63033.428571428594</v>
      </c>
      <c r="E28" s="22">
        <f t="shared" si="6"/>
        <v>4500</v>
      </c>
      <c r="F28" s="22">
        <f t="shared" si="11"/>
        <v>344.99999999999994</v>
      </c>
      <c r="G28" s="22">
        <f t="shared" si="7"/>
        <v>1783.8460285714291</v>
      </c>
      <c r="H28" s="22">
        <f t="shared" si="8"/>
        <v>2905.8410571428585</v>
      </c>
      <c r="I28" s="22">
        <f t="shared" si="9"/>
        <v>2857.1428571428573</v>
      </c>
      <c r="J28" s="22">
        <f t="shared" si="0"/>
        <v>27.428571428571438</v>
      </c>
      <c r="K28" s="22">
        <f t="shared" si="10"/>
        <v>541.12975545801737</v>
      </c>
      <c r="L28" s="22">
        <f t="shared" si="1"/>
        <v>8460.388269743733</v>
      </c>
      <c r="M28" s="23">
        <f t="shared" si="2"/>
        <v>50529.415509445796</v>
      </c>
      <c r="O28" s="55"/>
      <c r="P28" s="55"/>
      <c r="Q28" s="67"/>
    </row>
    <row r="29" spans="1:36" x14ac:dyDescent="0.2">
      <c r="A29" s="106">
        <f t="shared" si="3"/>
        <v>13</v>
      </c>
      <c r="B29" s="19">
        <f t="shared" si="4"/>
        <v>65714.285714285739</v>
      </c>
      <c r="C29" s="20">
        <v>4.4999999999999998E-2</v>
      </c>
      <c r="D29" s="22">
        <f t="shared" si="5"/>
        <v>59831.285714285739</v>
      </c>
      <c r="E29" s="22">
        <f t="shared" si="6"/>
        <v>4500</v>
      </c>
      <c r="F29" s="22">
        <f t="shared" si="11"/>
        <v>344.99999999999994</v>
      </c>
      <c r="G29" s="22">
        <f t="shared" si="7"/>
        <v>1693.2253857142864</v>
      </c>
      <c r="H29" s="22">
        <f t="shared" si="8"/>
        <v>2758.2222714285726</v>
      </c>
      <c r="I29" s="22">
        <f t="shared" si="9"/>
        <v>2857.1428571428573</v>
      </c>
      <c r="J29" s="22">
        <f t="shared" si="0"/>
        <v>26.285714285714295</v>
      </c>
      <c r="K29" s="22">
        <f t="shared" si="10"/>
        <v>491.90709626714045</v>
      </c>
      <c r="L29" s="22">
        <f t="shared" si="1"/>
        <v>8171.7833248385705</v>
      </c>
      <c r="M29" s="23">
        <f t="shared" si="2"/>
        <v>48686.761909710956</v>
      </c>
      <c r="O29" s="55"/>
      <c r="P29" s="55"/>
      <c r="Q29" s="67"/>
    </row>
    <row r="30" spans="1:36" x14ac:dyDescent="0.2">
      <c r="A30" s="106">
        <f t="shared" si="3"/>
        <v>14</v>
      </c>
      <c r="B30" s="19">
        <f t="shared" si="4"/>
        <v>62857.142857142884</v>
      </c>
      <c r="C30" s="20">
        <v>4.4999999999999998E-2</v>
      </c>
      <c r="D30" s="22">
        <f t="shared" si="5"/>
        <v>56629.142857142884</v>
      </c>
      <c r="E30" s="22">
        <f t="shared" si="6"/>
        <v>4500</v>
      </c>
      <c r="F30" s="22">
        <f t="shared" si="11"/>
        <v>344.99999999999994</v>
      </c>
      <c r="G30" s="22">
        <f t="shared" si="7"/>
        <v>1602.6047428571435</v>
      </c>
      <c r="H30" s="22">
        <f t="shared" si="8"/>
        <v>2610.6034857142872</v>
      </c>
      <c r="I30" s="22">
        <f t="shared" si="9"/>
        <v>2857.1428571428573</v>
      </c>
      <c r="J30" s="22">
        <f t="shared" si="0"/>
        <v>25.142857142857157</v>
      </c>
      <c r="K30" s="22">
        <f t="shared" si="10"/>
        <v>442.6844370762642</v>
      </c>
      <c r="L30" s="22">
        <f t="shared" si="1"/>
        <v>7883.1783799334098</v>
      </c>
      <c r="M30" s="23">
        <f t="shared" si="2"/>
        <v>46896.14359583328</v>
      </c>
      <c r="O30" s="55"/>
      <c r="P30" s="55"/>
      <c r="Q30" s="67"/>
    </row>
    <row r="31" spans="1:36" x14ac:dyDescent="0.2">
      <c r="A31" s="106">
        <f t="shared" si="3"/>
        <v>15</v>
      </c>
      <c r="B31" s="19">
        <f t="shared" si="4"/>
        <v>60000.000000000029</v>
      </c>
      <c r="C31" s="20">
        <v>4.4999999999999998E-2</v>
      </c>
      <c r="D31" s="22">
        <f t="shared" si="5"/>
        <v>53427.000000000029</v>
      </c>
      <c r="E31" s="22">
        <f t="shared" si="6"/>
        <v>4500</v>
      </c>
      <c r="F31" s="22">
        <f t="shared" si="11"/>
        <v>344.99999999999994</v>
      </c>
      <c r="G31" s="22">
        <f t="shared" si="7"/>
        <v>1511.9841000000008</v>
      </c>
      <c r="H31" s="22">
        <f t="shared" si="8"/>
        <v>2462.9847000000013</v>
      </c>
      <c r="I31" s="22">
        <f t="shared" si="9"/>
        <v>2857.1428571428573</v>
      </c>
      <c r="J31" s="22">
        <f t="shared" si="0"/>
        <v>24.000000000000014</v>
      </c>
      <c r="K31" s="22">
        <f t="shared" si="10"/>
        <v>393.46177788538762</v>
      </c>
      <c r="L31" s="22">
        <f t="shared" si="1"/>
        <v>7594.5734350282473</v>
      </c>
      <c r="M31" s="23">
        <f t="shared" si="2"/>
        <v>45161.431993080572</v>
      </c>
      <c r="O31" s="55"/>
      <c r="P31" s="55"/>
      <c r="Q31" s="67"/>
    </row>
    <row r="32" spans="1:36" x14ac:dyDescent="0.2">
      <c r="A32" s="106">
        <f t="shared" si="3"/>
        <v>16</v>
      </c>
      <c r="B32" s="19">
        <f t="shared" si="4"/>
        <v>57142.857142857174</v>
      </c>
      <c r="C32" s="20">
        <v>4.4999999999999998E-2</v>
      </c>
      <c r="D32" s="22">
        <f t="shared" si="5"/>
        <v>50224.857142857174</v>
      </c>
      <c r="E32" s="22">
        <f t="shared" si="6"/>
        <v>4500</v>
      </c>
      <c r="F32" s="22">
        <f t="shared" si="11"/>
        <v>344.99999999999994</v>
      </c>
      <c r="G32" s="22">
        <f t="shared" si="7"/>
        <v>1421.3634571428579</v>
      </c>
      <c r="H32" s="22">
        <f t="shared" si="8"/>
        <v>2315.3659142857159</v>
      </c>
      <c r="I32" s="22">
        <f t="shared" si="9"/>
        <v>2857.1428571428573</v>
      </c>
      <c r="J32" s="22">
        <f t="shared" si="0"/>
        <v>22.857142857142872</v>
      </c>
      <c r="K32" s="22">
        <f t="shared" si="10"/>
        <v>344.23911869451103</v>
      </c>
      <c r="L32" s="22">
        <f t="shared" si="1"/>
        <v>7305.9684901230848</v>
      </c>
      <c r="M32" s="23">
        <f t="shared" si="2"/>
        <v>43486.786560760549</v>
      </c>
      <c r="O32" s="55"/>
      <c r="P32" s="55"/>
      <c r="Q32" s="67"/>
      <c r="AI32" s="13"/>
      <c r="AJ32" s="13"/>
    </row>
    <row r="33" spans="1:36" x14ac:dyDescent="0.2">
      <c r="A33" s="106">
        <f t="shared" si="3"/>
        <v>17</v>
      </c>
      <c r="B33" s="19">
        <f t="shared" si="4"/>
        <v>54285.714285714319</v>
      </c>
      <c r="C33" s="20">
        <v>4.4999999999999998E-2</v>
      </c>
      <c r="D33" s="22">
        <f t="shared" si="5"/>
        <v>47022.714285714319</v>
      </c>
      <c r="E33" s="22">
        <f t="shared" si="6"/>
        <v>4500</v>
      </c>
      <c r="F33" s="22">
        <f t="shared" si="11"/>
        <v>344.99999999999994</v>
      </c>
      <c r="G33" s="22">
        <f t="shared" si="7"/>
        <v>1330.7428142857152</v>
      </c>
      <c r="H33" s="22">
        <f t="shared" si="8"/>
        <v>2167.74712857143</v>
      </c>
      <c r="I33" s="22">
        <f t="shared" si="9"/>
        <v>2857.1428571428573</v>
      </c>
      <c r="J33" s="22">
        <f t="shared" si="0"/>
        <v>21.71428571428573</v>
      </c>
      <c r="K33" s="22">
        <f t="shared" si="10"/>
        <v>295.01645950363474</v>
      </c>
      <c r="L33" s="22">
        <f t="shared" si="1"/>
        <v>7017.3635452179233</v>
      </c>
      <c r="M33" s="23">
        <f t="shared" si="2"/>
        <v>41876.676221953356</v>
      </c>
      <c r="O33" s="55"/>
      <c r="P33" s="55"/>
      <c r="Q33" s="67"/>
      <c r="AI33" s="13"/>
      <c r="AJ33" s="13"/>
    </row>
    <row r="34" spans="1:36" x14ac:dyDescent="0.2">
      <c r="A34" s="106">
        <f t="shared" si="3"/>
        <v>18</v>
      </c>
      <c r="B34" s="19">
        <f t="shared" si="4"/>
        <v>51428.571428571464</v>
      </c>
      <c r="C34" s="20">
        <v>4.4999999999999998E-2</v>
      </c>
      <c r="D34" s="22">
        <f t="shared" si="5"/>
        <v>43820.571428571464</v>
      </c>
      <c r="E34" s="22">
        <f t="shared" si="6"/>
        <v>4500</v>
      </c>
      <c r="F34" s="22">
        <f t="shared" si="11"/>
        <v>344.99999999999994</v>
      </c>
      <c r="G34" s="22">
        <f t="shared" si="7"/>
        <v>1240.1221714285723</v>
      </c>
      <c r="H34" s="22">
        <f t="shared" si="8"/>
        <v>2020.1283428571446</v>
      </c>
      <c r="I34" s="22">
        <f t="shared" si="9"/>
        <v>2857.1428571428573</v>
      </c>
      <c r="J34" s="22">
        <f t="shared" si="0"/>
        <v>20.571428571428587</v>
      </c>
      <c r="K34" s="22">
        <f t="shared" si="10"/>
        <v>245.79380031275812</v>
      </c>
      <c r="L34" s="22">
        <f t="shared" si="1"/>
        <v>6728.7586003127608</v>
      </c>
      <c r="M34" s="23">
        <f t="shared" si="2"/>
        <v>40335.90238761637</v>
      </c>
      <c r="O34" s="55"/>
      <c r="P34" s="55"/>
      <c r="Q34" s="67"/>
      <c r="AI34" s="13"/>
      <c r="AJ34" s="13"/>
    </row>
    <row r="35" spans="1:36" x14ac:dyDescent="0.2">
      <c r="A35" s="106">
        <f t="shared" si="3"/>
        <v>19</v>
      </c>
      <c r="B35" s="19">
        <f t="shared" si="4"/>
        <v>48571.428571428609</v>
      </c>
      <c r="C35" s="20">
        <v>4.4999999999999998E-2</v>
      </c>
      <c r="D35" s="22">
        <f t="shared" si="5"/>
        <v>40618.428571428609</v>
      </c>
      <c r="E35" s="22">
        <f t="shared" si="6"/>
        <v>4500</v>
      </c>
      <c r="F35" s="22">
        <f t="shared" si="11"/>
        <v>344.99999999999994</v>
      </c>
      <c r="G35" s="22">
        <f t="shared" si="7"/>
        <v>1149.5015285714296</v>
      </c>
      <c r="H35" s="22">
        <f t="shared" si="8"/>
        <v>1872.509557142859</v>
      </c>
      <c r="I35" s="22">
        <f t="shared" si="9"/>
        <v>2857.1428571428573</v>
      </c>
      <c r="J35" s="22">
        <f t="shared" si="0"/>
        <v>19.428571428571445</v>
      </c>
      <c r="K35" s="22">
        <f t="shared" si="10"/>
        <v>196.57114112188154</v>
      </c>
      <c r="L35" s="22">
        <f t="shared" si="1"/>
        <v>6440.1536554075992</v>
      </c>
      <c r="M35" s="23">
        <f t="shared" si="2"/>
        <v>38869.623693682181</v>
      </c>
      <c r="O35" s="55"/>
      <c r="P35" s="55"/>
      <c r="Q35" s="67"/>
      <c r="AI35" s="13"/>
      <c r="AJ35" s="13"/>
    </row>
    <row r="36" spans="1:36" x14ac:dyDescent="0.2">
      <c r="A36" s="106">
        <f t="shared" si="3"/>
        <v>20</v>
      </c>
      <c r="B36" s="19">
        <f t="shared" si="4"/>
        <v>45714.285714285754</v>
      </c>
      <c r="C36" s="20">
        <v>4.4999999999999998E-2</v>
      </c>
      <c r="D36" s="22">
        <f t="shared" si="5"/>
        <v>37416.285714285754</v>
      </c>
      <c r="E36" s="22">
        <f t="shared" si="6"/>
        <v>4500</v>
      </c>
      <c r="F36" s="22">
        <f t="shared" si="11"/>
        <v>344.99999999999994</v>
      </c>
      <c r="G36" s="22">
        <f t="shared" si="7"/>
        <v>1058.8808857142867</v>
      </c>
      <c r="H36" s="22">
        <f t="shared" si="8"/>
        <v>1724.8907714285733</v>
      </c>
      <c r="I36" s="22">
        <f t="shared" si="9"/>
        <v>2857.1428571428573</v>
      </c>
      <c r="J36" s="22">
        <f t="shared" si="0"/>
        <v>18.285714285714302</v>
      </c>
      <c r="K36" s="22">
        <f t="shared" si="10"/>
        <v>147.34848193100521</v>
      </c>
      <c r="L36" s="22">
        <f t="shared" si="1"/>
        <v>6151.5487105024376</v>
      </c>
      <c r="M36" s="23">
        <f t="shared" si="2"/>
        <v>37483.382578596742</v>
      </c>
      <c r="O36" s="55"/>
      <c r="P36" s="55"/>
      <c r="Q36" s="67"/>
      <c r="R36" s="68"/>
      <c r="S36" s="68"/>
      <c r="T36" s="68"/>
      <c r="AI36" s="13"/>
      <c r="AJ36" s="13"/>
    </row>
    <row r="37" spans="1:36" x14ac:dyDescent="0.2">
      <c r="A37" s="106">
        <f t="shared" si="3"/>
        <v>21</v>
      </c>
      <c r="B37" s="19">
        <f t="shared" si="4"/>
        <v>42857.142857142899</v>
      </c>
      <c r="C37" s="20">
        <v>1.7000000000000001E-2</v>
      </c>
      <c r="D37" s="22">
        <f t="shared" si="5"/>
        <v>34214.142857142899</v>
      </c>
      <c r="E37" s="22">
        <f t="shared" si="6"/>
        <v>1700.0000000000002</v>
      </c>
      <c r="F37" s="22">
        <f t="shared" si="11"/>
        <v>-242.99999999999997</v>
      </c>
      <c r="G37" s="22">
        <f t="shared" si="7"/>
        <v>968.26024285714402</v>
      </c>
      <c r="H37" s="22">
        <f t="shared" si="8"/>
        <v>1577.2719857142877</v>
      </c>
      <c r="I37" s="22">
        <f t="shared" si="9"/>
        <v>2857.1428571428573</v>
      </c>
      <c r="J37" s="22">
        <f t="shared" si="0"/>
        <v>17.14285714285716</v>
      </c>
      <c r="K37" s="22">
        <f t="shared" si="10"/>
        <v>830.0384316562446</v>
      </c>
      <c r="L37" s="22">
        <f t="shared" si="1"/>
        <v>6006.8563745133906</v>
      </c>
      <c r="M37" s="23">
        <f t="shared" si="2"/>
        <v>36183.133838226408</v>
      </c>
      <c r="O37" s="55"/>
      <c r="P37" s="55"/>
      <c r="Q37" s="67"/>
    </row>
    <row r="38" spans="1:36" x14ac:dyDescent="0.2">
      <c r="A38" s="106">
        <f t="shared" si="3"/>
        <v>22</v>
      </c>
      <c r="B38" s="19">
        <f t="shared" si="4"/>
        <v>40000.000000000044</v>
      </c>
      <c r="C38" s="20">
        <v>0</v>
      </c>
      <c r="D38" s="22">
        <f t="shared" si="5"/>
        <v>31600.00000000004</v>
      </c>
      <c r="E38" s="22">
        <f t="shared" si="6"/>
        <v>0</v>
      </c>
      <c r="F38" s="22">
        <f t="shared" si="11"/>
        <v>-600</v>
      </c>
      <c r="G38" s="22">
        <f t="shared" si="7"/>
        <v>894.28000000000111</v>
      </c>
      <c r="H38" s="22">
        <f t="shared" si="8"/>
        <v>1456.7600000000018</v>
      </c>
      <c r="I38" s="22">
        <f t="shared" si="9"/>
        <v>2857.1428571428573</v>
      </c>
      <c r="J38" s="22">
        <f t="shared" si="0"/>
        <v>16.000000000000018</v>
      </c>
      <c r="K38" s="22">
        <f t="shared" si="10"/>
        <v>1234.1604571316025</v>
      </c>
      <c r="L38" s="22">
        <f t="shared" si="1"/>
        <v>5858.3433142744634</v>
      </c>
      <c r="M38" s="23">
        <f t="shared" si="2"/>
        <v>34831.362696333876</v>
      </c>
      <c r="O38" s="55"/>
      <c r="P38" s="55"/>
      <c r="Q38" s="67"/>
    </row>
    <row r="39" spans="1:36" x14ac:dyDescent="0.2">
      <c r="A39" s="106">
        <f t="shared" si="3"/>
        <v>23</v>
      </c>
      <c r="B39" s="19">
        <f t="shared" si="4"/>
        <v>37142.857142857189</v>
      </c>
      <c r="C39" s="20">
        <v>0</v>
      </c>
      <c r="D39" s="22">
        <f t="shared" si="5"/>
        <v>29342.857142857181</v>
      </c>
      <c r="E39" s="22">
        <f t="shared" si="6"/>
        <v>0</v>
      </c>
      <c r="F39" s="22">
        <f t="shared" si="11"/>
        <v>-600</v>
      </c>
      <c r="G39" s="22">
        <f t="shared" si="7"/>
        <v>830.40285714285824</v>
      </c>
      <c r="H39" s="22">
        <f t="shared" si="8"/>
        <v>1352.7057142857161</v>
      </c>
      <c r="I39" s="22">
        <f t="shared" si="9"/>
        <v>2857.1428571428573</v>
      </c>
      <c r="J39" s="22">
        <f t="shared" si="0"/>
        <v>14.857142857142875</v>
      </c>
      <c r="K39" s="22">
        <f t="shared" si="10"/>
        <v>1199.3525388318317</v>
      </c>
      <c r="L39" s="22">
        <f t="shared" si="1"/>
        <v>5654.4611102604067</v>
      </c>
      <c r="M39" s="23">
        <f t="shared" si="2"/>
        <v>33428.056610495754</v>
      </c>
      <c r="O39" s="55"/>
      <c r="P39" s="55"/>
      <c r="Q39" s="67"/>
    </row>
    <row r="40" spans="1:36" x14ac:dyDescent="0.2">
      <c r="A40" s="106">
        <f t="shared" si="3"/>
        <v>24</v>
      </c>
      <c r="B40" s="19">
        <f t="shared" si="4"/>
        <v>34285.714285714334</v>
      </c>
      <c r="C40" s="20">
        <v>0</v>
      </c>
      <c r="D40" s="22">
        <f t="shared" si="5"/>
        <v>27085.714285714323</v>
      </c>
      <c r="E40" s="22">
        <f t="shared" si="6"/>
        <v>0</v>
      </c>
      <c r="F40" s="22">
        <f t="shared" si="11"/>
        <v>-600</v>
      </c>
      <c r="G40" s="22">
        <f t="shared" si="7"/>
        <v>766.52571428571525</v>
      </c>
      <c r="H40" s="22">
        <f t="shared" si="8"/>
        <v>1248.6514285714304</v>
      </c>
      <c r="I40" s="22">
        <f t="shared" si="9"/>
        <v>2857.1428571428573</v>
      </c>
      <c r="J40" s="22">
        <f t="shared" si="0"/>
        <v>13.714285714285735</v>
      </c>
      <c r="K40" s="22">
        <f t="shared" si="10"/>
        <v>1164.5446205320611</v>
      </c>
      <c r="L40" s="22">
        <f t="shared" si="1"/>
        <v>5450.57890624635</v>
      </c>
      <c r="M40" s="23">
        <f t="shared" si="2"/>
        <v>32024.75052465764</v>
      </c>
      <c r="O40" s="55"/>
      <c r="P40" s="55"/>
      <c r="Q40" s="67"/>
    </row>
    <row r="41" spans="1:36" x14ac:dyDescent="0.2">
      <c r="A41" s="106">
        <f t="shared" si="3"/>
        <v>25</v>
      </c>
      <c r="B41" s="19">
        <f t="shared" si="4"/>
        <v>31428.571428571475</v>
      </c>
      <c r="C41" s="20">
        <v>0</v>
      </c>
      <c r="D41" s="22">
        <f t="shared" si="5"/>
        <v>24828.571428571464</v>
      </c>
      <c r="E41" s="22">
        <f t="shared" si="6"/>
        <v>0</v>
      </c>
      <c r="F41" s="22">
        <f t="shared" si="11"/>
        <v>-600</v>
      </c>
      <c r="G41" s="22">
        <f t="shared" si="7"/>
        <v>702.64857142857238</v>
      </c>
      <c r="H41" s="22">
        <f t="shared" si="8"/>
        <v>1144.5971428571445</v>
      </c>
      <c r="I41" s="22">
        <f t="shared" si="9"/>
        <v>2857.1428571428573</v>
      </c>
      <c r="J41" s="22">
        <f t="shared" si="0"/>
        <v>12.571428571428591</v>
      </c>
      <c r="K41" s="22">
        <f t="shared" si="10"/>
        <v>1129.7367022322903</v>
      </c>
      <c r="L41" s="22">
        <f t="shared" si="1"/>
        <v>5246.6967022322933</v>
      </c>
      <c r="M41" s="23">
        <f t="shared" si="2"/>
        <v>30621.444438819519</v>
      </c>
      <c r="O41" s="55"/>
      <c r="P41" s="55"/>
      <c r="Q41" s="67"/>
    </row>
    <row r="42" spans="1:36" x14ac:dyDescent="0.2">
      <c r="A42" s="106">
        <f t="shared" si="3"/>
        <v>26</v>
      </c>
      <c r="B42" s="19">
        <f t="shared" si="4"/>
        <v>28571.428571428616</v>
      </c>
      <c r="C42" s="20">
        <v>0</v>
      </c>
      <c r="D42" s="22">
        <f t="shared" si="5"/>
        <v>22571.428571428605</v>
      </c>
      <c r="E42" s="22">
        <f t="shared" si="6"/>
        <v>0</v>
      </c>
      <c r="F42" s="22">
        <f t="shared" si="11"/>
        <v>-600</v>
      </c>
      <c r="G42" s="22">
        <f t="shared" si="7"/>
        <v>638.77142857142951</v>
      </c>
      <c r="H42" s="22">
        <f t="shared" si="8"/>
        <v>1040.5428571428588</v>
      </c>
      <c r="I42" s="22">
        <f t="shared" si="9"/>
        <v>2857.1428571428573</v>
      </c>
      <c r="J42" s="22">
        <f t="shared" si="0"/>
        <v>11.428571428571447</v>
      </c>
      <c r="K42" s="22">
        <f t="shared" si="10"/>
        <v>1094.9287839325198</v>
      </c>
      <c r="L42" s="22">
        <f t="shared" si="1"/>
        <v>5042.8144982182366</v>
      </c>
      <c r="M42" s="23">
        <f>NPV($L$9,L42:L51)</f>
        <v>29218.138352981408</v>
      </c>
      <c r="O42" s="55"/>
      <c r="P42" s="55"/>
      <c r="Q42" s="67"/>
    </row>
    <row r="43" spans="1:36" x14ac:dyDescent="0.2">
      <c r="A43" s="106">
        <f t="shared" si="3"/>
        <v>27</v>
      </c>
      <c r="B43" s="19">
        <f t="shared" si="4"/>
        <v>25714.285714285757</v>
      </c>
      <c r="C43" s="20">
        <v>0</v>
      </c>
      <c r="D43" s="22">
        <f t="shared" si="5"/>
        <v>20314.285714285747</v>
      </c>
      <c r="E43" s="22">
        <f t="shared" si="6"/>
        <v>0</v>
      </c>
      <c r="F43" s="22">
        <f t="shared" si="11"/>
        <v>-600</v>
      </c>
      <c r="G43" s="22">
        <f t="shared" si="7"/>
        <v>574.89428571428664</v>
      </c>
      <c r="H43" s="22">
        <f t="shared" si="8"/>
        <v>936.48857142857298</v>
      </c>
      <c r="I43" s="22">
        <f t="shared" si="9"/>
        <v>2857.1428571428573</v>
      </c>
      <c r="J43" s="22">
        <f t="shared" si="0"/>
        <v>10.285714285714304</v>
      </c>
      <c r="K43" s="22">
        <f t="shared" si="10"/>
        <v>1060.120865632749</v>
      </c>
      <c r="L43" s="22">
        <f t="shared" si="1"/>
        <v>4838.9322942041799</v>
      </c>
      <c r="M43" s="23">
        <f>NPV($L$9,L43:L51)</f>
        <v>26349.153348224994</v>
      </c>
      <c r="O43" s="55"/>
      <c r="P43" s="55"/>
      <c r="Q43" s="67"/>
    </row>
    <row r="44" spans="1:36" x14ac:dyDescent="0.2">
      <c r="A44" s="106">
        <f t="shared" si="3"/>
        <v>28</v>
      </c>
      <c r="B44" s="19">
        <f t="shared" si="4"/>
        <v>22857.142857142899</v>
      </c>
      <c r="C44" s="20">
        <v>0</v>
      </c>
      <c r="D44" s="22">
        <f t="shared" si="5"/>
        <v>18057.142857142888</v>
      </c>
      <c r="E44" s="22">
        <f t="shared" si="6"/>
        <v>0</v>
      </c>
      <c r="F44" s="22">
        <f t="shared" si="11"/>
        <v>-600</v>
      </c>
      <c r="G44" s="22">
        <f t="shared" si="7"/>
        <v>511.01714285714371</v>
      </c>
      <c r="H44" s="22">
        <f t="shared" si="8"/>
        <v>832.43428571428717</v>
      </c>
      <c r="I44" s="22">
        <f t="shared" si="9"/>
        <v>2857.1428571428573</v>
      </c>
      <c r="J44" s="22">
        <f t="shared" si="0"/>
        <v>9.1428571428571601</v>
      </c>
      <c r="K44" s="22">
        <f t="shared" si="10"/>
        <v>1025.3129473329782</v>
      </c>
      <c r="L44" s="22">
        <f t="shared" si="1"/>
        <v>4635.0500901901232</v>
      </c>
      <c r="M44" s="23">
        <f>NPV($L$9,L44:L51)</f>
        <v>23470.598063128746</v>
      </c>
      <c r="O44" s="55"/>
      <c r="P44" s="55"/>
      <c r="Q44" s="67"/>
    </row>
    <row r="45" spans="1:36" x14ac:dyDescent="0.2">
      <c r="A45" s="106">
        <f t="shared" si="3"/>
        <v>29</v>
      </c>
      <c r="B45" s="19">
        <f t="shared" si="4"/>
        <v>20000.00000000004</v>
      </c>
      <c r="C45" s="20">
        <v>0</v>
      </c>
      <c r="D45" s="22">
        <f t="shared" si="5"/>
        <v>15800.000000000031</v>
      </c>
      <c r="E45" s="22">
        <f t="shared" si="6"/>
        <v>0</v>
      </c>
      <c r="F45" s="22">
        <f t="shared" si="11"/>
        <v>-600</v>
      </c>
      <c r="G45" s="22">
        <f t="shared" si="7"/>
        <v>447.14000000000084</v>
      </c>
      <c r="H45" s="22">
        <f t="shared" si="8"/>
        <v>728.38000000000147</v>
      </c>
      <c r="I45" s="22">
        <f t="shared" si="9"/>
        <v>2857.1428571428573</v>
      </c>
      <c r="J45" s="22">
        <f t="shared" si="0"/>
        <v>8.000000000000016</v>
      </c>
      <c r="K45" s="22">
        <f t="shared" si="10"/>
        <v>990.50502903320751</v>
      </c>
      <c r="L45" s="22">
        <f t="shared" si="1"/>
        <v>4431.1678861760674</v>
      </c>
      <c r="M45" s="23">
        <f>NPV($L$9,L45:L51)</f>
        <v>20581.760468835404</v>
      </c>
      <c r="O45" s="55"/>
      <c r="P45" s="55"/>
      <c r="Q45" s="67"/>
      <c r="R45" s="68"/>
      <c r="S45" s="68"/>
      <c r="T45" s="68"/>
    </row>
    <row r="46" spans="1:36" x14ac:dyDescent="0.2">
      <c r="A46" s="106">
        <f t="shared" si="3"/>
        <v>30</v>
      </c>
      <c r="B46" s="19">
        <f t="shared" si="4"/>
        <v>17142.857142857181</v>
      </c>
      <c r="C46" s="20">
        <v>0</v>
      </c>
      <c r="D46" s="22">
        <f t="shared" si="5"/>
        <v>13542.857142857172</v>
      </c>
      <c r="E46" s="22">
        <f t="shared" si="6"/>
        <v>0</v>
      </c>
      <c r="F46" s="22">
        <f t="shared" si="11"/>
        <v>-600</v>
      </c>
      <c r="G46" s="22">
        <f t="shared" si="7"/>
        <v>383.26285714285797</v>
      </c>
      <c r="H46" s="22">
        <f t="shared" si="8"/>
        <v>624.32571428571566</v>
      </c>
      <c r="I46" s="22">
        <f t="shared" si="9"/>
        <v>2857.1428571428573</v>
      </c>
      <c r="J46" s="22">
        <f t="shared" si="0"/>
        <v>6.8571428571428727</v>
      </c>
      <c r="K46" s="22">
        <f t="shared" si="10"/>
        <v>955.69711073343672</v>
      </c>
      <c r="L46" s="22">
        <f t="shared" si="1"/>
        <v>4227.2856821620107</v>
      </c>
      <c r="M46" s="23">
        <f>NPV($L$9,L46:L51)</f>
        <v>17681.875561540692</v>
      </c>
      <c r="O46" s="55"/>
      <c r="P46" s="55"/>
      <c r="Q46" s="67"/>
    </row>
    <row r="47" spans="1:36" x14ac:dyDescent="0.2">
      <c r="A47" s="106">
        <f t="shared" si="3"/>
        <v>31</v>
      </c>
      <c r="B47" s="19">
        <f t="shared" si="4"/>
        <v>14285.714285714324</v>
      </c>
      <c r="C47" s="20">
        <v>0</v>
      </c>
      <c r="D47" s="22">
        <f t="shared" si="5"/>
        <v>11285.714285714315</v>
      </c>
      <c r="E47" s="22">
        <f t="shared" si="6"/>
        <v>0</v>
      </c>
      <c r="F47" s="22">
        <f t="shared" si="11"/>
        <v>-600</v>
      </c>
      <c r="G47" s="22">
        <f t="shared" si="7"/>
        <v>319.3857142857151</v>
      </c>
      <c r="H47" s="22">
        <f t="shared" si="8"/>
        <v>520.27142857142996</v>
      </c>
      <c r="I47" s="22">
        <f t="shared" si="9"/>
        <v>2857.1428571428573</v>
      </c>
      <c r="J47" s="22">
        <f t="shared" si="0"/>
        <v>5.7142857142857304</v>
      </c>
      <c r="K47" s="22">
        <f t="shared" si="10"/>
        <v>920.88919243366615</v>
      </c>
      <c r="L47" s="22">
        <f t="shared" si="1"/>
        <v>4023.4034781479545</v>
      </c>
      <c r="M47" s="23">
        <f>NPV($L$9,L47:L51)</f>
        <v>14770.12142115731</v>
      </c>
      <c r="O47" s="55"/>
      <c r="P47" s="55"/>
      <c r="Q47" s="67"/>
    </row>
    <row r="48" spans="1:36" x14ac:dyDescent="0.2">
      <c r="A48" s="106">
        <f t="shared" si="3"/>
        <v>32</v>
      </c>
      <c r="B48" s="19">
        <f t="shared" si="4"/>
        <v>11428.571428571468</v>
      </c>
      <c r="C48" s="20">
        <v>0</v>
      </c>
      <c r="D48" s="22">
        <f t="shared" si="5"/>
        <v>9028.5714285714585</v>
      </c>
      <c r="E48" s="22">
        <f t="shared" si="6"/>
        <v>0</v>
      </c>
      <c r="F48" s="22">
        <f t="shared" si="11"/>
        <v>-600</v>
      </c>
      <c r="G48" s="22">
        <f t="shared" si="7"/>
        <v>255.50857142857225</v>
      </c>
      <c r="H48" s="22">
        <f t="shared" si="8"/>
        <v>416.21714285714427</v>
      </c>
      <c r="I48" s="22">
        <f t="shared" si="9"/>
        <v>2857.1428571428573</v>
      </c>
      <c r="J48" s="22">
        <f t="shared" si="0"/>
        <v>4.5714285714285872</v>
      </c>
      <c r="K48" s="22">
        <f t="shared" si="10"/>
        <v>886.08127413389536</v>
      </c>
      <c r="L48" s="22">
        <f t="shared" si="1"/>
        <v>3819.5212741338978</v>
      </c>
      <c r="M48" s="23">
        <f>NPV($L$9,L48:L51)</f>
        <v>11845.614976743458</v>
      </c>
      <c r="O48" s="55"/>
      <c r="P48" s="55"/>
      <c r="Q48" s="67"/>
    </row>
    <row r="49" spans="1:17" x14ac:dyDescent="0.2">
      <c r="A49" s="106">
        <f t="shared" si="3"/>
        <v>33</v>
      </c>
      <c r="B49" s="19">
        <f t="shared" si="4"/>
        <v>8571.4285714286107</v>
      </c>
      <c r="C49" s="20">
        <v>0</v>
      </c>
      <c r="D49" s="22">
        <f t="shared" si="5"/>
        <v>6771.4285714286016</v>
      </c>
      <c r="E49" s="22">
        <f t="shared" si="6"/>
        <v>0</v>
      </c>
      <c r="F49" s="22">
        <f t="shared" si="11"/>
        <v>-600</v>
      </c>
      <c r="G49" s="22">
        <f t="shared" si="7"/>
        <v>191.63142857142941</v>
      </c>
      <c r="H49" s="22">
        <f t="shared" si="8"/>
        <v>312.16285714285857</v>
      </c>
      <c r="I49" s="22">
        <f t="shared" si="9"/>
        <v>2857.1428571428573</v>
      </c>
      <c r="J49" s="22">
        <f t="shared" si="0"/>
        <v>3.4285714285714444</v>
      </c>
      <c r="K49" s="22">
        <f t="shared" si="10"/>
        <v>851.2733558341248</v>
      </c>
      <c r="L49" s="22">
        <f t="shared" si="1"/>
        <v>3615.6390701198416</v>
      </c>
      <c r="M49" s="23">
        <f>NPV($L$9,L49:L51)</f>
        <v>8907.4074568792748</v>
      </c>
      <c r="O49" s="55"/>
      <c r="P49" s="55"/>
      <c r="Q49" s="67"/>
    </row>
    <row r="50" spans="1:17" x14ac:dyDescent="0.2">
      <c r="A50" s="106">
        <f t="shared" si="3"/>
        <v>34</v>
      </c>
      <c r="B50" s="19">
        <f t="shared" si="4"/>
        <v>5714.2857142857538</v>
      </c>
      <c r="C50" s="20">
        <v>0</v>
      </c>
      <c r="D50" s="22">
        <f t="shared" si="5"/>
        <v>4514.2857142857447</v>
      </c>
      <c r="E50" s="22">
        <f t="shared" si="6"/>
        <v>0</v>
      </c>
      <c r="F50" s="22">
        <f t="shared" si="11"/>
        <v>-600</v>
      </c>
      <c r="G50" s="22">
        <f t="shared" si="7"/>
        <v>127.75428571428657</v>
      </c>
      <c r="H50" s="22">
        <f t="shared" si="8"/>
        <v>208.10857142857284</v>
      </c>
      <c r="I50" s="22">
        <f t="shared" si="9"/>
        <v>2857.1428571428573</v>
      </c>
      <c r="J50" s="22">
        <f t="shared" si="0"/>
        <v>2.2857142857143016</v>
      </c>
      <c r="K50" s="22">
        <f t="shared" si="10"/>
        <v>816.46543753435401</v>
      </c>
      <c r="L50" s="22">
        <f t="shared" si="1"/>
        <v>3411.7568661057849</v>
      </c>
      <c r="M50" s="23">
        <f>NPV($L$9,L50:L51)</f>
        <v>5954.4795015512509</v>
      </c>
      <c r="O50" s="55"/>
      <c r="P50" s="55"/>
      <c r="Q50" s="67"/>
    </row>
    <row r="51" spans="1:17" x14ac:dyDescent="0.2">
      <c r="A51" s="106">
        <f t="shared" si="3"/>
        <v>35</v>
      </c>
      <c r="B51" s="19">
        <f t="shared" ref="B51" si="12">B50-I50</f>
        <v>2857.1428571428964</v>
      </c>
      <c r="C51" s="20">
        <v>0</v>
      </c>
      <c r="D51" s="22">
        <f t="shared" ref="D51" si="13">D50-F50-I50</f>
        <v>2257.1428571428874</v>
      </c>
      <c r="E51" s="22">
        <f t="shared" ref="E51" si="14">D$13*C51</f>
        <v>0</v>
      </c>
      <c r="F51" s="22">
        <f t="shared" ref="F51" si="15">H$14*(E51-I51*D$13/D$12)</f>
        <v>-600</v>
      </c>
      <c r="G51" s="22">
        <f t="shared" si="7"/>
        <v>63.87714285714371</v>
      </c>
      <c r="H51" s="22">
        <f t="shared" si="8"/>
        <v>104.05428571428712</v>
      </c>
      <c r="I51" s="22">
        <f t="shared" ref="I51" si="16">D$12/H$12</f>
        <v>2857.1428571428573</v>
      </c>
      <c r="J51" s="22">
        <f t="shared" ref="J51" si="17">+B51*$H$11</f>
        <v>1.1428571428571586</v>
      </c>
      <c r="K51" s="22">
        <f t="shared" ref="K51" si="18">(H$13/(1-H$13))*(H51+I51-E51+F51+J51)</f>
        <v>781.65751923458345</v>
      </c>
      <c r="L51" s="22">
        <f t="shared" ref="L51" si="19">SUM(F51:K51)</f>
        <v>3207.8746620917291</v>
      </c>
      <c r="M51" s="23">
        <f>NPV($L$9,L51:L53)</f>
        <v>5588.0926969343</v>
      </c>
      <c r="O51" s="55"/>
      <c r="P51" s="55"/>
      <c r="Q51" s="67"/>
    </row>
    <row r="52" spans="1:17" x14ac:dyDescent="0.2">
      <c r="A52" s="106">
        <f t="shared" si="3"/>
        <v>36</v>
      </c>
      <c r="B52" s="19">
        <f t="shared" ref="B52" si="20">B51-I51</f>
        <v>3.9108272176235914E-11</v>
      </c>
      <c r="C52" s="20">
        <v>0</v>
      </c>
      <c r="D52" s="22">
        <f t="shared" ref="D52" si="21">D51-F51-I51</f>
        <v>3.0013325158506632E-11</v>
      </c>
      <c r="E52" s="22">
        <f t="shared" ref="E52" si="22">D$13*C52</f>
        <v>0</v>
      </c>
      <c r="F52" s="22">
        <f t="shared" ref="F52" si="23">H$14*(E52-I52*D$13/D$12)</f>
        <v>-600</v>
      </c>
      <c r="G52" s="22">
        <f t="shared" ref="G52" si="24">L$5*D52</f>
        <v>8.4937710198573764E-13</v>
      </c>
      <c r="H52" s="22">
        <f t="shared" ref="H52" si="25">D52*(L$6+L$7)</f>
        <v>1.3836142898071558E-12</v>
      </c>
      <c r="I52" s="22">
        <f t="shared" ref="I52" si="26">D$12/H$12</f>
        <v>2857.1428571428573</v>
      </c>
      <c r="J52" s="22">
        <f t="shared" ref="J52" si="27">+B52*$H$11</f>
        <v>1.5643308870494366E-14</v>
      </c>
      <c r="K52" s="22">
        <f t="shared" ref="K52" si="28">(H$13/(1-H$13))*(H52+I52-E52+F52+J52)</f>
        <v>746.84960093481266</v>
      </c>
      <c r="L52" s="22">
        <f t="shared" ref="L52" si="29">SUM(F52:K52)</f>
        <v>3003.9924580776724</v>
      </c>
      <c r="M52" s="23">
        <f>NPV($L$9,L52:L54)</f>
        <v>202362.93560593628</v>
      </c>
      <c r="O52" s="55"/>
      <c r="P52" s="55"/>
      <c r="Q52" s="67"/>
    </row>
    <row r="53" spans="1:17" x14ac:dyDescent="0.2">
      <c r="A53" s="106" t="s">
        <v>14</v>
      </c>
      <c r="B53" s="19"/>
      <c r="C53" s="20" t="s">
        <v>14</v>
      </c>
      <c r="D53" s="22" t="s">
        <v>14</v>
      </c>
      <c r="E53" s="22" t="s">
        <v>14</v>
      </c>
      <c r="F53" s="22" t="s">
        <v>14</v>
      </c>
      <c r="G53" s="22" t="s">
        <v>14</v>
      </c>
      <c r="H53" s="22" t="s">
        <v>14</v>
      </c>
      <c r="I53" s="22" t="s">
        <v>14</v>
      </c>
      <c r="J53" s="22" t="s">
        <v>14</v>
      </c>
      <c r="K53" s="22" t="s">
        <v>14</v>
      </c>
      <c r="L53" s="22" t="s">
        <v>14</v>
      </c>
      <c r="M53" s="23"/>
      <c r="O53" s="19"/>
      <c r="P53" s="19"/>
      <c r="Q53" s="19"/>
    </row>
    <row r="54" spans="1:17" x14ac:dyDescent="0.2">
      <c r="A54" s="106" t="s">
        <v>13</v>
      </c>
      <c r="B54" s="19"/>
      <c r="C54" s="20">
        <f>SUM(C17:C51)</f>
        <v>1.0000000000000002</v>
      </c>
      <c r="D54" s="22" t="s">
        <v>12</v>
      </c>
      <c r="E54" s="22">
        <f t="shared" ref="E54:L54" si="30">SUM(E17:E51)</f>
        <v>100000</v>
      </c>
      <c r="F54" s="22">
        <f t="shared" si="30"/>
        <v>-1.8189894035458565E-12</v>
      </c>
      <c r="G54" s="22">
        <f t="shared" si="30"/>
        <v>46259.293200000022</v>
      </c>
      <c r="H54" s="22">
        <f t="shared" si="30"/>
        <v>75355.244400000083</v>
      </c>
      <c r="I54" s="22">
        <f t="shared" si="30"/>
        <v>99999.999999999971</v>
      </c>
      <c r="J54" s="22">
        <f t="shared" si="30"/>
        <v>720.00000000000045</v>
      </c>
      <c r="K54" s="22">
        <f t="shared" si="30"/>
        <v>25171.984901779011</v>
      </c>
      <c r="L54" s="22">
        <f t="shared" si="30"/>
        <v>247506.52250177908</v>
      </c>
      <c r="M54" s="23"/>
      <c r="O54" s="55"/>
      <c r="P54" s="55"/>
      <c r="Q54" s="55"/>
    </row>
    <row r="55" spans="1:17" x14ac:dyDescent="0.2">
      <c r="B55" s="19"/>
      <c r="C55" s="24"/>
      <c r="D55" s="25"/>
      <c r="E55" s="25"/>
      <c r="F55" s="22"/>
      <c r="G55" s="22"/>
      <c r="H55" s="22"/>
      <c r="I55" s="22"/>
      <c r="J55" s="22"/>
      <c r="K55" s="22"/>
      <c r="L55" s="22"/>
      <c r="M55" s="23"/>
    </row>
    <row r="56" spans="1:17" x14ac:dyDescent="0.2">
      <c r="B56" s="19"/>
      <c r="C56" s="125" t="s">
        <v>11</v>
      </c>
      <c r="D56" s="125"/>
      <c r="E56" s="22">
        <f t="shared" ref="E56:L56" si="31">NPV($L9,E17:E51)</f>
        <v>52799.497267888837</v>
      </c>
      <c r="F56" s="22">
        <f t="shared" si="31"/>
        <v>3677.6653504189667</v>
      </c>
      <c r="G56" s="22">
        <f t="shared" si="31"/>
        <v>23216.471580661382</v>
      </c>
      <c r="H56" s="22">
        <f t="shared" si="31"/>
        <v>37819.057945883047</v>
      </c>
      <c r="I56" s="22">
        <f t="shared" si="31"/>
        <v>35286.805123036633</v>
      </c>
      <c r="J56" s="22">
        <f t="shared" si="31"/>
        <v>347.92040256431909</v>
      </c>
      <c r="K56" s="22">
        <f t="shared" si="31"/>
        <v>8051.0226681369795</v>
      </c>
      <c r="L56" s="22">
        <f t="shared" si="31"/>
        <v>108398.94307070129</v>
      </c>
      <c r="M56" s="23"/>
      <c r="O56" s="19"/>
      <c r="P56" s="19"/>
      <c r="Q56" s="19"/>
    </row>
    <row r="57" spans="1:17" x14ac:dyDescent="0.2">
      <c r="B57" s="106"/>
      <c r="C57" s="106"/>
      <c r="D57" s="106"/>
      <c r="E57" s="106"/>
      <c r="F57" s="106"/>
      <c r="G57" s="106"/>
      <c r="H57" s="106"/>
      <c r="I57" s="106"/>
      <c r="J57" s="106"/>
      <c r="K57" s="106"/>
      <c r="L57" s="106"/>
      <c r="M57" s="106"/>
      <c r="O57" s="106"/>
    </row>
    <row r="58" spans="1:17" x14ac:dyDescent="0.2">
      <c r="B58" s="66"/>
      <c r="C58" s="24"/>
      <c r="D58" s="66"/>
      <c r="E58" s="66"/>
      <c r="F58" s="66"/>
      <c r="G58" s="66"/>
      <c r="H58" s="66"/>
      <c r="I58" s="66"/>
      <c r="J58" s="66"/>
      <c r="K58" s="66"/>
      <c r="L58" s="66"/>
      <c r="M58" s="66"/>
      <c r="O58" s="66"/>
    </row>
    <row r="59" spans="1:17" x14ac:dyDescent="0.2">
      <c r="B59" s="66"/>
      <c r="C59" s="66"/>
      <c r="D59" s="66"/>
      <c r="E59" s="66"/>
      <c r="F59" s="66"/>
      <c r="G59" s="66"/>
      <c r="H59" s="66"/>
      <c r="I59" s="66"/>
      <c r="J59" s="66"/>
      <c r="K59" s="66"/>
      <c r="L59" s="66"/>
      <c r="M59" s="66"/>
      <c r="O59" s="66"/>
    </row>
    <row r="60" spans="1:17" x14ac:dyDescent="0.2">
      <c r="B60" s="66"/>
      <c r="C60" s="66"/>
      <c r="D60" s="66"/>
      <c r="E60" s="66"/>
      <c r="F60" s="66"/>
      <c r="G60" s="66"/>
      <c r="H60" s="66"/>
      <c r="I60" s="66"/>
      <c r="J60" s="66"/>
      <c r="K60" s="66"/>
      <c r="L60" s="66"/>
      <c r="M60" s="66"/>
      <c r="O60" s="66"/>
    </row>
    <row r="61" spans="1:17" x14ac:dyDescent="0.2">
      <c r="B61" s="106"/>
      <c r="C61" s="66"/>
      <c r="D61" s="66"/>
      <c r="E61" s="66"/>
      <c r="F61" s="66"/>
      <c r="G61" s="66"/>
      <c r="H61" s="66"/>
      <c r="I61" s="66"/>
      <c r="J61" s="66"/>
      <c r="K61" s="66"/>
      <c r="L61" s="66"/>
      <c r="M61" s="66"/>
      <c r="O61" s="66"/>
    </row>
    <row r="62" spans="1:17" x14ac:dyDescent="0.2">
      <c r="B62" s="66"/>
      <c r="C62" s="66"/>
      <c r="D62" s="66"/>
      <c r="E62" s="66"/>
      <c r="F62" s="66"/>
      <c r="G62" s="66"/>
      <c r="H62" s="66"/>
      <c r="I62" s="66"/>
      <c r="J62" s="66"/>
      <c r="K62" s="66"/>
      <c r="L62" s="66"/>
      <c r="M62" s="66"/>
      <c r="O62" s="66"/>
    </row>
    <row r="63" spans="1:17" x14ac:dyDescent="0.2">
      <c r="B63" s="66"/>
      <c r="C63" s="66"/>
      <c r="D63" s="66"/>
      <c r="E63" s="66"/>
      <c r="F63" s="66"/>
      <c r="G63" s="66"/>
      <c r="H63" s="66"/>
      <c r="I63" s="66"/>
      <c r="J63" s="66"/>
      <c r="K63" s="66"/>
      <c r="L63" s="66"/>
      <c r="M63" s="66"/>
      <c r="O63" s="66"/>
    </row>
    <row r="64" spans="1:17" x14ac:dyDescent="0.2">
      <c r="B64" s="66"/>
      <c r="C64" s="66"/>
      <c r="D64" s="66"/>
      <c r="E64" s="66"/>
      <c r="F64" s="66"/>
      <c r="G64" s="66"/>
      <c r="H64" s="66"/>
      <c r="I64" s="66"/>
      <c r="J64" s="66"/>
      <c r="K64" s="66"/>
      <c r="L64" s="66"/>
      <c r="M64" s="66"/>
      <c r="O64" s="66"/>
    </row>
    <row r="65" spans="2:15" x14ac:dyDescent="0.2">
      <c r="B65" s="66"/>
      <c r="C65" s="66"/>
      <c r="D65" s="66"/>
      <c r="E65" s="66"/>
      <c r="F65" s="66"/>
      <c r="G65" s="66"/>
      <c r="H65" s="66"/>
      <c r="I65" s="66"/>
      <c r="J65" s="66"/>
      <c r="K65" s="66"/>
      <c r="L65" s="66"/>
      <c r="M65" s="66"/>
      <c r="O65" s="66"/>
    </row>
    <row r="66" spans="2:15" x14ac:dyDescent="0.2">
      <c r="B66" s="66"/>
      <c r="C66" s="66"/>
      <c r="D66" s="66"/>
      <c r="E66" s="66"/>
      <c r="F66" s="66"/>
      <c r="G66" s="66"/>
      <c r="H66" s="66"/>
      <c r="I66" s="66"/>
      <c r="J66" s="66"/>
      <c r="K66" s="66"/>
      <c r="L66" s="66"/>
      <c r="M66" s="66"/>
      <c r="O66" s="66"/>
    </row>
    <row r="67" spans="2:15" x14ac:dyDescent="0.2">
      <c r="B67" s="66"/>
      <c r="C67" s="66"/>
      <c r="D67" s="66"/>
      <c r="E67" s="66"/>
      <c r="F67" s="66"/>
      <c r="G67" s="66"/>
      <c r="H67" s="66"/>
      <c r="I67" s="66"/>
      <c r="J67" s="66"/>
      <c r="K67" s="66"/>
      <c r="L67" s="66"/>
      <c r="M67" s="66"/>
      <c r="O67" s="66"/>
    </row>
    <row r="68" spans="2:15" x14ac:dyDescent="0.2">
      <c r="B68" s="66"/>
      <c r="C68" s="66"/>
      <c r="D68" s="66"/>
      <c r="E68" s="66"/>
      <c r="F68" s="66"/>
      <c r="G68" s="66"/>
      <c r="H68" s="66"/>
      <c r="I68" s="66"/>
      <c r="J68" s="66"/>
      <c r="K68" s="66"/>
      <c r="L68" s="66"/>
      <c r="M68" s="66"/>
      <c r="O68" s="66"/>
    </row>
    <row r="69" spans="2:15" x14ac:dyDescent="0.2">
      <c r="B69" s="66"/>
      <c r="C69" s="66"/>
      <c r="D69" s="66"/>
      <c r="E69" s="66"/>
      <c r="F69" s="66"/>
      <c r="G69" s="66"/>
      <c r="H69" s="66"/>
      <c r="I69" s="66"/>
      <c r="J69" s="66"/>
      <c r="K69" s="66"/>
      <c r="L69" s="66"/>
      <c r="M69" s="66"/>
      <c r="O69" s="66"/>
    </row>
    <row r="70" spans="2:15" x14ac:dyDescent="0.2">
      <c r="B70" s="66"/>
      <c r="C70" s="66"/>
      <c r="D70" s="66"/>
      <c r="E70" s="66"/>
      <c r="F70" s="66"/>
      <c r="G70" s="66"/>
      <c r="H70" s="66"/>
      <c r="I70" s="66"/>
      <c r="J70" s="66"/>
      <c r="K70" s="66"/>
      <c r="L70" s="66"/>
      <c r="M70" s="66"/>
      <c r="O70" s="66"/>
    </row>
    <row r="71" spans="2:15" x14ac:dyDescent="0.2">
      <c r="B71" s="66"/>
      <c r="C71" s="66"/>
      <c r="D71" s="66"/>
      <c r="E71" s="66"/>
      <c r="F71" s="66"/>
      <c r="G71" s="66"/>
      <c r="H71" s="66"/>
      <c r="I71" s="66"/>
      <c r="J71" s="66"/>
      <c r="K71" s="66"/>
      <c r="L71" s="66"/>
      <c r="M71" s="66"/>
      <c r="O71" s="66"/>
    </row>
    <row r="72" spans="2:15" x14ac:dyDescent="0.2">
      <c r="B72" s="66"/>
      <c r="C72" s="66"/>
      <c r="D72" s="66"/>
      <c r="E72" s="66"/>
      <c r="F72" s="66"/>
      <c r="G72" s="66"/>
      <c r="H72" s="66"/>
      <c r="I72" s="66"/>
      <c r="J72" s="66"/>
      <c r="K72" s="66"/>
      <c r="L72" s="66"/>
      <c r="M72" s="66"/>
      <c r="O72" s="66"/>
    </row>
    <row r="73" spans="2:15" x14ac:dyDescent="0.2">
      <c r="B73" s="66"/>
      <c r="C73" s="66"/>
      <c r="D73" s="66"/>
      <c r="E73" s="66"/>
      <c r="F73" s="66"/>
      <c r="G73" s="66"/>
      <c r="H73" s="66"/>
      <c r="I73" s="66"/>
      <c r="J73" s="66"/>
      <c r="K73" s="66"/>
      <c r="L73" s="66"/>
      <c r="M73" s="66"/>
      <c r="O73" s="66"/>
    </row>
    <row r="74" spans="2:15" x14ac:dyDescent="0.2">
      <c r="B74" s="66"/>
      <c r="C74" s="66"/>
      <c r="D74" s="66"/>
      <c r="E74" s="66"/>
      <c r="F74" s="66"/>
      <c r="G74" s="66"/>
      <c r="H74" s="66"/>
      <c r="I74" s="66"/>
      <c r="J74" s="66"/>
      <c r="K74" s="66"/>
      <c r="L74" s="66"/>
      <c r="M74" s="66"/>
      <c r="O74" s="66"/>
    </row>
    <row r="75" spans="2:15" x14ac:dyDescent="0.2">
      <c r="B75" s="66"/>
      <c r="C75" s="66"/>
      <c r="D75" s="66"/>
      <c r="E75" s="66"/>
      <c r="F75" s="66"/>
      <c r="G75" s="66"/>
      <c r="H75" s="66"/>
      <c r="I75" s="66"/>
      <c r="J75" s="66"/>
      <c r="K75" s="66"/>
      <c r="L75" s="66"/>
      <c r="M75" s="66"/>
      <c r="O75" s="66"/>
    </row>
    <row r="76" spans="2:15" x14ac:dyDescent="0.2">
      <c r="B76" s="66"/>
      <c r="C76" s="66"/>
      <c r="D76" s="66"/>
      <c r="E76" s="66"/>
      <c r="F76" s="66"/>
      <c r="G76" s="66"/>
      <c r="H76" s="66"/>
      <c r="I76" s="66"/>
      <c r="J76" s="66"/>
      <c r="K76" s="66"/>
      <c r="L76" s="66"/>
      <c r="M76" s="66"/>
      <c r="O76" s="66"/>
    </row>
    <row r="77" spans="2:15" x14ac:dyDescent="0.2">
      <c r="B77" s="66"/>
      <c r="C77" s="66"/>
      <c r="D77" s="66"/>
      <c r="E77" s="66"/>
      <c r="F77" s="66"/>
      <c r="G77" s="66"/>
      <c r="H77" s="66"/>
      <c r="I77" s="66"/>
      <c r="J77" s="66"/>
      <c r="K77" s="66"/>
      <c r="L77" s="66"/>
      <c r="M77" s="66"/>
      <c r="O77" s="66"/>
    </row>
    <row r="78" spans="2:15" x14ac:dyDescent="0.2">
      <c r="B78" s="66"/>
      <c r="C78" s="66"/>
      <c r="D78" s="66"/>
      <c r="E78" s="66"/>
      <c r="F78" s="66"/>
      <c r="G78" s="66"/>
      <c r="H78" s="66"/>
      <c r="I78" s="66"/>
      <c r="J78" s="66"/>
      <c r="K78" s="66"/>
      <c r="L78" s="66"/>
      <c r="M78" s="66"/>
      <c r="O78" s="66"/>
    </row>
    <row r="79" spans="2:15" x14ac:dyDescent="0.2">
      <c r="B79" s="66"/>
      <c r="C79" s="66"/>
      <c r="D79" s="66"/>
      <c r="E79" s="66"/>
      <c r="F79" s="66"/>
      <c r="G79" s="66"/>
      <c r="H79" s="66"/>
      <c r="I79" s="66"/>
      <c r="J79" s="66"/>
      <c r="K79" s="66"/>
      <c r="L79" s="66"/>
      <c r="M79" s="66"/>
      <c r="N79" s="66"/>
      <c r="O79" s="66"/>
    </row>
    <row r="80" spans="2:15" x14ac:dyDescent="0.2">
      <c r="B80" s="66"/>
      <c r="C80" s="66"/>
      <c r="D80" s="66"/>
      <c r="E80" s="66"/>
      <c r="F80" s="66"/>
      <c r="G80" s="66"/>
      <c r="H80" s="66"/>
      <c r="I80" s="66"/>
      <c r="J80" s="66"/>
      <c r="K80" s="66"/>
      <c r="L80" s="66"/>
      <c r="M80" s="66"/>
      <c r="N80" s="66"/>
      <c r="O80" s="66"/>
    </row>
    <row r="81" spans="2:15" x14ac:dyDescent="0.2">
      <c r="B81" s="66"/>
      <c r="C81" s="66"/>
      <c r="D81" s="66"/>
      <c r="E81" s="66"/>
      <c r="F81" s="66"/>
      <c r="G81" s="66"/>
      <c r="H81" s="66"/>
      <c r="I81" s="66"/>
      <c r="J81" s="66"/>
      <c r="K81" s="66"/>
      <c r="L81" s="66"/>
      <c r="M81" s="66"/>
      <c r="N81" s="66"/>
      <c r="O81" s="66"/>
    </row>
    <row r="82" spans="2:15" x14ac:dyDescent="0.2">
      <c r="B82" s="66"/>
      <c r="C82" s="66"/>
      <c r="D82" s="66"/>
      <c r="E82" s="66"/>
      <c r="F82" s="66"/>
      <c r="G82" s="66"/>
      <c r="H82" s="66"/>
      <c r="I82" s="66"/>
      <c r="J82" s="66"/>
      <c r="K82" s="66"/>
      <c r="L82" s="66"/>
      <c r="M82" s="66"/>
      <c r="N82" s="66"/>
      <c r="O82" s="66"/>
    </row>
    <row r="83" spans="2:15" x14ac:dyDescent="0.2">
      <c r="B83" s="66"/>
      <c r="C83" s="66"/>
      <c r="D83" s="66"/>
      <c r="E83" s="66"/>
      <c r="F83" s="66"/>
      <c r="G83" s="66"/>
      <c r="H83" s="66"/>
      <c r="I83" s="66"/>
      <c r="J83" s="66"/>
      <c r="K83" s="66"/>
      <c r="L83" s="66"/>
      <c r="M83" s="66"/>
      <c r="N83" s="66"/>
      <c r="O83" s="66"/>
    </row>
    <row r="84" spans="2:15" x14ac:dyDescent="0.2">
      <c r="B84" s="66"/>
      <c r="C84" s="66"/>
      <c r="D84" s="66"/>
      <c r="E84" s="66"/>
      <c r="F84" s="66"/>
      <c r="G84" s="66"/>
      <c r="H84" s="66"/>
      <c r="I84" s="66"/>
      <c r="J84" s="66"/>
      <c r="K84" s="66"/>
      <c r="L84" s="66"/>
      <c r="M84" s="66"/>
      <c r="N84" s="66"/>
      <c r="O84" s="66"/>
    </row>
    <row r="85" spans="2:15" x14ac:dyDescent="0.2">
      <c r="B85" s="66"/>
      <c r="C85" s="66"/>
      <c r="D85" s="66"/>
      <c r="E85" s="66"/>
      <c r="F85" s="66"/>
      <c r="G85" s="66"/>
      <c r="H85" s="66"/>
      <c r="I85" s="66"/>
      <c r="J85" s="66"/>
      <c r="K85" s="66"/>
      <c r="L85" s="66"/>
      <c r="M85" s="66"/>
      <c r="N85" s="66"/>
      <c r="O85" s="66"/>
    </row>
    <row r="86" spans="2:15" x14ac:dyDescent="0.2">
      <c r="B86" s="66"/>
      <c r="C86" s="66"/>
      <c r="D86" s="66"/>
      <c r="E86" s="66"/>
      <c r="F86" s="66"/>
      <c r="G86" s="66"/>
      <c r="H86" s="66"/>
      <c r="I86" s="66"/>
      <c r="J86" s="66"/>
      <c r="K86" s="66"/>
      <c r="L86" s="66"/>
      <c r="M86" s="66"/>
      <c r="N86" s="66"/>
      <c r="O86" s="66"/>
    </row>
    <row r="87" spans="2:15" x14ac:dyDescent="0.2">
      <c r="B87" s="66"/>
      <c r="C87" s="66"/>
      <c r="D87" s="66"/>
      <c r="E87" s="66"/>
      <c r="F87" s="66"/>
      <c r="G87" s="66"/>
      <c r="H87" s="66"/>
      <c r="I87" s="66"/>
      <c r="J87" s="66"/>
      <c r="K87" s="66"/>
      <c r="L87" s="66"/>
      <c r="M87" s="66"/>
      <c r="N87" s="66"/>
      <c r="O87" s="66"/>
    </row>
    <row r="88" spans="2:15" x14ac:dyDescent="0.2">
      <c r="B88" s="66"/>
      <c r="C88" s="66"/>
      <c r="D88" s="66"/>
      <c r="E88" s="66"/>
      <c r="F88" s="66"/>
      <c r="G88" s="66"/>
      <c r="H88" s="66"/>
      <c r="I88" s="66"/>
      <c r="J88" s="66"/>
      <c r="K88" s="66"/>
      <c r="L88" s="66"/>
      <c r="M88" s="66"/>
      <c r="N88" s="66"/>
      <c r="O88" s="66"/>
    </row>
    <row r="89" spans="2:15" x14ac:dyDescent="0.2">
      <c r="B89" s="66"/>
      <c r="C89" s="66"/>
      <c r="D89" s="66"/>
      <c r="E89" s="66"/>
      <c r="F89" s="66"/>
      <c r="G89" s="66"/>
      <c r="H89" s="66"/>
      <c r="I89" s="66"/>
      <c r="J89" s="66"/>
      <c r="K89" s="66"/>
      <c r="L89" s="66"/>
      <c r="M89" s="66"/>
      <c r="N89" s="66"/>
      <c r="O89" s="66"/>
    </row>
    <row r="90" spans="2:15" x14ac:dyDescent="0.2">
      <c r="B90" s="66"/>
      <c r="C90" s="66"/>
      <c r="D90" s="66"/>
      <c r="E90" s="66"/>
      <c r="F90" s="66"/>
      <c r="G90" s="66"/>
      <c r="H90" s="66"/>
      <c r="I90" s="66"/>
      <c r="J90" s="66"/>
      <c r="K90" s="66"/>
      <c r="L90" s="66"/>
      <c r="M90" s="66"/>
      <c r="N90" s="66"/>
      <c r="O90" s="66"/>
    </row>
    <row r="91" spans="2:15" x14ac:dyDescent="0.2">
      <c r="B91" s="66"/>
      <c r="C91" s="66"/>
      <c r="D91" s="66"/>
      <c r="E91" s="66"/>
      <c r="F91" s="66"/>
      <c r="G91" s="66"/>
      <c r="H91" s="66"/>
      <c r="I91" s="66"/>
      <c r="J91" s="66"/>
      <c r="K91" s="66"/>
      <c r="L91" s="66"/>
      <c r="M91" s="66"/>
      <c r="N91" s="66"/>
      <c r="O91" s="66"/>
    </row>
    <row r="92" spans="2:15" x14ac:dyDescent="0.2">
      <c r="B92" s="66"/>
      <c r="C92" s="66"/>
      <c r="D92" s="66"/>
      <c r="E92" s="66"/>
      <c r="F92" s="66"/>
      <c r="G92" s="66"/>
      <c r="H92" s="66"/>
      <c r="I92" s="66"/>
      <c r="J92" s="66"/>
      <c r="K92" s="66"/>
      <c r="L92" s="66"/>
      <c r="M92" s="66"/>
      <c r="N92" s="66"/>
      <c r="O92" s="66"/>
    </row>
    <row r="93" spans="2:15" x14ac:dyDescent="0.2">
      <c r="B93" s="66"/>
      <c r="C93" s="66"/>
      <c r="D93" s="66"/>
      <c r="E93" s="66"/>
      <c r="F93" s="66"/>
      <c r="G93" s="66"/>
      <c r="H93" s="66"/>
      <c r="I93" s="66"/>
      <c r="J93" s="66"/>
      <c r="K93" s="66"/>
      <c r="L93" s="66"/>
      <c r="M93" s="66"/>
      <c r="N93" s="66"/>
      <c r="O93" s="66"/>
    </row>
    <row r="94" spans="2:15" x14ac:dyDescent="0.2">
      <c r="B94" s="66"/>
      <c r="C94" s="66"/>
      <c r="D94" s="66"/>
      <c r="E94" s="66"/>
      <c r="F94" s="66"/>
      <c r="G94" s="66"/>
      <c r="H94" s="66"/>
      <c r="I94" s="66"/>
      <c r="J94" s="66"/>
      <c r="K94" s="66"/>
      <c r="L94" s="66"/>
      <c r="M94" s="66"/>
      <c r="N94" s="66"/>
      <c r="O94" s="66"/>
    </row>
    <row r="95" spans="2:15" x14ac:dyDescent="0.2">
      <c r="B95" s="66"/>
      <c r="C95" s="66"/>
      <c r="D95" s="66"/>
      <c r="E95" s="66"/>
      <c r="F95" s="66"/>
      <c r="G95" s="66"/>
      <c r="H95" s="66"/>
      <c r="I95" s="66"/>
      <c r="J95" s="66"/>
      <c r="K95" s="66"/>
      <c r="L95" s="66"/>
      <c r="M95" s="66"/>
      <c r="N95" s="66"/>
      <c r="O95" s="66"/>
    </row>
    <row r="96" spans="2:15" x14ac:dyDescent="0.2">
      <c r="B96" s="66"/>
      <c r="C96" s="66"/>
      <c r="D96" s="66"/>
      <c r="E96" s="66"/>
      <c r="F96" s="66"/>
      <c r="G96" s="66"/>
      <c r="H96" s="66"/>
      <c r="I96" s="66"/>
      <c r="J96" s="66"/>
      <c r="K96" s="66"/>
      <c r="L96" s="66"/>
      <c r="M96" s="66"/>
      <c r="N96" s="66"/>
      <c r="O96" s="66"/>
    </row>
    <row r="97" spans="2:15" x14ac:dyDescent="0.2">
      <c r="B97" s="66"/>
      <c r="C97" s="66"/>
      <c r="D97" s="66"/>
      <c r="E97" s="66"/>
      <c r="F97" s="66"/>
      <c r="G97" s="66"/>
      <c r="H97" s="66"/>
      <c r="I97" s="66"/>
      <c r="J97" s="66"/>
      <c r="K97" s="66"/>
      <c r="L97" s="66"/>
      <c r="M97" s="66"/>
      <c r="N97" s="66"/>
      <c r="O97" s="66"/>
    </row>
    <row r="98" spans="2:15" x14ac:dyDescent="0.2">
      <c r="B98" s="66"/>
      <c r="C98" s="66"/>
      <c r="D98" s="66"/>
      <c r="E98" s="66"/>
      <c r="F98" s="66"/>
      <c r="G98" s="66"/>
      <c r="H98" s="66"/>
      <c r="I98" s="66"/>
      <c r="J98" s="66"/>
      <c r="K98" s="66"/>
      <c r="L98" s="66"/>
      <c r="M98" s="66"/>
      <c r="N98" s="66"/>
      <c r="O98" s="66"/>
    </row>
    <row r="99" spans="2:15" x14ac:dyDescent="0.2">
      <c r="B99" s="66"/>
      <c r="C99" s="66"/>
      <c r="D99" s="66"/>
      <c r="E99" s="66"/>
      <c r="F99" s="66"/>
      <c r="G99" s="66"/>
      <c r="H99" s="66"/>
      <c r="I99" s="66"/>
      <c r="J99" s="66"/>
      <c r="K99" s="66"/>
      <c r="L99" s="66"/>
      <c r="M99" s="66"/>
      <c r="N99" s="66"/>
      <c r="O99" s="66"/>
    </row>
    <row r="100" spans="2:15" x14ac:dyDescent="0.2">
      <c r="B100" s="66"/>
      <c r="C100" s="66"/>
      <c r="D100" s="66"/>
      <c r="E100" s="66"/>
      <c r="F100" s="66"/>
      <c r="G100" s="66"/>
      <c r="H100" s="66"/>
      <c r="I100" s="66"/>
      <c r="J100" s="66"/>
      <c r="K100" s="66"/>
      <c r="L100" s="66"/>
      <c r="M100" s="66"/>
      <c r="N100" s="66"/>
      <c r="O100" s="66"/>
    </row>
    <row r="101" spans="2:15" x14ac:dyDescent="0.2">
      <c r="B101" s="66"/>
      <c r="C101" s="66"/>
      <c r="D101" s="66"/>
      <c r="E101" s="66"/>
      <c r="F101" s="66"/>
      <c r="G101" s="66"/>
      <c r="H101" s="66"/>
      <c r="I101" s="66"/>
      <c r="J101" s="66"/>
      <c r="K101" s="66"/>
      <c r="L101" s="66"/>
      <c r="M101" s="66"/>
      <c r="N101" s="66"/>
      <c r="O101" s="66"/>
    </row>
    <row r="102" spans="2:15" x14ac:dyDescent="0.2">
      <c r="B102" s="66"/>
      <c r="C102" s="66"/>
      <c r="D102" s="66"/>
      <c r="E102" s="66"/>
      <c r="F102" s="66"/>
      <c r="G102" s="66"/>
      <c r="H102" s="66"/>
      <c r="I102" s="66"/>
      <c r="J102" s="66"/>
      <c r="K102" s="66"/>
      <c r="L102" s="66"/>
      <c r="M102" s="66"/>
      <c r="N102" s="66"/>
      <c r="O102" s="66"/>
    </row>
    <row r="103" spans="2:15" x14ac:dyDescent="0.2">
      <c r="B103" s="66"/>
      <c r="C103" s="66"/>
      <c r="D103" s="66"/>
      <c r="E103" s="66"/>
      <c r="F103" s="66"/>
      <c r="G103" s="66"/>
      <c r="H103" s="66"/>
      <c r="I103" s="66"/>
      <c r="J103" s="66"/>
      <c r="K103" s="66"/>
      <c r="L103" s="66"/>
      <c r="M103" s="66"/>
      <c r="N103" s="66"/>
      <c r="O103" s="66"/>
    </row>
    <row r="104" spans="2:15" x14ac:dyDescent="0.2">
      <c r="B104" s="66"/>
      <c r="C104" s="66"/>
      <c r="D104" s="66"/>
      <c r="E104" s="66"/>
      <c r="F104" s="66"/>
      <c r="G104" s="66"/>
      <c r="H104" s="66"/>
      <c r="I104" s="66"/>
      <c r="J104" s="66"/>
      <c r="K104" s="66"/>
      <c r="L104" s="66"/>
      <c r="M104" s="66"/>
      <c r="N104" s="66"/>
      <c r="O104" s="66"/>
    </row>
    <row r="105" spans="2:15" x14ac:dyDescent="0.2">
      <c r="B105" s="66"/>
      <c r="C105" s="66"/>
      <c r="D105" s="66"/>
      <c r="E105" s="66"/>
      <c r="F105" s="66"/>
      <c r="G105" s="66"/>
      <c r="H105" s="66"/>
      <c r="I105" s="66"/>
      <c r="J105" s="66"/>
      <c r="K105" s="66"/>
      <c r="L105" s="66"/>
      <c r="M105" s="66"/>
      <c r="N105" s="66"/>
      <c r="O105" s="66"/>
    </row>
    <row r="106" spans="2:15" x14ac:dyDescent="0.2">
      <c r="B106" s="66"/>
      <c r="C106" s="66"/>
      <c r="D106" s="66"/>
      <c r="E106" s="66"/>
      <c r="F106" s="66"/>
      <c r="G106" s="66"/>
      <c r="H106" s="66"/>
      <c r="I106" s="66"/>
      <c r="J106" s="66"/>
      <c r="K106" s="66"/>
      <c r="L106" s="66"/>
      <c r="M106" s="66"/>
      <c r="N106" s="66"/>
      <c r="O106" s="66"/>
    </row>
    <row r="107" spans="2:15" x14ac:dyDescent="0.2">
      <c r="B107" s="66"/>
      <c r="C107" s="66"/>
      <c r="D107" s="66"/>
      <c r="E107" s="66"/>
      <c r="F107" s="66"/>
      <c r="G107" s="66"/>
      <c r="H107" s="66"/>
      <c r="I107" s="66"/>
      <c r="J107" s="66"/>
      <c r="K107" s="66"/>
      <c r="L107" s="66"/>
      <c r="M107" s="66"/>
      <c r="N107" s="66"/>
      <c r="O107" s="66"/>
    </row>
    <row r="108" spans="2:15" x14ac:dyDescent="0.2">
      <c r="B108" s="66"/>
      <c r="C108" s="66"/>
      <c r="D108" s="66"/>
      <c r="E108" s="66"/>
      <c r="F108" s="66"/>
      <c r="G108" s="66"/>
      <c r="H108" s="66"/>
      <c r="I108" s="66"/>
      <c r="J108" s="66"/>
      <c r="K108" s="66"/>
      <c r="L108" s="66"/>
      <c r="M108" s="66"/>
      <c r="N108" s="66"/>
      <c r="O108" s="66"/>
    </row>
    <row r="109" spans="2:15" x14ac:dyDescent="0.2">
      <c r="B109" s="66"/>
      <c r="C109" s="66"/>
      <c r="D109" s="66"/>
      <c r="E109" s="66"/>
      <c r="F109" s="66"/>
      <c r="G109" s="66"/>
      <c r="H109" s="66"/>
      <c r="I109" s="66"/>
      <c r="J109" s="66"/>
      <c r="K109" s="66"/>
      <c r="L109" s="66"/>
      <c r="M109" s="66"/>
      <c r="N109" s="66"/>
      <c r="O109" s="66"/>
    </row>
    <row r="110" spans="2:15" x14ac:dyDescent="0.2">
      <c r="B110" s="66"/>
      <c r="C110" s="66"/>
      <c r="D110" s="66"/>
      <c r="E110" s="66"/>
      <c r="F110" s="66"/>
      <c r="G110" s="66"/>
      <c r="H110" s="66"/>
      <c r="I110" s="66"/>
      <c r="J110" s="66"/>
      <c r="K110" s="66"/>
      <c r="L110" s="66"/>
      <c r="M110" s="66"/>
      <c r="N110" s="66"/>
      <c r="O110" s="66"/>
    </row>
    <row r="111" spans="2:15" x14ac:dyDescent="0.2">
      <c r="B111" s="66"/>
      <c r="C111" s="66"/>
      <c r="D111" s="66"/>
      <c r="E111" s="66"/>
      <c r="F111" s="66"/>
      <c r="G111" s="66"/>
      <c r="H111" s="66"/>
      <c r="I111" s="66"/>
      <c r="J111" s="66"/>
      <c r="K111" s="66"/>
      <c r="L111" s="66"/>
      <c r="M111" s="66"/>
      <c r="N111" s="66"/>
      <c r="O111" s="66"/>
    </row>
    <row r="112" spans="2:15" x14ac:dyDescent="0.2">
      <c r="B112" s="66"/>
      <c r="C112" s="66"/>
      <c r="D112" s="66"/>
      <c r="E112" s="66"/>
      <c r="F112" s="66"/>
      <c r="G112" s="66"/>
      <c r="H112" s="66"/>
      <c r="I112" s="66"/>
      <c r="J112" s="66"/>
      <c r="K112" s="66"/>
      <c r="L112" s="66"/>
      <c r="M112" s="66"/>
      <c r="N112" s="66"/>
      <c r="O112" s="66"/>
    </row>
    <row r="113" spans="2:15" x14ac:dyDescent="0.2">
      <c r="B113" s="66"/>
      <c r="C113" s="66"/>
      <c r="D113" s="66"/>
      <c r="E113" s="66"/>
      <c r="F113" s="66"/>
      <c r="G113" s="66"/>
      <c r="H113" s="66"/>
      <c r="I113" s="66"/>
      <c r="J113" s="66"/>
      <c r="K113" s="66"/>
      <c r="L113" s="66"/>
      <c r="M113" s="66"/>
      <c r="N113" s="66"/>
      <c r="O113" s="66"/>
    </row>
    <row r="114" spans="2:15" x14ac:dyDescent="0.2">
      <c r="B114" s="66"/>
      <c r="C114" s="66"/>
      <c r="D114" s="66"/>
      <c r="E114" s="66"/>
      <c r="F114" s="66"/>
      <c r="G114" s="66"/>
      <c r="H114" s="66"/>
      <c r="I114" s="66"/>
      <c r="J114" s="66"/>
      <c r="K114" s="66"/>
      <c r="L114" s="66"/>
      <c r="M114" s="66"/>
      <c r="N114" s="66"/>
      <c r="O114" s="66"/>
    </row>
    <row r="115" spans="2:15" x14ac:dyDescent="0.2">
      <c r="B115" s="66"/>
      <c r="C115" s="66"/>
      <c r="D115" s="66"/>
      <c r="E115" s="66"/>
      <c r="F115" s="66"/>
      <c r="G115" s="66"/>
      <c r="H115" s="66"/>
      <c r="I115" s="66"/>
      <c r="J115" s="66"/>
      <c r="K115" s="66"/>
      <c r="L115" s="66"/>
      <c r="M115" s="66"/>
      <c r="N115" s="66"/>
      <c r="O115" s="66"/>
    </row>
    <row r="116" spans="2:15" x14ac:dyDescent="0.2">
      <c r="B116" s="66"/>
      <c r="C116" s="66"/>
      <c r="D116" s="66"/>
      <c r="E116" s="66"/>
      <c r="F116" s="66"/>
      <c r="G116" s="66"/>
      <c r="H116" s="66"/>
      <c r="I116" s="66"/>
      <c r="J116" s="66"/>
      <c r="K116" s="66"/>
      <c r="L116" s="66"/>
      <c r="M116" s="66"/>
      <c r="N116" s="66"/>
      <c r="O116" s="66"/>
    </row>
    <row r="117" spans="2:15" x14ac:dyDescent="0.2">
      <c r="B117" s="66"/>
      <c r="C117" s="66"/>
      <c r="D117" s="66"/>
      <c r="E117" s="66"/>
      <c r="F117" s="66"/>
      <c r="G117" s="66"/>
      <c r="H117" s="66"/>
      <c r="I117" s="66"/>
      <c r="J117" s="66"/>
      <c r="K117" s="66"/>
      <c r="L117" s="66"/>
      <c r="M117" s="66"/>
      <c r="N117" s="66"/>
      <c r="O117" s="66"/>
    </row>
    <row r="118" spans="2:15" x14ac:dyDescent="0.2">
      <c r="B118" s="66"/>
      <c r="C118" s="66"/>
      <c r="D118" s="66"/>
      <c r="E118" s="66"/>
      <c r="F118" s="66"/>
      <c r="G118" s="66"/>
      <c r="H118" s="66"/>
      <c r="I118" s="66"/>
      <c r="J118" s="66"/>
      <c r="K118" s="66"/>
      <c r="L118" s="66"/>
      <c r="M118" s="66"/>
      <c r="N118" s="66"/>
      <c r="O118" s="66"/>
    </row>
    <row r="119" spans="2:15" x14ac:dyDescent="0.2">
      <c r="B119" s="66"/>
      <c r="C119" s="66"/>
      <c r="D119" s="66"/>
      <c r="E119" s="66"/>
      <c r="F119" s="66"/>
      <c r="G119" s="66"/>
      <c r="H119" s="66"/>
      <c r="I119" s="66"/>
      <c r="J119" s="66"/>
      <c r="K119" s="66"/>
      <c r="L119" s="66"/>
      <c r="M119" s="66"/>
      <c r="N119" s="66"/>
      <c r="O119" s="66"/>
    </row>
    <row r="120" spans="2:15" x14ac:dyDescent="0.2">
      <c r="B120" s="66"/>
      <c r="C120" s="66"/>
      <c r="D120" s="66"/>
      <c r="E120" s="66"/>
      <c r="F120" s="66"/>
      <c r="G120" s="66"/>
      <c r="H120" s="66"/>
      <c r="I120" s="66"/>
      <c r="J120" s="66"/>
      <c r="K120" s="66"/>
      <c r="L120" s="66"/>
      <c r="M120" s="66"/>
      <c r="N120" s="66"/>
      <c r="O120" s="66"/>
    </row>
    <row r="121" spans="2:15" x14ac:dyDescent="0.2">
      <c r="B121" s="66"/>
      <c r="C121" s="66"/>
      <c r="D121" s="66"/>
      <c r="E121" s="66"/>
      <c r="F121" s="66"/>
      <c r="G121" s="66"/>
      <c r="H121" s="66"/>
      <c r="I121" s="66"/>
      <c r="J121" s="66"/>
      <c r="K121" s="66"/>
      <c r="L121" s="66"/>
      <c r="M121" s="66"/>
      <c r="N121" s="66"/>
      <c r="O121" s="66"/>
    </row>
    <row r="122" spans="2:15" x14ac:dyDescent="0.2">
      <c r="B122" s="66"/>
      <c r="C122" s="66"/>
      <c r="D122" s="66"/>
      <c r="E122" s="66"/>
      <c r="F122" s="66"/>
      <c r="G122" s="66"/>
      <c r="H122" s="66"/>
      <c r="I122" s="66"/>
      <c r="J122" s="66"/>
      <c r="K122" s="66"/>
      <c r="L122" s="66"/>
      <c r="M122" s="66"/>
      <c r="N122" s="66"/>
      <c r="O122" s="66"/>
    </row>
    <row r="123" spans="2:15" x14ac:dyDescent="0.2">
      <c r="B123" s="66"/>
      <c r="C123" s="66"/>
      <c r="D123" s="66"/>
      <c r="E123" s="66"/>
      <c r="F123" s="66"/>
      <c r="G123" s="66"/>
      <c r="H123" s="66"/>
      <c r="I123" s="66"/>
      <c r="J123" s="66"/>
      <c r="K123" s="66"/>
      <c r="L123" s="66"/>
      <c r="M123" s="66"/>
      <c r="N123" s="66"/>
      <c r="O123" s="66"/>
    </row>
    <row r="124" spans="2:15" x14ac:dyDescent="0.2">
      <c r="B124" s="66"/>
      <c r="C124" s="66"/>
      <c r="D124" s="66"/>
      <c r="E124" s="66"/>
      <c r="F124" s="66"/>
      <c r="G124" s="66"/>
      <c r="H124" s="66"/>
      <c r="I124" s="66"/>
      <c r="J124" s="66"/>
      <c r="K124" s="66"/>
      <c r="L124" s="66"/>
      <c r="M124" s="66"/>
      <c r="N124" s="66"/>
      <c r="O124" s="66"/>
    </row>
    <row r="125" spans="2:15" x14ac:dyDescent="0.2">
      <c r="B125" s="66"/>
      <c r="C125" s="66"/>
      <c r="D125" s="66"/>
      <c r="E125" s="66"/>
      <c r="F125" s="66"/>
      <c r="G125" s="66"/>
      <c r="H125" s="66"/>
      <c r="I125" s="66"/>
      <c r="J125" s="66"/>
      <c r="K125" s="66"/>
      <c r="L125" s="66"/>
      <c r="M125" s="66"/>
      <c r="N125" s="66"/>
      <c r="O125" s="66"/>
    </row>
    <row r="126" spans="2:15" x14ac:dyDescent="0.2">
      <c r="B126" s="66"/>
      <c r="C126" s="66"/>
      <c r="D126" s="66"/>
      <c r="E126" s="66"/>
      <c r="F126" s="66"/>
      <c r="G126" s="66"/>
      <c r="H126" s="66"/>
      <c r="I126" s="66"/>
      <c r="J126" s="66"/>
      <c r="K126" s="66"/>
      <c r="L126" s="66"/>
      <c r="M126" s="66"/>
      <c r="N126" s="66"/>
      <c r="O126" s="66"/>
    </row>
    <row r="127" spans="2:15" x14ac:dyDescent="0.2">
      <c r="B127" s="66"/>
      <c r="C127" s="66"/>
      <c r="D127" s="66"/>
      <c r="E127" s="66"/>
      <c r="F127" s="66"/>
      <c r="G127" s="66"/>
      <c r="H127" s="66"/>
      <c r="I127" s="66"/>
      <c r="J127" s="66"/>
      <c r="K127" s="66"/>
      <c r="L127" s="66"/>
      <c r="M127" s="66"/>
      <c r="N127" s="66"/>
      <c r="O127" s="66"/>
    </row>
    <row r="128" spans="2:15" x14ac:dyDescent="0.2">
      <c r="B128" s="66"/>
      <c r="C128" s="66"/>
      <c r="D128" s="66"/>
      <c r="E128" s="66"/>
      <c r="F128" s="66"/>
      <c r="G128" s="66"/>
      <c r="H128" s="66"/>
      <c r="I128" s="66"/>
      <c r="J128" s="66"/>
      <c r="K128" s="66"/>
      <c r="L128" s="66"/>
      <c r="M128" s="66"/>
      <c r="N128" s="66"/>
      <c r="O128" s="66"/>
    </row>
    <row r="129" spans="2:15" x14ac:dyDescent="0.2">
      <c r="B129" s="66"/>
      <c r="C129" s="66"/>
      <c r="D129" s="66"/>
      <c r="E129" s="66"/>
      <c r="F129" s="66"/>
      <c r="G129" s="66"/>
      <c r="H129" s="66"/>
      <c r="I129" s="66"/>
      <c r="J129" s="66"/>
      <c r="K129" s="66"/>
      <c r="L129" s="66"/>
      <c r="M129" s="66"/>
      <c r="N129" s="66"/>
      <c r="O129" s="66"/>
    </row>
    <row r="130" spans="2:15" x14ac:dyDescent="0.2">
      <c r="B130" s="66"/>
      <c r="C130" s="66"/>
      <c r="D130" s="66"/>
      <c r="E130" s="66"/>
      <c r="F130" s="66"/>
      <c r="G130" s="66"/>
      <c r="H130" s="66"/>
      <c r="I130" s="66"/>
      <c r="J130" s="66"/>
      <c r="K130" s="66"/>
      <c r="L130" s="66"/>
      <c r="M130" s="66"/>
      <c r="N130" s="66"/>
      <c r="O130" s="66"/>
    </row>
    <row r="131" spans="2:15" x14ac:dyDescent="0.2">
      <c r="B131" s="66"/>
      <c r="C131" s="66"/>
      <c r="D131" s="66"/>
      <c r="E131" s="66"/>
      <c r="F131" s="66"/>
      <c r="G131" s="66"/>
      <c r="H131" s="66"/>
      <c r="I131" s="66"/>
      <c r="J131" s="66"/>
      <c r="K131" s="66"/>
      <c r="L131" s="66"/>
      <c r="M131" s="66"/>
      <c r="N131" s="66"/>
      <c r="O131" s="66"/>
    </row>
    <row r="132" spans="2:15" x14ac:dyDescent="0.2">
      <c r="B132" s="66"/>
      <c r="C132" s="66"/>
      <c r="D132" s="66"/>
      <c r="E132" s="66"/>
      <c r="F132" s="66"/>
      <c r="G132" s="66"/>
      <c r="H132" s="66"/>
      <c r="I132" s="66"/>
      <c r="J132" s="66"/>
      <c r="K132" s="66"/>
      <c r="L132" s="66"/>
      <c r="M132" s="66"/>
      <c r="N132" s="66"/>
      <c r="O132" s="66"/>
    </row>
    <row r="133" spans="2:15" x14ac:dyDescent="0.2">
      <c r="B133" s="66"/>
      <c r="C133" s="66"/>
      <c r="D133" s="66"/>
      <c r="E133" s="66"/>
      <c r="F133" s="66"/>
      <c r="G133" s="66"/>
      <c r="H133" s="66"/>
      <c r="I133" s="66"/>
      <c r="J133" s="66"/>
      <c r="K133" s="66"/>
      <c r="L133" s="66"/>
      <c r="M133" s="66"/>
      <c r="N133" s="66"/>
      <c r="O133" s="66"/>
    </row>
    <row r="134" spans="2:15" x14ac:dyDescent="0.2">
      <c r="B134" s="66"/>
      <c r="C134" s="66"/>
      <c r="D134" s="66"/>
      <c r="E134" s="66"/>
      <c r="F134" s="66"/>
      <c r="G134" s="66"/>
      <c r="H134" s="66"/>
      <c r="I134" s="66"/>
      <c r="J134" s="66"/>
      <c r="K134" s="66"/>
      <c r="L134" s="66"/>
      <c r="M134" s="66"/>
      <c r="N134" s="66"/>
      <c r="O134" s="66"/>
    </row>
    <row r="135" spans="2:15" x14ac:dyDescent="0.2">
      <c r="B135" s="66"/>
      <c r="C135" s="66"/>
      <c r="D135" s="66"/>
      <c r="E135" s="66"/>
      <c r="F135" s="66"/>
      <c r="G135" s="66"/>
      <c r="H135" s="66"/>
      <c r="I135" s="66"/>
      <c r="J135" s="66"/>
      <c r="K135" s="66"/>
      <c r="L135" s="66"/>
      <c r="M135" s="66"/>
      <c r="N135" s="66"/>
      <c r="O135" s="66"/>
    </row>
    <row r="136" spans="2:15" x14ac:dyDescent="0.2">
      <c r="B136" s="66"/>
      <c r="C136" s="66"/>
      <c r="D136" s="66"/>
      <c r="E136" s="66"/>
      <c r="F136" s="66"/>
      <c r="G136" s="66"/>
      <c r="H136" s="66"/>
      <c r="I136" s="66"/>
      <c r="J136" s="66"/>
      <c r="K136" s="66"/>
      <c r="L136" s="66"/>
      <c r="M136" s="66"/>
      <c r="N136" s="66"/>
      <c r="O136" s="66"/>
    </row>
    <row r="137" spans="2:15" x14ac:dyDescent="0.2">
      <c r="B137" s="66"/>
      <c r="C137" s="66"/>
      <c r="D137" s="66"/>
      <c r="E137" s="66"/>
      <c r="F137" s="66"/>
      <c r="G137" s="66"/>
      <c r="H137" s="66"/>
      <c r="I137" s="66"/>
      <c r="J137" s="66"/>
      <c r="K137" s="66"/>
      <c r="L137" s="66"/>
      <c r="M137" s="66"/>
      <c r="N137" s="66"/>
      <c r="O137" s="66"/>
    </row>
    <row r="138" spans="2:15" x14ac:dyDescent="0.2">
      <c r="B138" s="66"/>
      <c r="C138" s="66"/>
      <c r="D138" s="66"/>
      <c r="E138" s="66"/>
      <c r="F138" s="66"/>
      <c r="G138" s="66"/>
      <c r="H138" s="66"/>
      <c r="I138" s="66"/>
      <c r="J138" s="66"/>
      <c r="K138" s="66"/>
      <c r="L138" s="66"/>
      <c r="M138" s="66"/>
      <c r="N138" s="66"/>
      <c r="O138" s="66"/>
    </row>
    <row r="139" spans="2:15" x14ac:dyDescent="0.2">
      <c r="B139" s="66"/>
      <c r="C139" s="66"/>
      <c r="D139" s="66"/>
      <c r="E139" s="66"/>
      <c r="F139" s="66"/>
      <c r="G139" s="66"/>
      <c r="H139" s="66"/>
      <c r="I139" s="66"/>
      <c r="J139" s="66"/>
      <c r="K139" s="66"/>
      <c r="L139" s="66"/>
      <c r="M139" s="66"/>
      <c r="N139" s="66"/>
      <c r="O139" s="66"/>
    </row>
  </sheetData>
  <mergeCells count="16">
    <mergeCell ref="C56:D56"/>
    <mergeCell ref="C7:D7"/>
    <mergeCell ref="C8:D8"/>
    <mergeCell ref="C9:D9"/>
    <mergeCell ref="O18:Q18"/>
    <mergeCell ref="O14:Q14"/>
    <mergeCell ref="O16:Q16"/>
    <mergeCell ref="O17:Q17"/>
    <mergeCell ref="I12:M12"/>
    <mergeCell ref="I13:M13"/>
    <mergeCell ref="I14:M14"/>
    <mergeCell ref="A1:G1"/>
    <mergeCell ref="A2:G2"/>
    <mergeCell ref="I9:K9"/>
    <mergeCell ref="I11:M11"/>
    <mergeCell ref="I2:L2"/>
  </mergeCells>
  <printOptions horizontalCentered="1"/>
  <pageMargins left="0.25" right="0.25" top="0.75" bottom="0.75" header="0.3" footer="0.3"/>
  <pageSetup scale="64" orientation="landscape" r:id="rId1"/>
  <headerFooter alignWithMargins="0">
    <oddFooter>&amp;L&amp;"Arial,Regular"&amp;8&amp;F
&amp;A&amp;R&amp;"Arial,Regular"Page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activeCell="C11" sqref="C11"/>
      <selection pane="topRight" activeCell="C11" sqref="C11"/>
      <selection pane="bottomLeft" activeCell="C11" sqref="C11"/>
      <selection pane="bottomRight" activeCell="C11" sqref="C11"/>
    </sheetView>
  </sheetViews>
  <sheetFormatPr defaultColWidth="13.28515625" defaultRowHeight="12.75" x14ac:dyDescent="0.2"/>
  <cols>
    <col min="1" max="1" width="8.7109375" style="1" bestFit="1" customWidth="1"/>
    <col min="2" max="2" width="10.7109375" style="1" bestFit="1" customWidth="1"/>
    <col min="3" max="3" width="8.28515625" style="1" bestFit="1" customWidth="1"/>
    <col min="4" max="4" width="12.28515625" style="1" bestFit="1" customWidth="1"/>
    <col min="5" max="5" width="9.28515625" style="1" bestFit="1" customWidth="1"/>
    <col min="6" max="6" width="10.85546875" style="1" bestFit="1" customWidth="1"/>
    <col min="7" max="7" width="9.85546875" style="1" bestFit="1" customWidth="1"/>
    <col min="8" max="8" width="9.28515625" style="1" bestFit="1" customWidth="1"/>
    <col min="9" max="9" width="12" style="1" bestFit="1" customWidth="1"/>
    <col min="10" max="10" width="9.28515625" style="1" bestFit="1" customWidth="1"/>
    <col min="11" max="11" width="11.42578125" style="1" bestFit="1" customWidth="1"/>
    <col min="12" max="12" width="8.28515625" style="1" bestFit="1" customWidth="1"/>
    <col min="13" max="21" width="13.28515625" style="1"/>
    <col min="22" max="22" width="2" style="1" bestFit="1" customWidth="1"/>
    <col min="23" max="24" width="15.5703125" style="1" customWidth="1"/>
    <col min="25" max="199" width="13.28515625" style="1"/>
    <col min="200" max="200" width="83" style="1" customWidth="1"/>
    <col min="201" max="16384" width="13.28515625" style="1"/>
  </cols>
  <sheetData>
    <row r="1" spans="1:200" x14ac:dyDescent="0.2">
      <c r="A1" s="126" t="s">
        <v>89</v>
      </c>
      <c r="B1" s="126"/>
      <c r="C1" s="126"/>
      <c r="D1" s="126"/>
      <c r="E1" s="126"/>
      <c r="F1" s="126"/>
      <c r="G1" s="126"/>
      <c r="I1" s="138" t="s">
        <v>41</v>
      </c>
      <c r="J1" s="139"/>
      <c r="K1" s="139"/>
      <c r="L1" s="140"/>
      <c r="P1" s="13"/>
      <c r="Q1" s="13"/>
      <c r="R1" s="13"/>
      <c r="V1" s="108" t="s">
        <v>15</v>
      </c>
    </row>
    <row r="2" spans="1:200" x14ac:dyDescent="0.2">
      <c r="A2" s="126" t="s">
        <v>28</v>
      </c>
      <c r="B2" s="126"/>
      <c r="C2" s="126"/>
      <c r="D2" s="126"/>
      <c r="E2" s="126"/>
      <c r="F2" s="126"/>
      <c r="G2" s="126"/>
      <c r="I2" s="60"/>
      <c r="J2" s="27"/>
      <c r="K2" s="27"/>
      <c r="L2" s="28"/>
      <c r="P2" s="13"/>
      <c r="Q2" s="13"/>
      <c r="R2" s="13"/>
      <c r="V2" s="108" t="s">
        <v>15</v>
      </c>
    </row>
    <row r="3" spans="1:200" x14ac:dyDescent="0.2">
      <c r="I3" s="60"/>
      <c r="J3" s="27"/>
      <c r="K3" s="27"/>
      <c r="L3" s="28"/>
      <c r="P3" s="13"/>
      <c r="Q3" s="13"/>
      <c r="R3" s="13"/>
      <c r="V3" s="108" t="s">
        <v>15</v>
      </c>
      <c r="W3" s="13"/>
      <c r="X3" s="13"/>
    </row>
    <row r="4" spans="1:200" x14ac:dyDescent="0.2">
      <c r="I4" s="9" t="s">
        <v>29</v>
      </c>
      <c r="J4" s="45">
        <f>+'Cost of Capital'!C12</f>
        <v>0.51500000000000001</v>
      </c>
      <c r="K4" s="45">
        <f>+'Cost of Capital'!D12</f>
        <v>5.4951456310679617E-2</v>
      </c>
      <c r="L4" s="61">
        <f t="shared" ref="L4:L5" si="0">ROUND(J4*K4,4)</f>
        <v>2.8299999999999999E-2</v>
      </c>
      <c r="P4" s="13"/>
      <c r="Q4" s="13"/>
      <c r="R4" s="13"/>
      <c r="V4" s="108" t="s">
        <v>15</v>
      </c>
      <c r="W4" s="13"/>
      <c r="X4" s="13"/>
    </row>
    <row r="5" spans="1:200" x14ac:dyDescent="0.2">
      <c r="C5" s="131" t="s">
        <v>23</v>
      </c>
      <c r="D5" s="131"/>
      <c r="E5" s="13">
        <f>K68</f>
        <v>117170.35156092024</v>
      </c>
      <c r="I5" s="9" t="s">
        <v>24</v>
      </c>
      <c r="J5" s="45">
        <f>+'Cost of Capital'!C13</f>
        <v>0.48499999999999999</v>
      </c>
      <c r="K5" s="45">
        <f>+'Cost of Capital'!D13</f>
        <v>9.5000000000000001E-2</v>
      </c>
      <c r="L5" s="61">
        <f t="shared" si="0"/>
        <v>4.6100000000000002E-2</v>
      </c>
      <c r="P5" s="13"/>
      <c r="Q5" s="13"/>
      <c r="R5" s="13"/>
      <c r="V5" s="108" t="s">
        <v>15</v>
      </c>
      <c r="W5" s="13"/>
      <c r="X5" s="13"/>
    </row>
    <row r="6" spans="1:200" x14ac:dyDescent="0.2">
      <c r="C6" s="131" t="s">
        <v>22</v>
      </c>
      <c r="D6" s="131"/>
      <c r="E6" s="13">
        <f>PMT(L8,I10,-E5)</f>
        <v>8984.3774957886617</v>
      </c>
      <c r="I6" s="9"/>
      <c r="J6" s="27"/>
      <c r="K6" s="27"/>
      <c r="L6" s="28"/>
      <c r="V6" s="108" t="s">
        <v>15</v>
      </c>
      <c r="W6" s="13"/>
      <c r="X6" s="13"/>
    </row>
    <row r="7" spans="1:200" ht="13.5" thickBot="1" x14ac:dyDescent="0.25">
      <c r="C7" s="131" t="s">
        <v>21</v>
      </c>
      <c r="D7" s="131"/>
      <c r="E7" s="14">
        <f>($E$6/$E$10)*100</f>
        <v>8.984377495788662</v>
      </c>
      <c r="G7" s="62">
        <f>+E7/100</f>
        <v>8.9843774957886618E-2</v>
      </c>
      <c r="I7" s="10"/>
      <c r="J7" s="27"/>
      <c r="K7" s="27"/>
      <c r="L7" s="28" t="s">
        <v>14</v>
      </c>
      <c r="P7" s="13"/>
      <c r="Q7" s="13"/>
      <c r="R7" s="13"/>
      <c r="V7" s="108" t="s">
        <v>15</v>
      </c>
      <c r="W7" s="13"/>
      <c r="X7" s="13"/>
    </row>
    <row r="8" spans="1:200" ht="13.5" thickBot="1" x14ac:dyDescent="0.25">
      <c r="I8" s="127" t="s">
        <v>20</v>
      </c>
      <c r="J8" s="128"/>
      <c r="K8" s="128"/>
      <c r="L8" s="29">
        <f>SUM(L4:L7)</f>
        <v>7.4399999999999994E-2</v>
      </c>
      <c r="P8" s="13"/>
      <c r="Q8" s="13"/>
      <c r="R8" s="13"/>
      <c r="V8" s="108" t="s">
        <v>15</v>
      </c>
      <c r="W8" s="13"/>
      <c r="X8" s="13"/>
    </row>
    <row r="9" spans="1:200" x14ac:dyDescent="0.2">
      <c r="C9" s="131" t="s">
        <v>19</v>
      </c>
      <c r="D9" s="131"/>
      <c r="E9" s="15">
        <v>12</v>
      </c>
      <c r="M9" s="63"/>
      <c r="P9" s="13"/>
      <c r="Q9" s="13"/>
      <c r="R9" s="13"/>
      <c r="V9" s="108" t="s">
        <v>15</v>
      </c>
      <c r="W9" s="13"/>
      <c r="X9" s="13"/>
    </row>
    <row r="10" spans="1:200" x14ac:dyDescent="0.2">
      <c r="C10" s="131" t="s">
        <v>17</v>
      </c>
      <c r="D10" s="131"/>
      <c r="E10" s="13">
        <v>100000</v>
      </c>
      <c r="I10" s="43">
        <f>+'Sub &amp; Feeder Depr Life'!$D$12</f>
        <v>49</v>
      </c>
      <c r="J10" s="141" t="s">
        <v>25</v>
      </c>
      <c r="K10" s="141"/>
      <c r="L10" s="141"/>
      <c r="V10" s="108" t="s">
        <v>15</v>
      </c>
      <c r="W10" s="13"/>
      <c r="X10" s="13"/>
    </row>
    <row r="11" spans="1:200" ht="13.15" customHeight="1" x14ac:dyDescent="0.2">
      <c r="C11" s="131" t="s">
        <v>16</v>
      </c>
      <c r="D11" s="131"/>
      <c r="E11" s="13">
        <f>E10</f>
        <v>100000</v>
      </c>
      <c r="G11" s="17"/>
      <c r="I11" s="44">
        <f>1-'Converson Factor'!$D$20</f>
        <v>0.24861900000000003</v>
      </c>
      <c r="J11" s="141" t="s">
        <v>39</v>
      </c>
      <c r="K11" s="141"/>
      <c r="L11" s="141"/>
      <c r="V11" s="108" t="s">
        <v>15</v>
      </c>
      <c r="W11" s="13"/>
      <c r="X11" s="13"/>
    </row>
    <row r="12" spans="1:200" x14ac:dyDescent="0.2">
      <c r="C12" s="131" t="s">
        <v>18</v>
      </c>
      <c r="D12" s="131"/>
      <c r="E12" s="13">
        <f>E10</f>
        <v>100000</v>
      </c>
      <c r="I12" s="6">
        <f>+'Converson Factor'!$C$19</f>
        <v>0.21</v>
      </c>
      <c r="J12" s="141" t="s">
        <v>37</v>
      </c>
      <c r="K12" s="141"/>
      <c r="L12" s="141"/>
      <c r="M12" s="64"/>
    </row>
    <row r="13" spans="1:200" x14ac:dyDescent="0.2">
      <c r="C13" s="105"/>
      <c r="M13" s="64"/>
    </row>
    <row r="14" spans="1:200" ht="39" thickBot="1" x14ac:dyDescent="0.25">
      <c r="A14" s="18" t="s">
        <v>42</v>
      </c>
      <c r="B14" s="18" t="s">
        <v>43</v>
      </c>
      <c r="C14" s="18" t="s">
        <v>52</v>
      </c>
      <c r="D14" s="18" t="s">
        <v>44</v>
      </c>
      <c r="E14" s="18" t="s">
        <v>54</v>
      </c>
      <c r="F14" s="18" t="s">
        <v>51</v>
      </c>
      <c r="G14" s="18" t="s">
        <v>45</v>
      </c>
      <c r="H14" s="18" t="s">
        <v>46</v>
      </c>
      <c r="I14" s="18" t="s">
        <v>53</v>
      </c>
      <c r="J14" s="18" t="s">
        <v>48</v>
      </c>
      <c r="K14" s="18" t="s">
        <v>49</v>
      </c>
    </row>
    <row r="15" spans="1:200" x14ac:dyDescent="0.2">
      <c r="A15" s="106">
        <v>1</v>
      </c>
      <c r="B15" s="19">
        <f>E10</f>
        <v>100000</v>
      </c>
      <c r="C15" s="106">
        <v>0</v>
      </c>
      <c r="D15" s="22">
        <f>E10</f>
        <v>100000</v>
      </c>
      <c r="E15" s="22">
        <f t="shared" ref="E15:E58" si="1">E$11*C15</f>
        <v>0</v>
      </c>
      <c r="F15" s="22">
        <f t="shared" ref="F15:F58" si="2">$I$12*(E15-I15*E$11/E$10)</f>
        <v>0</v>
      </c>
      <c r="G15" s="22">
        <f>L$4*D15*(E9/12)</f>
        <v>2830</v>
      </c>
      <c r="H15" s="22">
        <f>D15*(L$5+L$6)*(E9/12)</f>
        <v>4610</v>
      </c>
      <c r="I15" s="22">
        <v>0</v>
      </c>
      <c r="J15" s="22">
        <f t="shared" ref="J15:J58" si="3">(I$11/(1-I$11))*(H15+I15-E15+F15)</f>
        <v>1525.369406466227</v>
      </c>
      <c r="K15" s="22">
        <f>F15+G15+H15+I15+J15</f>
        <v>8965.3694064662268</v>
      </c>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row>
    <row r="16" spans="1:200" x14ac:dyDescent="0.2">
      <c r="A16" s="106">
        <f t="shared" ref="A16:A64" si="4">A15+1</f>
        <v>2</v>
      </c>
      <c r="B16" s="19">
        <f t="shared" ref="B16:B53" si="5">B15-I15</f>
        <v>100000</v>
      </c>
      <c r="C16" s="106">
        <v>0</v>
      </c>
      <c r="D16" s="22">
        <f t="shared" ref="D16:D53" si="6">D15-F15-I15</f>
        <v>100000</v>
      </c>
      <c r="E16" s="22">
        <f t="shared" si="1"/>
        <v>0</v>
      </c>
      <c r="F16" s="22">
        <f t="shared" si="2"/>
        <v>0</v>
      </c>
      <c r="G16" s="22">
        <f t="shared" ref="G16:G47" si="7">L$4*D16</f>
        <v>2830</v>
      </c>
      <c r="H16" s="22">
        <f t="shared" ref="H16:H47" si="8">D16*(L$5+L$6)</f>
        <v>4610</v>
      </c>
      <c r="I16" s="22">
        <v>0</v>
      </c>
      <c r="J16" s="22">
        <f t="shared" si="3"/>
        <v>1525.369406466227</v>
      </c>
      <c r="K16" s="22">
        <f t="shared" ref="K16:K58" si="9">F16+G16+H16+I16+J16</f>
        <v>8965.3694064662268</v>
      </c>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row>
    <row r="17" spans="1:200" x14ac:dyDescent="0.2">
      <c r="A17" s="106">
        <f t="shared" si="4"/>
        <v>3</v>
      </c>
      <c r="B17" s="19">
        <f t="shared" si="5"/>
        <v>100000</v>
      </c>
      <c r="C17" s="106">
        <v>0</v>
      </c>
      <c r="D17" s="22">
        <f t="shared" si="6"/>
        <v>100000</v>
      </c>
      <c r="E17" s="22">
        <f t="shared" si="1"/>
        <v>0</v>
      </c>
      <c r="F17" s="22">
        <f t="shared" si="2"/>
        <v>0</v>
      </c>
      <c r="G17" s="22">
        <f t="shared" si="7"/>
        <v>2830</v>
      </c>
      <c r="H17" s="22">
        <f t="shared" si="8"/>
        <v>4610</v>
      </c>
      <c r="I17" s="22">
        <v>0</v>
      </c>
      <c r="J17" s="22">
        <f t="shared" si="3"/>
        <v>1525.369406466227</v>
      </c>
      <c r="K17" s="22">
        <f t="shared" si="9"/>
        <v>8965.3694064662268</v>
      </c>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row>
    <row r="18" spans="1:200" x14ac:dyDescent="0.2">
      <c r="A18" s="106">
        <f t="shared" si="4"/>
        <v>4</v>
      </c>
      <c r="B18" s="19">
        <f t="shared" si="5"/>
        <v>100000</v>
      </c>
      <c r="C18" s="106">
        <v>0</v>
      </c>
      <c r="D18" s="22">
        <f t="shared" si="6"/>
        <v>100000</v>
      </c>
      <c r="E18" s="22">
        <f t="shared" si="1"/>
        <v>0</v>
      </c>
      <c r="F18" s="22">
        <f t="shared" si="2"/>
        <v>0</v>
      </c>
      <c r="G18" s="22">
        <f t="shared" si="7"/>
        <v>2830</v>
      </c>
      <c r="H18" s="22">
        <f t="shared" si="8"/>
        <v>4610</v>
      </c>
      <c r="I18" s="22">
        <v>0</v>
      </c>
      <c r="J18" s="22">
        <f t="shared" si="3"/>
        <v>1525.369406466227</v>
      </c>
      <c r="K18" s="22">
        <f t="shared" si="9"/>
        <v>8965.3694064662268</v>
      </c>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row>
    <row r="19" spans="1:200" x14ac:dyDescent="0.2">
      <c r="A19" s="106">
        <f t="shared" si="4"/>
        <v>5</v>
      </c>
      <c r="B19" s="19">
        <f t="shared" si="5"/>
        <v>100000</v>
      </c>
      <c r="C19" s="106">
        <v>0</v>
      </c>
      <c r="D19" s="22">
        <f t="shared" si="6"/>
        <v>100000</v>
      </c>
      <c r="E19" s="22">
        <f t="shared" si="1"/>
        <v>0</v>
      </c>
      <c r="F19" s="22">
        <f t="shared" si="2"/>
        <v>0</v>
      </c>
      <c r="G19" s="22">
        <f t="shared" si="7"/>
        <v>2830</v>
      </c>
      <c r="H19" s="22">
        <f t="shared" si="8"/>
        <v>4610</v>
      </c>
      <c r="I19" s="22">
        <v>0</v>
      </c>
      <c r="J19" s="22">
        <f t="shared" si="3"/>
        <v>1525.369406466227</v>
      </c>
      <c r="K19" s="22">
        <f t="shared" si="9"/>
        <v>8965.3694064662268</v>
      </c>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row>
    <row r="20" spans="1:200" x14ac:dyDescent="0.2">
      <c r="A20" s="106">
        <f t="shared" si="4"/>
        <v>6</v>
      </c>
      <c r="B20" s="19">
        <f t="shared" si="5"/>
        <v>100000</v>
      </c>
      <c r="C20" s="106">
        <v>0</v>
      </c>
      <c r="D20" s="22">
        <f t="shared" si="6"/>
        <v>100000</v>
      </c>
      <c r="E20" s="22">
        <f t="shared" si="1"/>
        <v>0</v>
      </c>
      <c r="F20" s="22">
        <f t="shared" si="2"/>
        <v>0</v>
      </c>
      <c r="G20" s="22">
        <f t="shared" si="7"/>
        <v>2830</v>
      </c>
      <c r="H20" s="22">
        <f t="shared" si="8"/>
        <v>4610</v>
      </c>
      <c r="I20" s="22">
        <v>0</v>
      </c>
      <c r="J20" s="22">
        <f t="shared" si="3"/>
        <v>1525.369406466227</v>
      </c>
      <c r="K20" s="22">
        <f t="shared" si="9"/>
        <v>8965.3694064662268</v>
      </c>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row>
    <row r="21" spans="1:200" x14ac:dyDescent="0.2">
      <c r="A21" s="106">
        <f t="shared" si="4"/>
        <v>7</v>
      </c>
      <c r="B21" s="19">
        <f t="shared" si="5"/>
        <v>100000</v>
      </c>
      <c r="C21" s="106">
        <v>0</v>
      </c>
      <c r="D21" s="22">
        <f t="shared" si="6"/>
        <v>100000</v>
      </c>
      <c r="E21" s="22">
        <f t="shared" si="1"/>
        <v>0</v>
      </c>
      <c r="F21" s="22">
        <f t="shared" si="2"/>
        <v>0</v>
      </c>
      <c r="G21" s="22">
        <f t="shared" si="7"/>
        <v>2830</v>
      </c>
      <c r="H21" s="22">
        <f t="shared" si="8"/>
        <v>4610</v>
      </c>
      <c r="I21" s="22">
        <v>0</v>
      </c>
      <c r="J21" s="22">
        <f t="shared" si="3"/>
        <v>1525.369406466227</v>
      </c>
      <c r="K21" s="22">
        <f t="shared" si="9"/>
        <v>8965.3694064662268</v>
      </c>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row>
    <row r="22" spans="1:200" x14ac:dyDescent="0.2">
      <c r="A22" s="106">
        <f t="shared" si="4"/>
        <v>8</v>
      </c>
      <c r="B22" s="19">
        <f t="shared" si="5"/>
        <v>100000</v>
      </c>
      <c r="C22" s="106">
        <v>0</v>
      </c>
      <c r="D22" s="22">
        <f t="shared" si="6"/>
        <v>100000</v>
      </c>
      <c r="E22" s="22">
        <f t="shared" si="1"/>
        <v>0</v>
      </c>
      <c r="F22" s="22">
        <f t="shared" si="2"/>
        <v>0</v>
      </c>
      <c r="G22" s="22">
        <f t="shared" si="7"/>
        <v>2830</v>
      </c>
      <c r="H22" s="22">
        <f t="shared" si="8"/>
        <v>4610</v>
      </c>
      <c r="I22" s="22">
        <v>0</v>
      </c>
      <c r="J22" s="22">
        <f t="shared" si="3"/>
        <v>1525.369406466227</v>
      </c>
      <c r="K22" s="22">
        <f t="shared" si="9"/>
        <v>8965.3694064662268</v>
      </c>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row>
    <row r="23" spans="1:200" x14ac:dyDescent="0.2">
      <c r="A23" s="106">
        <f t="shared" si="4"/>
        <v>9</v>
      </c>
      <c r="B23" s="19">
        <f t="shared" si="5"/>
        <v>100000</v>
      </c>
      <c r="C23" s="106">
        <v>0</v>
      </c>
      <c r="D23" s="22">
        <f t="shared" si="6"/>
        <v>100000</v>
      </c>
      <c r="E23" s="22">
        <f t="shared" si="1"/>
        <v>0</v>
      </c>
      <c r="F23" s="22">
        <f t="shared" si="2"/>
        <v>0</v>
      </c>
      <c r="G23" s="22">
        <f t="shared" si="7"/>
        <v>2830</v>
      </c>
      <c r="H23" s="22">
        <f t="shared" si="8"/>
        <v>4610</v>
      </c>
      <c r="I23" s="22">
        <v>0</v>
      </c>
      <c r="J23" s="22">
        <f t="shared" si="3"/>
        <v>1525.369406466227</v>
      </c>
      <c r="K23" s="22">
        <f t="shared" si="9"/>
        <v>8965.3694064662268</v>
      </c>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row>
    <row r="24" spans="1:200" x14ac:dyDescent="0.2">
      <c r="A24" s="106">
        <f t="shared" si="4"/>
        <v>10</v>
      </c>
      <c r="B24" s="19">
        <f t="shared" si="5"/>
        <v>100000</v>
      </c>
      <c r="C24" s="106">
        <v>0</v>
      </c>
      <c r="D24" s="22">
        <f t="shared" si="6"/>
        <v>100000</v>
      </c>
      <c r="E24" s="22">
        <f t="shared" si="1"/>
        <v>0</v>
      </c>
      <c r="F24" s="22">
        <f t="shared" si="2"/>
        <v>0</v>
      </c>
      <c r="G24" s="22">
        <f t="shared" si="7"/>
        <v>2830</v>
      </c>
      <c r="H24" s="22">
        <f t="shared" si="8"/>
        <v>4610</v>
      </c>
      <c r="I24" s="22">
        <v>0</v>
      </c>
      <c r="J24" s="22">
        <f t="shared" si="3"/>
        <v>1525.369406466227</v>
      </c>
      <c r="K24" s="22">
        <f t="shared" si="9"/>
        <v>8965.3694064662268</v>
      </c>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row>
    <row r="25" spans="1:200" x14ac:dyDescent="0.2">
      <c r="A25" s="106">
        <f t="shared" si="4"/>
        <v>11</v>
      </c>
      <c r="B25" s="19">
        <f t="shared" si="5"/>
        <v>100000</v>
      </c>
      <c r="C25" s="106">
        <v>0</v>
      </c>
      <c r="D25" s="22">
        <f t="shared" si="6"/>
        <v>100000</v>
      </c>
      <c r="E25" s="22">
        <f t="shared" si="1"/>
        <v>0</v>
      </c>
      <c r="F25" s="22">
        <f t="shared" si="2"/>
        <v>0</v>
      </c>
      <c r="G25" s="22">
        <f t="shared" si="7"/>
        <v>2830</v>
      </c>
      <c r="H25" s="22">
        <f t="shared" si="8"/>
        <v>4610</v>
      </c>
      <c r="I25" s="22">
        <v>0</v>
      </c>
      <c r="J25" s="22">
        <f t="shared" si="3"/>
        <v>1525.369406466227</v>
      </c>
      <c r="K25" s="22">
        <f t="shared" si="9"/>
        <v>8965.3694064662268</v>
      </c>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row>
    <row r="26" spans="1:200" x14ac:dyDescent="0.2">
      <c r="A26" s="106">
        <f t="shared" si="4"/>
        <v>12</v>
      </c>
      <c r="B26" s="19">
        <f t="shared" si="5"/>
        <v>100000</v>
      </c>
      <c r="C26" s="106">
        <v>0</v>
      </c>
      <c r="D26" s="22">
        <f t="shared" si="6"/>
        <v>100000</v>
      </c>
      <c r="E26" s="22">
        <f t="shared" si="1"/>
        <v>0</v>
      </c>
      <c r="F26" s="22">
        <f t="shared" si="2"/>
        <v>0</v>
      </c>
      <c r="G26" s="22">
        <f t="shared" si="7"/>
        <v>2830</v>
      </c>
      <c r="H26" s="22">
        <f t="shared" si="8"/>
        <v>4610</v>
      </c>
      <c r="I26" s="22">
        <v>0</v>
      </c>
      <c r="J26" s="22">
        <f t="shared" si="3"/>
        <v>1525.369406466227</v>
      </c>
      <c r="K26" s="22">
        <f t="shared" si="9"/>
        <v>8965.3694064662268</v>
      </c>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row>
    <row r="27" spans="1:200" x14ac:dyDescent="0.2">
      <c r="A27" s="106">
        <f t="shared" si="4"/>
        <v>13</v>
      </c>
      <c r="B27" s="19">
        <f t="shared" si="5"/>
        <v>100000</v>
      </c>
      <c r="C27" s="106">
        <v>0</v>
      </c>
      <c r="D27" s="22">
        <f t="shared" si="6"/>
        <v>100000</v>
      </c>
      <c r="E27" s="22">
        <f t="shared" si="1"/>
        <v>0</v>
      </c>
      <c r="F27" s="22">
        <f t="shared" si="2"/>
        <v>0</v>
      </c>
      <c r="G27" s="22">
        <f t="shared" si="7"/>
        <v>2830</v>
      </c>
      <c r="H27" s="22">
        <f t="shared" si="8"/>
        <v>4610</v>
      </c>
      <c r="I27" s="22">
        <v>0</v>
      </c>
      <c r="J27" s="22">
        <f t="shared" si="3"/>
        <v>1525.369406466227</v>
      </c>
      <c r="K27" s="22">
        <f t="shared" si="9"/>
        <v>8965.3694064662268</v>
      </c>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row>
    <row r="28" spans="1:200" x14ac:dyDescent="0.2">
      <c r="A28" s="106">
        <f t="shared" si="4"/>
        <v>14</v>
      </c>
      <c r="B28" s="19">
        <f t="shared" si="5"/>
        <v>100000</v>
      </c>
      <c r="C28" s="106">
        <v>0</v>
      </c>
      <c r="D28" s="22">
        <f t="shared" si="6"/>
        <v>100000</v>
      </c>
      <c r="E28" s="22">
        <f t="shared" si="1"/>
        <v>0</v>
      </c>
      <c r="F28" s="22">
        <f t="shared" si="2"/>
        <v>0</v>
      </c>
      <c r="G28" s="22">
        <f t="shared" si="7"/>
        <v>2830</v>
      </c>
      <c r="H28" s="22">
        <f t="shared" si="8"/>
        <v>4610</v>
      </c>
      <c r="I28" s="22">
        <v>0</v>
      </c>
      <c r="J28" s="22">
        <f t="shared" si="3"/>
        <v>1525.369406466227</v>
      </c>
      <c r="K28" s="22">
        <f t="shared" si="9"/>
        <v>8965.3694064662268</v>
      </c>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row>
    <row r="29" spans="1:200" x14ac:dyDescent="0.2">
      <c r="A29" s="106">
        <f t="shared" si="4"/>
        <v>15</v>
      </c>
      <c r="B29" s="19">
        <f t="shared" si="5"/>
        <v>100000</v>
      </c>
      <c r="C29" s="106">
        <v>0</v>
      </c>
      <c r="D29" s="22">
        <f t="shared" si="6"/>
        <v>100000</v>
      </c>
      <c r="E29" s="22">
        <f t="shared" si="1"/>
        <v>0</v>
      </c>
      <c r="F29" s="22">
        <f t="shared" si="2"/>
        <v>0</v>
      </c>
      <c r="G29" s="22">
        <f t="shared" si="7"/>
        <v>2830</v>
      </c>
      <c r="H29" s="22">
        <f t="shared" si="8"/>
        <v>4610</v>
      </c>
      <c r="I29" s="22">
        <v>0</v>
      </c>
      <c r="J29" s="22">
        <f t="shared" si="3"/>
        <v>1525.369406466227</v>
      </c>
      <c r="K29" s="22">
        <f t="shared" si="9"/>
        <v>8965.3694064662268</v>
      </c>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row>
    <row r="30" spans="1:200" x14ac:dyDescent="0.2">
      <c r="A30" s="106">
        <f t="shared" si="4"/>
        <v>16</v>
      </c>
      <c r="B30" s="19">
        <f t="shared" si="5"/>
        <v>100000</v>
      </c>
      <c r="C30" s="106">
        <v>0</v>
      </c>
      <c r="D30" s="22">
        <f t="shared" si="6"/>
        <v>100000</v>
      </c>
      <c r="E30" s="22">
        <f t="shared" si="1"/>
        <v>0</v>
      </c>
      <c r="F30" s="22">
        <f t="shared" si="2"/>
        <v>0</v>
      </c>
      <c r="G30" s="22">
        <f t="shared" si="7"/>
        <v>2830</v>
      </c>
      <c r="H30" s="22">
        <f t="shared" si="8"/>
        <v>4610</v>
      </c>
      <c r="I30" s="22">
        <v>0</v>
      </c>
      <c r="J30" s="22">
        <f t="shared" si="3"/>
        <v>1525.369406466227</v>
      </c>
      <c r="K30" s="22">
        <f t="shared" si="9"/>
        <v>8965.3694064662268</v>
      </c>
      <c r="L30" s="23"/>
      <c r="M30" s="23"/>
      <c r="N30" s="23"/>
      <c r="O30" s="23"/>
      <c r="P30" s="23"/>
      <c r="Q30" s="23"/>
      <c r="R30" s="23"/>
      <c r="S30" s="23"/>
      <c r="T30" s="23"/>
      <c r="U30" s="23"/>
      <c r="V30" s="23"/>
      <c r="W30" s="23"/>
      <c r="X30" s="23"/>
      <c r="Y30" s="23"/>
      <c r="Z30" s="23"/>
      <c r="AA30" s="23"/>
      <c r="AB30" s="23"/>
      <c r="AC30" s="23"/>
      <c r="AD30" s="23"/>
      <c r="AE30" s="23"/>
      <c r="AF30" s="23"/>
      <c r="AG30" s="23"/>
      <c r="AH30" s="65"/>
      <c r="AI30" s="65"/>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row>
    <row r="31" spans="1:200" x14ac:dyDescent="0.2">
      <c r="A31" s="106">
        <f t="shared" si="4"/>
        <v>17</v>
      </c>
      <c r="B31" s="19">
        <f t="shared" si="5"/>
        <v>100000</v>
      </c>
      <c r="C31" s="106">
        <v>0</v>
      </c>
      <c r="D31" s="22">
        <f t="shared" si="6"/>
        <v>100000</v>
      </c>
      <c r="E31" s="22">
        <f t="shared" si="1"/>
        <v>0</v>
      </c>
      <c r="F31" s="22">
        <f t="shared" si="2"/>
        <v>0</v>
      </c>
      <c r="G31" s="22">
        <f t="shared" si="7"/>
        <v>2830</v>
      </c>
      <c r="H31" s="22">
        <f t="shared" si="8"/>
        <v>4610</v>
      </c>
      <c r="I31" s="22">
        <v>0</v>
      </c>
      <c r="J31" s="22">
        <f t="shared" si="3"/>
        <v>1525.369406466227</v>
      </c>
      <c r="K31" s="22">
        <f t="shared" si="9"/>
        <v>8965.3694064662268</v>
      </c>
      <c r="L31" s="23"/>
      <c r="M31" s="23"/>
      <c r="N31" s="23"/>
      <c r="O31" s="23"/>
      <c r="P31" s="23"/>
      <c r="Q31" s="23"/>
      <c r="R31" s="23"/>
      <c r="S31" s="23"/>
      <c r="T31" s="23"/>
      <c r="U31" s="23"/>
      <c r="V31" s="23"/>
      <c r="W31" s="23"/>
      <c r="X31" s="23"/>
      <c r="Y31" s="23"/>
      <c r="Z31" s="23"/>
      <c r="AA31" s="23"/>
      <c r="AB31" s="23"/>
      <c r="AC31" s="23"/>
      <c r="AD31" s="23"/>
      <c r="AE31" s="23"/>
      <c r="AF31" s="23"/>
      <c r="AG31" s="23"/>
      <c r="AH31" s="65"/>
      <c r="AI31" s="65"/>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row>
    <row r="32" spans="1:200" x14ac:dyDescent="0.2">
      <c r="A32" s="106">
        <f t="shared" si="4"/>
        <v>18</v>
      </c>
      <c r="B32" s="19">
        <f t="shared" si="5"/>
        <v>100000</v>
      </c>
      <c r="C32" s="106">
        <v>0</v>
      </c>
      <c r="D32" s="22">
        <f t="shared" si="6"/>
        <v>100000</v>
      </c>
      <c r="E32" s="22">
        <f t="shared" si="1"/>
        <v>0</v>
      </c>
      <c r="F32" s="22">
        <f t="shared" si="2"/>
        <v>0</v>
      </c>
      <c r="G32" s="22">
        <f t="shared" si="7"/>
        <v>2830</v>
      </c>
      <c r="H32" s="22">
        <f t="shared" si="8"/>
        <v>4610</v>
      </c>
      <c r="I32" s="22">
        <v>0</v>
      </c>
      <c r="J32" s="22">
        <f t="shared" si="3"/>
        <v>1525.369406466227</v>
      </c>
      <c r="K32" s="22">
        <f t="shared" si="9"/>
        <v>8965.3694064662268</v>
      </c>
      <c r="L32" s="23"/>
      <c r="M32" s="23"/>
      <c r="N32" s="23"/>
      <c r="O32" s="23"/>
      <c r="P32" s="23"/>
      <c r="Q32" s="23"/>
      <c r="R32" s="23"/>
      <c r="S32" s="23"/>
      <c r="T32" s="23"/>
      <c r="U32" s="23"/>
      <c r="V32" s="23"/>
      <c r="W32" s="23"/>
      <c r="X32" s="23"/>
      <c r="Y32" s="23"/>
      <c r="Z32" s="23"/>
      <c r="AA32" s="23"/>
      <c r="AB32" s="23"/>
      <c r="AC32" s="23"/>
      <c r="AD32" s="23"/>
      <c r="AE32" s="23"/>
      <c r="AF32" s="23"/>
      <c r="AG32" s="23"/>
      <c r="AH32" s="65"/>
      <c r="AI32" s="65"/>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row>
    <row r="33" spans="1:200" x14ac:dyDescent="0.2">
      <c r="A33" s="106">
        <f t="shared" si="4"/>
        <v>19</v>
      </c>
      <c r="B33" s="19">
        <f t="shared" si="5"/>
        <v>100000</v>
      </c>
      <c r="C33" s="106">
        <v>0</v>
      </c>
      <c r="D33" s="22">
        <f t="shared" si="6"/>
        <v>100000</v>
      </c>
      <c r="E33" s="22">
        <f t="shared" si="1"/>
        <v>0</v>
      </c>
      <c r="F33" s="22">
        <f t="shared" si="2"/>
        <v>0</v>
      </c>
      <c r="G33" s="22">
        <f t="shared" si="7"/>
        <v>2830</v>
      </c>
      <c r="H33" s="22">
        <f t="shared" si="8"/>
        <v>4610</v>
      </c>
      <c r="I33" s="22">
        <v>0</v>
      </c>
      <c r="J33" s="22">
        <f t="shared" si="3"/>
        <v>1525.369406466227</v>
      </c>
      <c r="K33" s="22">
        <f t="shared" si="9"/>
        <v>8965.3694064662268</v>
      </c>
      <c r="L33" s="23"/>
      <c r="M33" s="23"/>
      <c r="N33" s="23"/>
      <c r="O33" s="23"/>
      <c r="P33" s="23"/>
      <c r="Q33" s="23"/>
      <c r="R33" s="23"/>
      <c r="S33" s="23"/>
      <c r="T33" s="23"/>
      <c r="U33" s="23"/>
      <c r="V33" s="23"/>
      <c r="W33" s="23"/>
      <c r="X33" s="23"/>
      <c r="Y33" s="23"/>
      <c r="Z33" s="23"/>
      <c r="AA33" s="23"/>
      <c r="AB33" s="23"/>
      <c r="AC33" s="23"/>
      <c r="AD33" s="23"/>
      <c r="AE33" s="23"/>
      <c r="AF33" s="23"/>
      <c r="AG33" s="23"/>
      <c r="AH33" s="65"/>
      <c r="AI33" s="65"/>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row>
    <row r="34" spans="1:200" x14ac:dyDescent="0.2">
      <c r="A34" s="106">
        <f t="shared" si="4"/>
        <v>20</v>
      </c>
      <c r="B34" s="19">
        <f t="shared" si="5"/>
        <v>100000</v>
      </c>
      <c r="C34" s="106">
        <v>0</v>
      </c>
      <c r="D34" s="22">
        <f t="shared" si="6"/>
        <v>100000</v>
      </c>
      <c r="E34" s="22">
        <f t="shared" si="1"/>
        <v>0</v>
      </c>
      <c r="F34" s="22">
        <f t="shared" si="2"/>
        <v>0</v>
      </c>
      <c r="G34" s="22">
        <f t="shared" si="7"/>
        <v>2830</v>
      </c>
      <c r="H34" s="22">
        <f t="shared" si="8"/>
        <v>4610</v>
      </c>
      <c r="I34" s="22">
        <v>0</v>
      </c>
      <c r="J34" s="22">
        <f t="shared" si="3"/>
        <v>1525.369406466227</v>
      </c>
      <c r="K34" s="22">
        <f t="shared" si="9"/>
        <v>8965.3694064662268</v>
      </c>
      <c r="L34" s="23"/>
      <c r="M34" s="23"/>
      <c r="N34" s="23"/>
      <c r="O34" s="23"/>
      <c r="P34" s="23"/>
      <c r="Q34" s="23"/>
      <c r="R34" s="23"/>
      <c r="S34" s="23"/>
      <c r="T34" s="23"/>
      <c r="U34" s="23"/>
      <c r="V34" s="23"/>
      <c r="W34" s="23"/>
      <c r="X34" s="23"/>
      <c r="Y34" s="23"/>
      <c r="Z34" s="23"/>
      <c r="AA34" s="23"/>
      <c r="AB34" s="23"/>
      <c r="AC34" s="23"/>
      <c r="AD34" s="23"/>
      <c r="AE34" s="23"/>
      <c r="AF34" s="23"/>
      <c r="AG34" s="23"/>
      <c r="AH34" s="65"/>
      <c r="AI34" s="65"/>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row>
    <row r="35" spans="1:200" x14ac:dyDescent="0.2">
      <c r="A35" s="106">
        <f t="shared" si="4"/>
        <v>21</v>
      </c>
      <c r="B35" s="19">
        <f t="shared" si="5"/>
        <v>100000</v>
      </c>
      <c r="C35" s="106">
        <v>0</v>
      </c>
      <c r="D35" s="22">
        <f t="shared" si="6"/>
        <v>100000</v>
      </c>
      <c r="E35" s="22">
        <f t="shared" si="1"/>
        <v>0</v>
      </c>
      <c r="F35" s="22">
        <f t="shared" si="2"/>
        <v>0</v>
      </c>
      <c r="G35" s="22">
        <f t="shared" si="7"/>
        <v>2830</v>
      </c>
      <c r="H35" s="22">
        <f t="shared" si="8"/>
        <v>4610</v>
      </c>
      <c r="I35" s="22">
        <v>0</v>
      </c>
      <c r="J35" s="22">
        <f t="shared" si="3"/>
        <v>1525.369406466227</v>
      </c>
      <c r="K35" s="22">
        <f t="shared" si="9"/>
        <v>8965.3694064662268</v>
      </c>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row>
    <row r="36" spans="1:200" x14ac:dyDescent="0.2">
      <c r="A36" s="106">
        <f t="shared" si="4"/>
        <v>22</v>
      </c>
      <c r="B36" s="19">
        <f t="shared" si="5"/>
        <v>100000</v>
      </c>
      <c r="C36" s="106">
        <v>0</v>
      </c>
      <c r="D36" s="22">
        <f t="shared" si="6"/>
        <v>100000</v>
      </c>
      <c r="E36" s="22">
        <f t="shared" si="1"/>
        <v>0</v>
      </c>
      <c r="F36" s="22">
        <f t="shared" si="2"/>
        <v>0</v>
      </c>
      <c r="G36" s="22">
        <f t="shared" si="7"/>
        <v>2830</v>
      </c>
      <c r="H36" s="22">
        <f t="shared" si="8"/>
        <v>4610</v>
      </c>
      <c r="I36" s="22">
        <v>0</v>
      </c>
      <c r="J36" s="22">
        <f t="shared" si="3"/>
        <v>1525.369406466227</v>
      </c>
      <c r="K36" s="22">
        <f t="shared" si="9"/>
        <v>8965.3694064662268</v>
      </c>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row>
    <row r="37" spans="1:200" x14ac:dyDescent="0.2">
      <c r="A37" s="106">
        <f t="shared" si="4"/>
        <v>23</v>
      </c>
      <c r="B37" s="19">
        <f t="shared" si="5"/>
        <v>100000</v>
      </c>
      <c r="C37" s="106">
        <v>0</v>
      </c>
      <c r="D37" s="22">
        <f t="shared" si="6"/>
        <v>100000</v>
      </c>
      <c r="E37" s="22">
        <f t="shared" si="1"/>
        <v>0</v>
      </c>
      <c r="F37" s="22">
        <f t="shared" si="2"/>
        <v>0</v>
      </c>
      <c r="G37" s="22">
        <f t="shared" si="7"/>
        <v>2830</v>
      </c>
      <c r="H37" s="22">
        <f t="shared" si="8"/>
        <v>4610</v>
      </c>
      <c r="I37" s="22">
        <v>0</v>
      </c>
      <c r="J37" s="22">
        <f t="shared" si="3"/>
        <v>1525.369406466227</v>
      </c>
      <c r="K37" s="22">
        <f t="shared" si="9"/>
        <v>8965.3694064662268</v>
      </c>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row>
    <row r="38" spans="1:200" x14ac:dyDescent="0.2">
      <c r="A38" s="106">
        <f t="shared" si="4"/>
        <v>24</v>
      </c>
      <c r="B38" s="19">
        <f t="shared" si="5"/>
        <v>100000</v>
      </c>
      <c r="C38" s="106">
        <v>0</v>
      </c>
      <c r="D38" s="22">
        <f t="shared" si="6"/>
        <v>100000</v>
      </c>
      <c r="E38" s="22">
        <f t="shared" si="1"/>
        <v>0</v>
      </c>
      <c r="F38" s="22">
        <f t="shared" si="2"/>
        <v>0</v>
      </c>
      <c r="G38" s="22">
        <f t="shared" si="7"/>
        <v>2830</v>
      </c>
      <c r="H38" s="22">
        <f t="shared" si="8"/>
        <v>4610</v>
      </c>
      <c r="I38" s="22">
        <v>0</v>
      </c>
      <c r="J38" s="22">
        <f t="shared" si="3"/>
        <v>1525.369406466227</v>
      </c>
      <c r="K38" s="22">
        <f t="shared" si="9"/>
        <v>8965.3694064662268</v>
      </c>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row>
    <row r="39" spans="1:200" x14ac:dyDescent="0.2">
      <c r="A39" s="106">
        <f t="shared" si="4"/>
        <v>25</v>
      </c>
      <c r="B39" s="19">
        <f t="shared" si="5"/>
        <v>100000</v>
      </c>
      <c r="C39" s="106">
        <v>0</v>
      </c>
      <c r="D39" s="22">
        <f t="shared" si="6"/>
        <v>100000</v>
      </c>
      <c r="E39" s="22">
        <f t="shared" si="1"/>
        <v>0</v>
      </c>
      <c r="F39" s="22">
        <f t="shared" si="2"/>
        <v>0</v>
      </c>
      <c r="G39" s="22">
        <f t="shared" si="7"/>
        <v>2830</v>
      </c>
      <c r="H39" s="22">
        <f t="shared" si="8"/>
        <v>4610</v>
      </c>
      <c r="I39" s="22">
        <v>0</v>
      </c>
      <c r="J39" s="22">
        <f t="shared" si="3"/>
        <v>1525.369406466227</v>
      </c>
      <c r="K39" s="22">
        <f t="shared" si="9"/>
        <v>8965.3694064662268</v>
      </c>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row>
    <row r="40" spans="1:200" x14ac:dyDescent="0.2">
      <c r="A40" s="106">
        <f t="shared" si="4"/>
        <v>26</v>
      </c>
      <c r="B40" s="19">
        <f t="shared" si="5"/>
        <v>100000</v>
      </c>
      <c r="C40" s="106">
        <v>0</v>
      </c>
      <c r="D40" s="22">
        <f t="shared" si="6"/>
        <v>100000</v>
      </c>
      <c r="E40" s="22">
        <f t="shared" si="1"/>
        <v>0</v>
      </c>
      <c r="F40" s="22">
        <f t="shared" si="2"/>
        <v>0</v>
      </c>
      <c r="G40" s="22">
        <f t="shared" si="7"/>
        <v>2830</v>
      </c>
      <c r="H40" s="22">
        <f t="shared" si="8"/>
        <v>4610</v>
      </c>
      <c r="I40" s="22">
        <v>0</v>
      </c>
      <c r="J40" s="22">
        <f t="shared" si="3"/>
        <v>1525.369406466227</v>
      </c>
      <c r="K40" s="22">
        <f t="shared" si="9"/>
        <v>8965.3694064662268</v>
      </c>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row>
    <row r="41" spans="1:200" x14ac:dyDescent="0.2">
      <c r="A41" s="106">
        <f t="shared" si="4"/>
        <v>27</v>
      </c>
      <c r="B41" s="19">
        <f t="shared" si="5"/>
        <v>100000</v>
      </c>
      <c r="C41" s="106">
        <v>0</v>
      </c>
      <c r="D41" s="22">
        <f t="shared" si="6"/>
        <v>100000</v>
      </c>
      <c r="E41" s="22">
        <f t="shared" si="1"/>
        <v>0</v>
      </c>
      <c r="F41" s="22">
        <f t="shared" si="2"/>
        <v>0</v>
      </c>
      <c r="G41" s="22">
        <f t="shared" si="7"/>
        <v>2830</v>
      </c>
      <c r="H41" s="22">
        <f t="shared" si="8"/>
        <v>4610</v>
      </c>
      <c r="I41" s="22">
        <v>0</v>
      </c>
      <c r="J41" s="22">
        <f t="shared" si="3"/>
        <v>1525.369406466227</v>
      </c>
      <c r="K41" s="22">
        <f t="shared" si="9"/>
        <v>8965.3694064662268</v>
      </c>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row>
    <row r="42" spans="1:200" x14ac:dyDescent="0.2">
      <c r="A42" s="106">
        <f t="shared" si="4"/>
        <v>28</v>
      </c>
      <c r="B42" s="19">
        <f t="shared" si="5"/>
        <v>100000</v>
      </c>
      <c r="C42" s="106">
        <v>0</v>
      </c>
      <c r="D42" s="22">
        <f t="shared" si="6"/>
        <v>100000</v>
      </c>
      <c r="E42" s="22">
        <f t="shared" si="1"/>
        <v>0</v>
      </c>
      <c r="F42" s="22">
        <f t="shared" si="2"/>
        <v>0</v>
      </c>
      <c r="G42" s="22">
        <f t="shared" si="7"/>
        <v>2830</v>
      </c>
      <c r="H42" s="22">
        <f t="shared" si="8"/>
        <v>4610</v>
      </c>
      <c r="I42" s="22">
        <v>0</v>
      </c>
      <c r="J42" s="22">
        <f t="shared" si="3"/>
        <v>1525.369406466227</v>
      </c>
      <c r="K42" s="22">
        <f t="shared" si="9"/>
        <v>8965.3694064662268</v>
      </c>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row>
    <row r="43" spans="1:200" x14ac:dyDescent="0.2">
      <c r="A43" s="106">
        <f t="shared" si="4"/>
        <v>29</v>
      </c>
      <c r="B43" s="19">
        <f t="shared" si="5"/>
        <v>100000</v>
      </c>
      <c r="C43" s="106">
        <v>0</v>
      </c>
      <c r="D43" s="22">
        <f t="shared" si="6"/>
        <v>100000</v>
      </c>
      <c r="E43" s="22">
        <f t="shared" si="1"/>
        <v>0</v>
      </c>
      <c r="F43" s="22">
        <f t="shared" si="2"/>
        <v>0</v>
      </c>
      <c r="G43" s="22">
        <f t="shared" si="7"/>
        <v>2830</v>
      </c>
      <c r="H43" s="22">
        <f t="shared" si="8"/>
        <v>4610</v>
      </c>
      <c r="I43" s="22">
        <v>0</v>
      </c>
      <c r="J43" s="22">
        <f t="shared" si="3"/>
        <v>1525.369406466227</v>
      </c>
      <c r="K43" s="22">
        <f t="shared" si="9"/>
        <v>8965.3694064662268</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row>
    <row r="44" spans="1:200" x14ac:dyDescent="0.2">
      <c r="A44" s="106">
        <f t="shared" si="4"/>
        <v>30</v>
      </c>
      <c r="B44" s="19">
        <f t="shared" si="5"/>
        <v>100000</v>
      </c>
      <c r="C44" s="106">
        <v>0</v>
      </c>
      <c r="D44" s="22">
        <f t="shared" si="6"/>
        <v>100000</v>
      </c>
      <c r="E44" s="22">
        <f t="shared" si="1"/>
        <v>0</v>
      </c>
      <c r="F44" s="22">
        <f t="shared" si="2"/>
        <v>0</v>
      </c>
      <c r="G44" s="22">
        <f t="shared" si="7"/>
        <v>2830</v>
      </c>
      <c r="H44" s="22">
        <f t="shared" si="8"/>
        <v>4610</v>
      </c>
      <c r="I44" s="22">
        <v>0</v>
      </c>
      <c r="J44" s="22">
        <f t="shared" si="3"/>
        <v>1525.369406466227</v>
      </c>
      <c r="K44" s="22">
        <f t="shared" si="9"/>
        <v>8965.3694064662268</v>
      </c>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row>
    <row r="45" spans="1:200" x14ac:dyDescent="0.2">
      <c r="A45" s="106">
        <f t="shared" si="4"/>
        <v>31</v>
      </c>
      <c r="B45" s="19">
        <f t="shared" si="5"/>
        <v>100000</v>
      </c>
      <c r="C45" s="106">
        <v>0</v>
      </c>
      <c r="D45" s="22">
        <f t="shared" si="6"/>
        <v>100000</v>
      </c>
      <c r="E45" s="22">
        <f t="shared" si="1"/>
        <v>0</v>
      </c>
      <c r="F45" s="22">
        <f t="shared" si="2"/>
        <v>0</v>
      </c>
      <c r="G45" s="22">
        <f t="shared" si="7"/>
        <v>2830</v>
      </c>
      <c r="H45" s="22">
        <f t="shared" si="8"/>
        <v>4610</v>
      </c>
      <c r="I45" s="22">
        <v>0</v>
      </c>
      <c r="J45" s="22">
        <f t="shared" si="3"/>
        <v>1525.369406466227</v>
      </c>
      <c r="K45" s="22">
        <f t="shared" si="9"/>
        <v>8965.3694064662268</v>
      </c>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row>
    <row r="46" spans="1:200" x14ac:dyDescent="0.2">
      <c r="A46" s="106">
        <f t="shared" si="4"/>
        <v>32</v>
      </c>
      <c r="B46" s="19">
        <f t="shared" si="5"/>
        <v>100000</v>
      </c>
      <c r="C46" s="106">
        <v>0</v>
      </c>
      <c r="D46" s="22">
        <f t="shared" si="6"/>
        <v>100000</v>
      </c>
      <c r="E46" s="22">
        <f t="shared" si="1"/>
        <v>0</v>
      </c>
      <c r="F46" s="22">
        <f t="shared" si="2"/>
        <v>0</v>
      </c>
      <c r="G46" s="22">
        <f t="shared" si="7"/>
        <v>2830</v>
      </c>
      <c r="H46" s="22">
        <f t="shared" si="8"/>
        <v>4610</v>
      </c>
      <c r="I46" s="22">
        <v>0</v>
      </c>
      <c r="J46" s="22">
        <f t="shared" si="3"/>
        <v>1525.369406466227</v>
      </c>
      <c r="K46" s="22">
        <f t="shared" si="9"/>
        <v>8965.3694064662268</v>
      </c>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row>
    <row r="47" spans="1:200" x14ac:dyDescent="0.2">
      <c r="A47" s="106">
        <f t="shared" si="4"/>
        <v>33</v>
      </c>
      <c r="B47" s="19">
        <f t="shared" si="5"/>
        <v>100000</v>
      </c>
      <c r="C47" s="106">
        <v>0</v>
      </c>
      <c r="D47" s="22">
        <f t="shared" si="6"/>
        <v>100000</v>
      </c>
      <c r="E47" s="22">
        <f t="shared" si="1"/>
        <v>0</v>
      </c>
      <c r="F47" s="22">
        <f t="shared" si="2"/>
        <v>0</v>
      </c>
      <c r="G47" s="22">
        <f t="shared" si="7"/>
        <v>2830</v>
      </c>
      <c r="H47" s="22">
        <f t="shared" si="8"/>
        <v>4610</v>
      </c>
      <c r="I47" s="22">
        <v>0</v>
      </c>
      <c r="J47" s="22">
        <f t="shared" si="3"/>
        <v>1525.369406466227</v>
      </c>
      <c r="K47" s="22">
        <f t="shared" si="9"/>
        <v>8965.3694064662268</v>
      </c>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row>
    <row r="48" spans="1:200" x14ac:dyDescent="0.2">
      <c r="A48" s="106">
        <f t="shared" si="4"/>
        <v>34</v>
      </c>
      <c r="B48" s="19">
        <f t="shared" si="5"/>
        <v>100000</v>
      </c>
      <c r="C48" s="106">
        <v>0</v>
      </c>
      <c r="D48" s="22">
        <f t="shared" si="6"/>
        <v>100000</v>
      </c>
      <c r="E48" s="22">
        <f t="shared" si="1"/>
        <v>0</v>
      </c>
      <c r="F48" s="22">
        <f t="shared" si="2"/>
        <v>0</v>
      </c>
      <c r="G48" s="22">
        <f t="shared" ref="G48:G64" si="10">L$4*D48</f>
        <v>2830</v>
      </c>
      <c r="H48" s="22">
        <f t="shared" ref="H48:H64" si="11">D48*(L$5+L$6)</f>
        <v>4610</v>
      </c>
      <c r="I48" s="22">
        <v>0</v>
      </c>
      <c r="J48" s="22">
        <f t="shared" si="3"/>
        <v>1525.369406466227</v>
      </c>
      <c r="K48" s="22">
        <f t="shared" si="9"/>
        <v>8965.3694064662268</v>
      </c>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row>
    <row r="49" spans="1:200" x14ac:dyDescent="0.2">
      <c r="A49" s="106">
        <f t="shared" si="4"/>
        <v>35</v>
      </c>
      <c r="B49" s="19">
        <f t="shared" si="5"/>
        <v>100000</v>
      </c>
      <c r="C49" s="106">
        <v>0</v>
      </c>
      <c r="D49" s="22">
        <f t="shared" si="6"/>
        <v>100000</v>
      </c>
      <c r="E49" s="22">
        <f t="shared" si="1"/>
        <v>0</v>
      </c>
      <c r="F49" s="22">
        <f t="shared" si="2"/>
        <v>0</v>
      </c>
      <c r="G49" s="22">
        <f t="shared" si="10"/>
        <v>2830</v>
      </c>
      <c r="H49" s="22">
        <f t="shared" si="11"/>
        <v>4610</v>
      </c>
      <c r="I49" s="22">
        <v>0</v>
      </c>
      <c r="J49" s="22">
        <f t="shared" si="3"/>
        <v>1525.369406466227</v>
      </c>
      <c r="K49" s="22">
        <f t="shared" si="9"/>
        <v>8965.3694064662268</v>
      </c>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row>
    <row r="50" spans="1:200" x14ac:dyDescent="0.2">
      <c r="A50" s="106">
        <f t="shared" si="4"/>
        <v>36</v>
      </c>
      <c r="B50" s="19">
        <f t="shared" si="5"/>
        <v>100000</v>
      </c>
      <c r="C50" s="106">
        <v>0</v>
      </c>
      <c r="D50" s="22">
        <f t="shared" si="6"/>
        <v>100000</v>
      </c>
      <c r="E50" s="22">
        <f t="shared" si="1"/>
        <v>0</v>
      </c>
      <c r="F50" s="22">
        <f t="shared" si="2"/>
        <v>0</v>
      </c>
      <c r="G50" s="22">
        <f t="shared" si="10"/>
        <v>2830</v>
      </c>
      <c r="H50" s="22">
        <f t="shared" si="11"/>
        <v>4610</v>
      </c>
      <c r="I50" s="22">
        <v>0</v>
      </c>
      <c r="J50" s="22">
        <f t="shared" si="3"/>
        <v>1525.369406466227</v>
      </c>
      <c r="K50" s="22">
        <f t="shared" si="9"/>
        <v>8965.3694064662268</v>
      </c>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row>
    <row r="51" spans="1:200" x14ac:dyDescent="0.2">
      <c r="A51" s="106">
        <f t="shared" si="4"/>
        <v>37</v>
      </c>
      <c r="B51" s="19">
        <f t="shared" si="5"/>
        <v>100000</v>
      </c>
      <c r="C51" s="106">
        <v>0</v>
      </c>
      <c r="D51" s="22">
        <f t="shared" si="6"/>
        <v>100000</v>
      </c>
      <c r="E51" s="22">
        <f t="shared" si="1"/>
        <v>0</v>
      </c>
      <c r="F51" s="22">
        <f t="shared" si="2"/>
        <v>0</v>
      </c>
      <c r="G51" s="22">
        <f t="shared" si="10"/>
        <v>2830</v>
      </c>
      <c r="H51" s="22">
        <f t="shared" si="11"/>
        <v>4610</v>
      </c>
      <c r="I51" s="22">
        <v>0</v>
      </c>
      <c r="J51" s="22">
        <f t="shared" si="3"/>
        <v>1525.369406466227</v>
      </c>
      <c r="K51" s="22">
        <f t="shared" si="9"/>
        <v>8965.3694064662268</v>
      </c>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row>
    <row r="52" spans="1:200" x14ac:dyDescent="0.2">
      <c r="A52" s="106">
        <f t="shared" si="4"/>
        <v>38</v>
      </c>
      <c r="B52" s="19">
        <f t="shared" si="5"/>
        <v>100000</v>
      </c>
      <c r="C52" s="106">
        <v>0</v>
      </c>
      <c r="D52" s="22">
        <f t="shared" si="6"/>
        <v>100000</v>
      </c>
      <c r="E52" s="22">
        <f t="shared" si="1"/>
        <v>0</v>
      </c>
      <c r="F52" s="22">
        <f t="shared" si="2"/>
        <v>0</v>
      </c>
      <c r="G52" s="22">
        <f t="shared" si="10"/>
        <v>2830</v>
      </c>
      <c r="H52" s="22">
        <f t="shared" si="11"/>
        <v>4610</v>
      </c>
      <c r="I52" s="22">
        <v>0</v>
      </c>
      <c r="J52" s="22">
        <f t="shared" si="3"/>
        <v>1525.369406466227</v>
      </c>
      <c r="K52" s="22">
        <f t="shared" si="9"/>
        <v>8965.3694064662268</v>
      </c>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row>
    <row r="53" spans="1:200" x14ac:dyDescent="0.2">
      <c r="A53" s="106">
        <f t="shared" si="4"/>
        <v>39</v>
      </c>
      <c r="B53" s="19">
        <f t="shared" si="5"/>
        <v>100000</v>
      </c>
      <c r="C53" s="106">
        <v>0</v>
      </c>
      <c r="D53" s="22">
        <f t="shared" si="6"/>
        <v>100000</v>
      </c>
      <c r="E53" s="22">
        <f t="shared" si="1"/>
        <v>0</v>
      </c>
      <c r="F53" s="22">
        <f t="shared" si="2"/>
        <v>0</v>
      </c>
      <c r="G53" s="22">
        <f t="shared" si="10"/>
        <v>2830</v>
      </c>
      <c r="H53" s="22">
        <f t="shared" si="11"/>
        <v>4610</v>
      </c>
      <c r="I53" s="22">
        <v>0</v>
      </c>
      <c r="J53" s="22">
        <f t="shared" si="3"/>
        <v>1525.369406466227</v>
      </c>
      <c r="K53" s="22">
        <f t="shared" si="9"/>
        <v>8965.3694064662268</v>
      </c>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row>
    <row r="54" spans="1:200" x14ac:dyDescent="0.2">
      <c r="A54" s="106">
        <f t="shared" si="4"/>
        <v>40</v>
      </c>
      <c r="B54" s="19">
        <f t="shared" ref="B54:B58" si="12">B53-I53</f>
        <v>100000</v>
      </c>
      <c r="C54" s="106">
        <v>0</v>
      </c>
      <c r="D54" s="22">
        <f t="shared" ref="D54:D58" si="13">D53-F53-I53</f>
        <v>100000</v>
      </c>
      <c r="E54" s="22">
        <f t="shared" si="1"/>
        <v>0</v>
      </c>
      <c r="F54" s="22">
        <f t="shared" si="2"/>
        <v>0</v>
      </c>
      <c r="G54" s="22">
        <f t="shared" si="10"/>
        <v>2830</v>
      </c>
      <c r="H54" s="22">
        <f t="shared" si="11"/>
        <v>4610</v>
      </c>
      <c r="I54" s="22">
        <v>0</v>
      </c>
      <c r="J54" s="22">
        <f t="shared" si="3"/>
        <v>1525.369406466227</v>
      </c>
      <c r="K54" s="22">
        <f t="shared" si="9"/>
        <v>8965.3694064662268</v>
      </c>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row>
    <row r="55" spans="1:200" x14ac:dyDescent="0.2">
      <c r="A55" s="106">
        <f t="shared" si="4"/>
        <v>41</v>
      </c>
      <c r="B55" s="19">
        <f t="shared" si="12"/>
        <v>100000</v>
      </c>
      <c r="C55" s="106">
        <v>0</v>
      </c>
      <c r="D55" s="22">
        <f t="shared" si="13"/>
        <v>100000</v>
      </c>
      <c r="E55" s="22">
        <f t="shared" si="1"/>
        <v>0</v>
      </c>
      <c r="F55" s="22">
        <f t="shared" si="2"/>
        <v>0</v>
      </c>
      <c r="G55" s="22">
        <f t="shared" si="10"/>
        <v>2830</v>
      </c>
      <c r="H55" s="22">
        <f t="shared" si="11"/>
        <v>4610</v>
      </c>
      <c r="I55" s="22">
        <v>0</v>
      </c>
      <c r="J55" s="22">
        <f t="shared" si="3"/>
        <v>1525.369406466227</v>
      </c>
      <c r="K55" s="22">
        <f t="shared" si="9"/>
        <v>8965.3694064662268</v>
      </c>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row>
    <row r="56" spans="1:200" x14ac:dyDescent="0.2">
      <c r="A56" s="106">
        <f t="shared" si="4"/>
        <v>42</v>
      </c>
      <c r="B56" s="19">
        <f t="shared" si="12"/>
        <v>100000</v>
      </c>
      <c r="C56" s="106">
        <v>0</v>
      </c>
      <c r="D56" s="22">
        <f t="shared" si="13"/>
        <v>100000</v>
      </c>
      <c r="E56" s="22">
        <f t="shared" si="1"/>
        <v>0</v>
      </c>
      <c r="F56" s="22">
        <f t="shared" si="2"/>
        <v>0</v>
      </c>
      <c r="G56" s="22">
        <f t="shared" si="10"/>
        <v>2830</v>
      </c>
      <c r="H56" s="22">
        <f t="shared" si="11"/>
        <v>4610</v>
      </c>
      <c r="I56" s="22">
        <v>0</v>
      </c>
      <c r="J56" s="22">
        <f t="shared" si="3"/>
        <v>1525.369406466227</v>
      </c>
      <c r="K56" s="22">
        <f t="shared" si="9"/>
        <v>8965.3694064662268</v>
      </c>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row>
    <row r="57" spans="1:200" x14ac:dyDescent="0.2">
      <c r="A57" s="106">
        <f t="shared" si="4"/>
        <v>43</v>
      </c>
      <c r="B57" s="19">
        <f t="shared" si="12"/>
        <v>100000</v>
      </c>
      <c r="C57" s="106">
        <v>0</v>
      </c>
      <c r="D57" s="22">
        <f t="shared" si="13"/>
        <v>100000</v>
      </c>
      <c r="E57" s="22">
        <f t="shared" si="1"/>
        <v>0</v>
      </c>
      <c r="F57" s="22">
        <f t="shared" si="2"/>
        <v>0</v>
      </c>
      <c r="G57" s="22">
        <f t="shared" si="10"/>
        <v>2830</v>
      </c>
      <c r="H57" s="22">
        <f t="shared" si="11"/>
        <v>4610</v>
      </c>
      <c r="I57" s="22">
        <v>0</v>
      </c>
      <c r="J57" s="22">
        <f t="shared" si="3"/>
        <v>1525.369406466227</v>
      </c>
      <c r="K57" s="22">
        <f t="shared" si="9"/>
        <v>8965.3694064662268</v>
      </c>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row>
    <row r="58" spans="1:200" x14ac:dyDescent="0.2">
      <c r="A58" s="106">
        <f t="shared" si="4"/>
        <v>44</v>
      </c>
      <c r="B58" s="19">
        <f t="shared" si="12"/>
        <v>100000</v>
      </c>
      <c r="C58" s="106">
        <v>0</v>
      </c>
      <c r="D58" s="22">
        <f t="shared" si="13"/>
        <v>100000</v>
      </c>
      <c r="E58" s="22">
        <f t="shared" si="1"/>
        <v>0</v>
      </c>
      <c r="F58" s="22">
        <f t="shared" si="2"/>
        <v>0</v>
      </c>
      <c r="G58" s="22">
        <f t="shared" si="10"/>
        <v>2830</v>
      </c>
      <c r="H58" s="22">
        <f t="shared" si="11"/>
        <v>4610</v>
      </c>
      <c r="I58" s="22">
        <v>0</v>
      </c>
      <c r="J58" s="22">
        <f t="shared" si="3"/>
        <v>1525.369406466227</v>
      </c>
      <c r="K58" s="22">
        <f t="shared" si="9"/>
        <v>8965.3694064662268</v>
      </c>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row>
    <row r="59" spans="1:200" x14ac:dyDescent="0.2">
      <c r="A59" s="106">
        <f t="shared" si="4"/>
        <v>45</v>
      </c>
      <c r="B59" s="19">
        <f t="shared" ref="B59:B63" si="14">B58-I58</f>
        <v>100000</v>
      </c>
      <c r="C59" s="106">
        <v>0</v>
      </c>
      <c r="D59" s="22">
        <f t="shared" ref="D59:D63" si="15">D58-F58-I58</f>
        <v>100000</v>
      </c>
      <c r="E59" s="22">
        <f t="shared" ref="E59:E63" si="16">E$11*C59</f>
        <v>0</v>
      </c>
      <c r="F59" s="22">
        <f t="shared" ref="F59:F63" si="17">$I$12*(E59-I59*E$11/E$10)</f>
        <v>0</v>
      </c>
      <c r="G59" s="22">
        <f t="shared" si="10"/>
        <v>2830</v>
      </c>
      <c r="H59" s="22">
        <f t="shared" si="11"/>
        <v>4610</v>
      </c>
      <c r="I59" s="22">
        <v>0</v>
      </c>
      <c r="J59" s="22">
        <f t="shared" ref="J59:J63" si="18">(I$11/(1-I$11))*(H59+I59-E59+F59)</f>
        <v>1525.369406466227</v>
      </c>
      <c r="K59" s="22">
        <f t="shared" ref="K59:K63" si="19">F59+G59+H59+I59+J59</f>
        <v>8965.3694064662268</v>
      </c>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row>
    <row r="60" spans="1:200" x14ac:dyDescent="0.2">
      <c r="A60" s="106">
        <f t="shared" si="4"/>
        <v>46</v>
      </c>
      <c r="B60" s="19">
        <f t="shared" si="14"/>
        <v>100000</v>
      </c>
      <c r="C60" s="106">
        <v>0</v>
      </c>
      <c r="D60" s="22">
        <f t="shared" si="15"/>
        <v>100000</v>
      </c>
      <c r="E60" s="22">
        <f t="shared" si="16"/>
        <v>0</v>
      </c>
      <c r="F60" s="22">
        <f t="shared" si="17"/>
        <v>0</v>
      </c>
      <c r="G60" s="22">
        <f t="shared" si="10"/>
        <v>2830</v>
      </c>
      <c r="H60" s="22">
        <f t="shared" si="11"/>
        <v>4610</v>
      </c>
      <c r="I60" s="22">
        <v>0</v>
      </c>
      <c r="J60" s="22">
        <f t="shared" si="18"/>
        <v>1525.369406466227</v>
      </c>
      <c r="K60" s="22">
        <f t="shared" si="19"/>
        <v>8965.3694064662268</v>
      </c>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row>
    <row r="61" spans="1:200" x14ac:dyDescent="0.2">
      <c r="A61" s="106">
        <f t="shared" si="4"/>
        <v>47</v>
      </c>
      <c r="B61" s="19">
        <f t="shared" si="14"/>
        <v>100000</v>
      </c>
      <c r="C61" s="106">
        <v>0</v>
      </c>
      <c r="D61" s="22">
        <f t="shared" si="15"/>
        <v>100000</v>
      </c>
      <c r="E61" s="22">
        <f t="shared" si="16"/>
        <v>0</v>
      </c>
      <c r="F61" s="22">
        <f t="shared" si="17"/>
        <v>0</v>
      </c>
      <c r="G61" s="22">
        <f t="shared" si="10"/>
        <v>2830</v>
      </c>
      <c r="H61" s="22">
        <f t="shared" si="11"/>
        <v>4610</v>
      </c>
      <c r="I61" s="22">
        <v>0</v>
      </c>
      <c r="J61" s="22">
        <f t="shared" si="18"/>
        <v>1525.369406466227</v>
      </c>
      <c r="K61" s="22">
        <f t="shared" si="19"/>
        <v>8965.3694064662268</v>
      </c>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row>
    <row r="62" spans="1:200" x14ac:dyDescent="0.2">
      <c r="A62" s="106">
        <f t="shared" si="4"/>
        <v>48</v>
      </c>
      <c r="B62" s="19">
        <f t="shared" si="14"/>
        <v>100000</v>
      </c>
      <c r="C62" s="106">
        <v>0</v>
      </c>
      <c r="D62" s="22">
        <f t="shared" si="15"/>
        <v>100000</v>
      </c>
      <c r="E62" s="22">
        <f t="shared" si="16"/>
        <v>0</v>
      </c>
      <c r="F62" s="22">
        <f t="shared" si="17"/>
        <v>0</v>
      </c>
      <c r="G62" s="22">
        <f t="shared" si="10"/>
        <v>2830</v>
      </c>
      <c r="H62" s="22">
        <f t="shared" si="11"/>
        <v>4610</v>
      </c>
      <c r="I62" s="22">
        <v>0</v>
      </c>
      <c r="J62" s="22">
        <f t="shared" si="18"/>
        <v>1525.369406466227</v>
      </c>
      <c r="K62" s="22">
        <f t="shared" si="19"/>
        <v>8965.3694064662268</v>
      </c>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row>
    <row r="63" spans="1:200" x14ac:dyDescent="0.2">
      <c r="A63" s="106">
        <f t="shared" si="4"/>
        <v>49</v>
      </c>
      <c r="B63" s="19">
        <f t="shared" si="14"/>
        <v>100000</v>
      </c>
      <c r="C63" s="106">
        <v>0</v>
      </c>
      <c r="D63" s="22">
        <f t="shared" si="15"/>
        <v>100000</v>
      </c>
      <c r="E63" s="22">
        <f t="shared" si="16"/>
        <v>0</v>
      </c>
      <c r="F63" s="22">
        <f t="shared" si="17"/>
        <v>0</v>
      </c>
      <c r="G63" s="22">
        <f t="shared" si="10"/>
        <v>2830</v>
      </c>
      <c r="H63" s="22">
        <f t="shared" si="11"/>
        <v>4610</v>
      </c>
      <c r="I63" s="22">
        <v>0</v>
      </c>
      <c r="J63" s="22">
        <f t="shared" si="18"/>
        <v>1525.369406466227</v>
      </c>
      <c r="K63" s="22">
        <f t="shared" si="19"/>
        <v>8965.3694064662268</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row>
    <row r="64" spans="1:200" x14ac:dyDescent="0.2">
      <c r="A64" s="106">
        <f t="shared" si="4"/>
        <v>50</v>
      </c>
      <c r="B64" s="19">
        <f t="shared" ref="B64" si="20">B63-I63</f>
        <v>100000</v>
      </c>
      <c r="C64" s="106">
        <v>0</v>
      </c>
      <c r="D64" s="22">
        <f t="shared" ref="D64" si="21">D63-F63-I63</f>
        <v>100000</v>
      </c>
      <c r="E64" s="22">
        <f t="shared" ref="E64" si="22">E$11*C64</f>
        <v>0</v>
      </c>
      <c r="F64" s="22">
        <f t="shared" ref="F64" si="23">$I$12*(E64-I64*E$11/E$10)</f>
        <v>0</v>
      </c>
      <c r="G64" s="22">
        <f t="shared" si="10"/>
        <v>2830</v>
      </c>
      <c r="H64" s="22">
        <f t="shared" si="11"/>
        <v>4610</v>
      </c>
      <c r="I64" s="22">
        <v>0</v>
      </c>
      <c r="J64" s="22">
        <f t="shared" ref="J64" si="24">(I$11/(1-I$11))*(H64+I64-E64+F64)</f>
        <v>1525.369406466227</v>
      </c>
      <c r="K64" s="22">
        <f t="shared" ref="K64" si="25">F64+G64+H64+I64+J64</f>
        <v>8965.3694064662268</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row>
    <row r="65" spans="1:200" x14ac:dyDescent="0.2">
      <c r="A65" s="106" t="s">
        <v>14</v>
      </c>
      <c r="B65" s="19"/>
      <c r="C65" s="24" t="s">
        <v>14</v>
      </c>
      <c r="D65" s="22" t="s">
        <v>14</v>
      </c>
      <c r="E65" s="22" t="s">
        <v>14</v>
      </c>
      <c r="F65" s="22" t="s">
        <v>14</v>
      </c>
      <c r="G65" s="22" t="s">
        <v>14</v>
      </c>
      <c r="H65" s="22" t="s">
        <v>14</v>
      </c>
      <c r="I65" s="22" t="s">
        <v>14</v>
      </c>
      <c r="J65" s="22" t="s">
        <v>14</v>
      </c>
      <c r="K65" s="22" t="s">
        <v>14</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23"/>
      <c r="GQ65" s="23"/>
      <c r="GR65" s="23"/>
    </row>
    <row r="66" spans="1:200" x14ac:dyDescent="0.2">
      <c r="A66" s="106" t="s">
        <v>13</v>
      </c>
      <c r="B66" s="19"/>
      <c r="C66" s="24">
        <f>SUM(C15:C64)</f>
        <v>0</v>
      </c>
      <c r="D66" s="22" t="s">
        <v>12</v>
      </c>
      <c r="E66" s="22">
        <f t="shared" ref="E66:K66" si="26">SUM(E15:E64)</f>
        <v>0</v>
      </c>
      <c r="F66" s="22">
        <f t="shared" si="26"/>
        <v>0</v>
      </c>
      <c r="G66" s="22">
        <f t="shared" si="26"/>
        <v>141500</v>
      </c>
      <c r="H66" s="22">
        <f t="shared" si="26"/>
        <v>230500</v>
      </c>
      <c r="I66" s="22">
        <f t="shared" si="26"/>
        <v>0</v>
      </c>
      <c r="J66" s="22">
        <f t="shared" si="26"/>
        <v>76268.470323311354</v>
      </c>
      <c r="K66" s="22">
        <f t="shared" si="26"/>
        <v>448268.47032331186</v>
      </c>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23"/>
      <c r="GQ66" s="23"/>
      <c r="GR66" s="23"/>
    </row>
    <row r="67" spans="1:200" x14ac:dyDescent="0.2">
      <c r="B67" s="19"/>
      <c r="C67" s="24"/>
      <c r="D67" s="25"/>
      <c r="E67" s="25"/>
      <c r="F67" s="22"/>
      <c r="G67" s="22"/>
      <c r="H67" s="22"/>
      <c r="I67" s="22"/>
      <c r="J67" s="22"/>
      <c r="K67" s="22"/>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row>
    <row r="68" spans="1:200" x14ac:dyDescent="0.2">
      <c r="B68" s="19"/>
      <c r="C68" s="125" t="s">
        <v>11</v>
      </c>
      <c r="D68" s="125"/>
      <c r="E68" s="22">
        <f t="shared" ref="E68:K68" si="27">NPV($L8,E15:E64)</f>
        <v>0</v>
      </c>
      <c r="F68" s="22">
        <f t="shared" si="27"/>
        <v>0</v>
      </c>
      <c r="G68" s="22">
        <f t="shared" si="27"/>
        <v>36985.881995921474</v>
      </c>
      <c r="H68" s="22">
        <f t="shared" si="27"/>
        <v>60249.086926218348</v>
      </c>
      <c r="I68" s="22">
        <f t="shared" si="27"/>
        <v>0</v>
      </c>
      <c r="J68" s="22">
        <f t="shared" si="27"/>
        <v>19935.382638780444</v>
      </c>
      <c r="K68" s="22">
        <f t="shared" si="27"/>
        <v>117170.35156092024</v>
      </c>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row>
    <row r="69" spans="1:200" x14ac:dyDescent="0.2">
      <c r="B69" s="106"/>
      <c r="C69" s="106"/>
      <c r="D69" s="22"/>
      <c r="E69" s="22"/>
      <c r="F69" s="22"/>
      <c r="G69" s="22"/>
      <c r="H69" s="22"/>
      <c r="I69" s="22"/>
      <c r="J69" s="22"/>
      <c r="K69" s="22"/>
      <c r="L69" s="22"/>
      <c r="M69" s="22"/>
      <c r="N69" s="22"/>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row>
    <row r="70" spans="1:200" x14ac:dyDescent="0.2">
      <c r="B70" s="66"/>
      <c r="C70" s="24"/>
      <c r="D70" s="25"/>
      <c r="E70" s="25"/>
      <c r="F70" s="25"/>
      <c r="G70" s="25"/>
      <c r="H70" s="25"/>
      <c r="I70" s="25"/>
      <c r="J70" s="25"/>
      <c r="K70" s="25"/>
      <c r="L70" s="25"/>
      <c r="M70" s="25"/>
      <c r="N70" s="25"/>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row>
    <row r="71" spans="1:200" x14ac:dyDescent="0.2">
      <c r="B71" s="66"/>
      <c r="C71" s="66"/>
      <c r="D71" s="25"/>
      <c r="E71" s="25"/>
      <c r="F71" s="25"/>
      <c r="G71" s="25"/>
      <c r="H71" s="25"/>
      <c r="I71" s="25"/>
      <c r="J71" s="25"/>
      <c r="K71" s="25"/>
      <c r="L71" s="25"/>
      <c r="M71" s="25"/>
      <c r="N71" s="25"/>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row>
    <row r="72" spans="1:200" x14ac:dyDescent="0.2">
      <c r="B72" s="66"/>
      <c r="C72" s="66"/>
      <c r="D72" s="25"/>
      <c r="E72" s="25"/>
      <c r="F72" s="25"/>
      <c r="G72" s="25"/>
      <c r="H72" s="25"/>
      <c r="I72" s="25"/>
      <c r="J72" s="25"/>
      <c r="K72" s="25"/>
      <c r="L72" s="25"/>
      <c r="M72" s="25"/>
      <c r="N72" s="25"/>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row>
    <row r="73" spans="1:200" x14ac:dyDescent="0.2">
      <c r="B73" s="106"/>
      <c r="C73" s="66"/>
      <c r="D73" s="25"/>
      <c r="E73" s="25"/>
      <c r="F73" s="25"/>
      <c r="G73" s="25"/>
      <c r="H73" s="25"/>
      <c r="I73" s="25"/>
      <c r="J73" s="25"/>
      <c r="K73" s="25"/>
      <c r="L73" s="25"/>
      <c r="M73" s="25"/>
      <c r="N73" s="25"/>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row>
    <row r="74" spans="1:200" x14ac:dyDescent="0.2">
      <c r="B74" s="66"/>
      <c r="C74" s="66"/>
      <c r="D74" s="25"/>
      <c r="E74" s="25"/>
      <c r="F74" s="25"/>
      <c r="G74" s="25"/>
      <c r="H74" s="25"/>
      <c r="I74" s="25"/>
      <c r="J74" s="25"/>
      <c r="K74" s="25"/>
      <c r="L74" s="25"/>
      <c r="M74" s="25"/>
      <c r="N74" s="25"/>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row>
    <row r="75" spans="1:200" x14ac:dyDescent="0.2">
      <c r="B75" s="66"/>
      <c r="C75" s="66"/>
      <c r="D75" s="25"/>
      <c r="E75" s="25"/>
      <c r="F75" s="25"/>
      <c r="G75" s="25"/>
      <c r="H75" s="25"/>
      <c r="I75" s="25"/>
      <c r="J75" s="25"/>
      <c r="K75" s="25"/>
      <c r="L75" s="25"/>
      <c r="M75" s="25"/>
      <c r="N75" s="25"/>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row>
    <row r="76" spans="1:200" x14ac:dyDescent="0.2">
      <c r="B76" s="66"/>
      <c r="C76" s="66"/>
      <c r="D76" s="25"/>
      <c r="E76" s="25"/>
      <c r="F76" s="25"/>
      <c r="G76" s="25"/>
      <c r="H76" s="25"/>
      <c r="I76" s="25"/>
      <c r="J76" s="25"/>
      <c r="K76" s="25"/>
      <c r="L76" s="25"/>
      <c r="M76" s="25"/>
      <c r="N76" s="25"/>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row>
    <row r="77" spans="1:200" x14ac:dyDescent="0.2">
      <c r="B77" s="66"/>
      <c r="C77" s="66"/>
      <c r="D77" s="25"/>
      <c r="E77" s="25"/>
      <c r="F77" s="25"/>
      <c r="G77" s="25"/>
      <c r="H77" s="25"/>
      <c r="I77" s="25"/>
      <c r="J77" s="25"/>
      <c r="K77" s="25"/>
      <c r="L77" s="25"/>
      <c r="M77" s="25"/>
      <c r="N77" s="25"/>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row>
    <row r="78" spans="1:200" x14ac:dyDescent="0.2">
      <c r="B78" s="66"/>
      <c r="C78" s="66"/>
      <c r="D78" s="25"/>
      <c r="E78" s="25"/>
      <c r="F78" s="25"/>
      <c r="G78" s="25"/>
      <c r="H78" s="25"/>
      <c r="I78" s="25"/>
      <c r="J78" s="25"/>
      <c r="K78" s="25"/>
      <c r="L78" s="25"/>
      <c r="M78" s="25"/>
      <c r="N78" s="25"/>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23"/>
      <c r="GQ78" s="23"/>
      <c r="GR78" s="23"/>
    </row>
    <row r="79" spans="1:200" x14ac:dyDescent="0.2">
      <c r="B79" s="66"/>
      <c r="C79" s="66"/>
      <c r="D79" s="25"/>
      <c r="E79" s="25"/>
      <c r="F79" s="25"/>
      <c r="G79" s="25"/>
      <c r="H79" s="25"/>
      <c r="I79" s="25"/>
      <c r="J79" s="25"/>
      <c r="K79" s="25"/>
      <c r="L79" s="25"/>
      <c r="M79" s="25"/>
      <c r="N79" s="25"/>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23"/>
      <c r="GQ79" s="23"/>
      <c r="GR79" s="23"/>
    </row>
    <row r="80" spans="1:200" x14ac:dyDescent="0.2">
      <c r="B80" s="66"/>
      <c r="C80" s="66"/>
      <c r="D80" s="25"/>
      <c r="E80" s="25"/>
      <c r="F80" s="25"/>
      <c r="G80" s="25"/>
      <c r="H80" s="25"/>
      <c r="I80" s="25"/>
      <c r="J80" s="25"/>
      <c r="K80" s="25"/>
      <c r="L80" s="25"/>
      <c r="M80" s="25"/>
      <c r="N80" s="25"/>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row>
    <row r="81" spans="2:200" x14ac:dyDescent="0.2">
      <c r="B81" s="66"/>
      <c r="C81" s="66"/>
      <c r="D81" s="25"/>
      <c r="E81" s="25"/>
      <c r="F81" s="25"/>
      <c r="G81" s="25"/>
      <c r="H81" s="25"/>
      <c r="I81" s="25"/>
      <c r="J81" s="25"/>
      <c r="K81" s="25"/>
      <c r="L81" s="25"/>
      <c r="M81" s="25"/>
      <c r="N81" s="25"/>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row>
    <row r="82" spans="2:200" x14ac:dyDescent="0.2">
      <c r="B82" s="66"/>
      <c r="C82" s="66"/>
      <c r="D82" s="25"/>
      <c r="E82" s="25"/>
      <c r="F82" s="25"/>
      <c r="G82" s="25"/>
      <c r="H82" s="25"/>
      <c r="I82" s="25"/>
      <c r="J82" s="25"/>
      <c r="K82" s="25"/>
      <c r="L82" s="25"/>
      <c r="M82" s="25"/>
      <c r="N82" s="25"/>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row>
    <row r="83" spans="2:200" x14ac:dyDescent="0.2">
      <c r="B83" s="66"/>
      <c r="C83" s="66"/>
      <c r="D83" s="25"/>
      <c r="E83" s="25"/>
      <c r="F83" s="25"/>
      <c r="G83" s="25"/>
      <c r="H83" s="25"/>
      <c r="I83" s="25"/>
      <c r="J83" s="25"/>
      <c r="K83" s="25"/>
      <c r="L83" s="25"/>
      <c r="M83" s="25"/>
      <c r="N83" s="25"/>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row>
    <row r="84" spans="2:200" x14ac:dyDescent="0.2">
      <c r="B84" s="66"/>
      <c r="C84" s="66"/>
      <c r="D84" s="25"/>
      <c r="E84" s="25"/>
      <c r="F84" s="25"/>
      <c r="G84" s="25"/>
      <c r="H84" s="25"/>
      <c r="I84" s="25"/>
      <c r="J84" s="25"/>
      <c r="K84" s="25"/>
      <c r="L84" s="25"/>
      <c r="M84" s="25"/>
      <c r="N84" s="25"/>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row>
    <row r="85" spans="2:200" x14ac:dyDescent="0.2">
      <c r="B85" s="66"/>
      <c r="C85" s="66"/>
      <c r="D85" s="25"/>
      <c r="E85" s="25"/>
      <c r="F85" s="25"/>
      <c r="G85" s="25"/>
      <c r="H85" s="25"/>
      <c r="I85" s="25"/>
      <c r="J85" s="25"/>
      <c r="K85" s="25"/>
      <c r="L85" s="25"/>
      <c r="M85" s="25"/>
      <c r="N85" s="25"/>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row>
    <row r="86" spans="2:200" x14ac:dyDescent="0.2">
      <c r="B86" s="66"/>
      <c r="C86" s="66"/>
      <c r="D86" s="25"/>
      <c r="E86" s="25"/>
      <c r="F86" s="25"/>
      <c r="G86" s="25"/>
      <c r="H86" s="25"/>
      <c r="I86" s="25"/>
      <c r="J86" s="25"/>
      <c r="K86" s="25"/>
      <c r="L86" s="25"/>
      <c r="M86" s="25"/>
      <c r="N86" s="25"/>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c r="GH86" s="23"/>
      <c r="GI86" s="23"/>
      <c r="GJ86" s="23"/>
      <c r="GK86" s="23"/>
      <c r="GL86" s="23"/>
      <c r="GM86" s="23"/>
      <c r="GN86" s="23"/>
      <c r="GO86" s="23"/>
      <c r="GP86" s="23"/>
      <c r="GQ86" s="23"/>
      <c r="GR86" s="23"/>
    </row>
    <row r="87" spans="2:200" x14ac:dyDescent="0.2">
      <c r="B87" s="66"/>
      <c r="C87" s="66"/>
      <c r="D87" s="25"/>
      <c r="E87" s="25"/>
      <c r="F87" s="25"/>
      <c r="G87" s="25"/>
      <c r="H87" s="25"/>
      <c r="I87" s="25"/>
      <c r="J87" s="25"/>
      <c r="K87" s="25"/>
      <c r="L87" s="25"/>
      <c r="M87" s="25"/>
      <c r="N87" s="25"/>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c r="GH87" s="23"/>
      <c r="GI87" s="23"/>
      <c r="GJ87" s="23"/>
      <c r="GK87" s="23"/>
      <c r="GL87" s="23"/>
      <c r="GM87" s="23"/>
      <c r="GN87" s="23"/>
      <c r="GO87" s="23"/>
      <c r="GP87" s="23"/>
      <c r="GQ87" s="23"/>
      <c r="GR87" s="23"/>
    </row>
    <row r="88" spans="2:200" x14ac:dyDescent="0.2">
      <c r="B88" s="66"/>
      <c r="C88" s="66"/>
      <c r="D88" s="25"/>
      <c r="E88" s="25"/>
      <c r="F88" s="25"/>
      <c r="G88" s="25"/>
      <c r="H88" s="25"/>
      <c r="I88" s="25"/>
      <c r="J88" s="25"/>
      <c r="K88" s="25"/>
      <c r="L88" s="25"/>
      <c r="M88" s="25"/>
      <c r="N88" s="25"/>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c r="FE88" s="23"/>
      <c r="FF88" s="23"/>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c r="GE88" s="23"/>
      <c r="GF88" s="23"/>
      <c r="GG88" s="23"/>
      <c r="GH88" s="23"/>
      <c r="GI88" s="23"/>
      <c r="GJ88" s="23"/>
      <c r="GK88" s="23"/>
      <c r="GL88" s="23"/>
      <c r="GM88" s="23"/>
      <c r="GN88" s="23"/>
      <c r="GO88" s="23"/>
      <c r="GP88" s="23"/>
      <c r="GQ88" s="23"/>
      <c r="GR88" s="23"/>
    </row>
    <row r="89" spans="2:200" x14ac:dyDescent="0.2">
      <c r="B89" s="66"/>
      <c r="C89" s="66"/>
      <c r="D89" s="25"/>
      <c r="E89" s="25"/>
      <c r="F89" s="25"/>
      <c r="G89" s="25"/>
      <c r="H89" s="25"/>
      <c r="I89" s="25"/>
      <c r="J89" s="25"/>
      <c r="K89" s="25"/>
      <c r="L89" s="25"/>
      <c r="M89" s="25"/>
      <c r="N89" s="25"/>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23"/>
      <c r="DY89" s="23"/>
      <c r="DZ89" s="23"/>
      <c r="EA89" s="23"/>
      <c r="EB89" s="23"/>
      <c r="EC89" s="23"/>
      <c r="ED89" s="23"/>
      <c r="EE89" s="23"/>
      <c r="EF89" s="23"/>
      <c r="EG89" s="23"/>
      <c r="EH89" s="23"/>
      <c r="EI89" s="23"/>
      <c r="EJ89" s="23"/>
      <c r="EK89" s="23"/>
      <c r="EL89" s="23"/>
      <c r="EM89" s="23"/>
      <c r="EN89" s="23"/>
      <c r="EO89" s="23"/>
      <c r="EP89" s="23"/>
      <c r="EQ89" s="23"/>
      <c r="ER89" s="23"/>
      <c r="ES89" s="23"/>
      <c r="ET89" s="23"/>
      <c r="EU89" s="23"/>
      <c r="EV89" s="23"/>
      <c r="EW89" s="23"/>
      <c r="EX89" s="23"/>
      <c r="EY89" s="23"/>
      <c r="EZ89" s="23"/>
      <c r="FA89" s="23"/>
      <c r="FB89" s="23"/>
      <c r="FC89" s="23"/>
      <c r="FD89" s="23"/>
      <c r="FE89" s="23"/>
      <c r="FF89" s="23"/>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c r="GE89" s="23"/>
      <c r="GF89" s="23"/>
      <c r="GG89" s="23"/>
      <c r="GH89" s="23"/>
      <c r="GI89" s="23"/>
      <c r="GJ89" s="23"/>
      <c r="GK89" s="23"/>
      <c r="GL89" s="23"/>
      <c r="GM89" s="23"/>
      <c r="GN89" s="23"/>
      <c r="GO89" s="23"/>
      <c r="GP89" s="23"/>
      <c r="GQ89" s="23"/>
      <c r="GR89" s="23"/>
    </row>
    <row r="90" spans="2:200" x14ac:dyDescent="0.2">
      <c r="B90" s="66"/>
      <c r="C90" s="66"/>
      <c r="D90" s="25"/>
      <c r="E90" s="25"/>
      <c r="F90" s="25"/>
      <c r="G90" s="25"/>
      <c r="H90" s="25"/>
      <c r="I90" s="25"/>
      <c r="J90" s="25"/>
      <c r="K90" s="25"/>
      <c r="L90" s="25"/>
      <c r="M90" s="25"/>
      <c r="N90" s="25"/>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3"/>
      <c r="GP90" s="23"/>
      <c r="GQ90" s="23"/>
      <c r="GR90" s="23"/>
    </row>
    <row r="91" spans="2:200" x14ac:dyDescent="0.2">
      <c r="B91" s="66"/>
      <c r="C91" s="66"/>
      <c r="D91" s="25"/>
      <c r="E91" s="25"/>
      <c r="F91" s="25"/>
      <c r="G91" s="25"/>
      <c r="H91" s="25"/>
      <c r="I91" s="25"/>
      <c r="J91" s="25"/>
      <c r="K91" s="25"/>
      <c r="L91" s="25"/>
      <c r="M91" s="25"/>
      <c r="N91" s="25"/>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row>
    <row r="92" spans="2:200" x14ac:dyDescent="0.2">
      <c r="B92" s="66"/>
      <c r="C92" s="66"/>
      <c r="D92" s="25"/>
      <c r="E92" s="25"/>
      <c r="F92" s="25"/>
      <c r="G92" s="25"/>
      <c r="H92" s="25"/>
      <c r="I92" s="25"/>
      <c r="J92" s="25"/>
      <c r="K92" s="25"/>
      <c r="L92" s="25"/>
      <c r="M92" s="25"/>
      <c r="N92" s="25"/>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row>
    <row r="93" spans="2:200" x14ac:dyDescent="0.2">
      <c r="B93" s="66"/>
      <c r="C93" s="66"/>
      <c r="D93" s="25"/>
      <c r="E93" s="25"/>
      <c r="F93" s="25"/>
      <c r="G93" s="25"/>
      <c r="H93" s="25"/>
      <c r="I93" s="25"/>
      <c r="J93" s="25"/>
      <c r="K93" s="25"/>
      <c r="L93" s="25"/>
      <c r="M93" s="25"/>
      <c r="N93" s="25"/>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row>
    <row r="94" spans="2:200" x14ac:dyDescent="0.2">
      <c r="B94" s="66"/>
      <c r="C94" s="66"/>
      <c r="D94" s="25"/>
      <c r="E94" s="25"/>
      <c r="F94" s="25"/>
      <c r="G94" s="25"/>
      <c r="H94" s="25"/>
      <c r="I94" s="25"/>
      <c r="J94" s="25"/>
      <c r="K94" s="25"/>
      <c r="L94" s="25"/>
      <c r="M94" s="25"/>
      <c r="N94" s="25"/>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row>
    <row r="95" spans="2:200" x14ac:dyDescent="0.2">
      <c r="B95" s="66"/>
      <c r="C95" s="66"/>
      <c r="D95" s="25"/>
      <c r="E95" s="25"/>
      <c r="F95" s="25"/>
      <c r="G95" s="25"/>
      <c r="H95" s="25"/>
      <c r="I95" s="25"/>
      <c r="J95" s="25"/>
      <c r="K95" s="25"/>
      <c r="L95" s="25"/>
      <c r="M95" s="25"/>
      <c r="N95" s="25"/>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3"/>
      <c r="GP95" s="23"/>
      <c r="GQ95" s="23"/>
      <c r="GR95" s="23"/>
    </row>
    <row r="96" spans="2:200" x14ac:dyDescent="0.2">
      <c r="B96" s="66"/>
      <c r="C96" s="66"/>
      <c r="D96" s="25"/>
      <c r="E96" s="25"/>
      <c r="F96" s="25"/>
      <c r="G96" s="25"/>
      <c r="H96" s="25"/>
      <c r="I96" s="25"/>
      <c r="J96" s="25"/>
      <c r="K96" s="25"/>
      <c r="L96" s="25"/>
      <c r="M96" s="25"/>
      <c r="N96" s="25"/>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3"/>
      <c r="GP96" s="23"/>
      <c r="GQ96" s="23"/>
      <c r="GR96" s="23"/>
    </row>
    <row r="97" spans="2:200" x14ac:dyDescent="0.2">
      <c r="B97" s="66"/>
      <c r="C97" s="66"/>
      <c r="D97" s="25"/>
      <c r="E97" s="25"/>
      <c r="F97" s="25"/>
      <c r="G97" s="25"/>
      <c r="H97" s="25"/>
      <c r="I97" s="25"/>
      <c r="J97" s="25"/>
      <c r="K97" s="25"/>
      <c r="L97" s="25"/>
      <c r="M97" s="25"/>
      <c r="N97" s="25"/>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
      <c r="GO97" s="23"/>
      <c r="GP97" s="23"/>
      <c r="GQ97" s="23"/>
      <c r="GR97" s="23"/>
    </row>
    <row r="98" spans="2:200" x14ac:dyDescent="0.2">
      <c r="B98" s="66"/>
      <c r="C98" s="66"/>
      <c r="D98" s="25"/>
      <c r="E98" s="25"/>
      <c r="F98" s="25"/>
      <c r="G98" s="25"/>
      <c r="H98" s="25"/>
      <c r="I98" s="25"/>
      <c r="J98" s="25"/>
      <c r="K98" s="25"/>
      <c r="L98" s="25"/>
      <c r="M98" s="25"/>
      <c r="N98" s="25"/>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23"/>
      <c r="GO98" s="23"/>
      <c r="GP98" s="23"/>
      <c r="GQ98" s="23"/>
      <c r="GR98" s="23"/>
    </row>
    <row r="99" spans="2:200" x14ac:dyDescent="0.2">
      <c r="B99" s="66"/>
      <c r="C99" s="66"/>
      <c r="D99" s="25"/>
      <c r="E99" s="25"/>
      <c r="F99" s="25"/>
      <c r="G99" s="25"/>
      <c r="H99" s="25"/>
      <c r="I99" s="25"/>
      <c r="J99" s="25"/>
      <c r="K99" s="25"/>
      <c r="L99" s="25"/>
      <c r="M99" s="25"/>
      <c r="N99" s="25"/>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row>
    <row r="100" spans="2:200" x14ac:dyDescent="0.2">
      <c r="B100" s="66"/>
      <c r="C100" s="66"/>
      <c r="D100" s="25"/>
      <c r="E100" s="25"/>
      <c r="F100" s="25"/>
      <c r="G100" s="25"/>
      <c r="H100" s="25"/>
      <c r="I100" s="25"/>
      <c r="J100" s="25"/>
      <c r="K100" s="25"/>
      <c r="L100" s="25"/>
      <c r="M100" s="25"/>
      <c r="N100" s="25"/>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row>
    <row r="101" spans="2:200" x14ac:dyDescent="0.2">
      <c r="B101" s="66"/>
      <c r="C101" s="66"/>
      <c r="D101" s="25"/>
      <c r="E101" s="25"/>
      <c r="F101" s="25"/>
      <c r="G101" s="25"/>
      <c r="H101" s="25"/>
      <c r="I101" s="25"/>
      <c r="J101" s="25"/>
      <c r="K101" s="25"/>
      <c r="L101" s="25"/>
      <c r="M101" s="25"/>
      <c r="N101" s="25"/>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row>
    <row r="102" spans="2:200" x14ac:dyDescent="0.2">
      <c r="B102" s="66"/>
      <c r="C102" s="66"/>
      <c r="D102" s="25"/>
      <c r="E102" s="25"/>
      <c r="F102" s="25"/>
      <c r="G102" s="25"/>
      <c r="H102" s="25"/>
      <c r="I102" s="25"/>
      <c r="J102" s="25"/>
      <c r="K102" s="25"/>
      <c r="L102" s="25"/>
      <c r="M102" s="25"/>
      <c r="N102" s="25"/>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row>
    <row r="103" spans="2:200" x14ac:dyDescent="0.2">
      <c r="B103" s="66"/>
      <c r="C103" s="66"/>
      <c r="D103" s="25"/>
      <c r="E103" s="25"/>
      <c r="F103" s="25"/>
      <c r="G103" s="25"/>
      <c r="H103" s="25"/>
      <c r="I103" s="25"/>
      <c r="J103" s="25"/>
      <c r="K103" s="25"/>
      <c r="L103" s="25"/>
      <c r="M103" s="25"/>
      <c r="N103" s="25"/>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row>
    <row r="104" spans="2:200" x14ac:dyDescent="0.2">
      <c r="B104" s="66"/>
      <c r="C104" s="66"/>
      <c r="D104" s="25"/>
      <c r="E104" s="25"/>
      <c r="F104" s="25"/>
      <c r="G104" s="25"/>
      <c r="H104" s="25"/>
      <c r="I104" s="25"/>
      <c r="J104" s="25"/>
      <c r="K104" s="25"/>
      <c r="L104" s="25"/>
      <c r="M104" s="25"/>
      <c r="N104" s="25"/>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row>
    <row r="105" spans="2:200" x14ac:dyDescent="0.2">
      <c r="B105" s="66"/>
      <c r="C105" s="66"/>
      <c r="D105" s="25"/>
      <c r="E105" s="25"/>
      <c r="F105" s="25"/>
      <c r="G105" s="25"/>
      <c r="H105" s="25"/>
      <c r="I105" s="25"/>
      <c r="J105" s="25"/>
      <c r="K105" s="25"/>
      <c r="L105" s="25"/>
      <c r="M105" s="25"/>
      <c r="N105" s="25"/>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row>
    <row r="106" spans="2:200" x14ac:dyDescent="0.2">
      <c r="B106" s="66"/>
      <c r="C106" s="66"/>
      <c r="D106" s="25"/>
      <c r="E106" s="25"/>
      <c r="F106" s="25"/>
      <c r="G106" s="25"/>
      <c r="H106" s="25"/>
      <c r="I106" s="25"/>
      <c r="J106" s="25"/>
      <c r="K106" s="25"/>
      <c r="L106" s="25"/>
      <c r="M106" s="25"/>
      <c r="N106" s="25"/>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row>
    <row r="107" spans="2:200" x14ac:dyDescent="0.2">
      <c r="B107" s="66"/>
      <c r="C107" s="66"/>
      <c r="D107" s="25"/>
      <c r="E107" s="25"/>
      <c r="F107" s="25"/>
      <c r="G107" s="25"/>
      <c r="H107" s="25"/>
      <c r="I107" s="25"/>
      <c r="J107" s="25"/>
      <c r="K107" s="25"/>
      <c r="L107" s="25"/>
      <c r="M107" s="25"/>
      <c r="N107" s="25"/>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row>
    <row r="108" spans="2:200" x14ac:dyDescent="0.2">
      <c r="B108" s="66"/>
      <c r="C108" s="66"/>
      <c r="D108" s="25"/>
      <c r="E108" s="25"/>
      <c r="F108" s="25"/>
      <c r="G108" s="25"/>
      <c r="H108" s="25"/>
      <c r="I108" s="25"/>
      <c r="J108" s="25"/>
      <c r="K108" s="25"/>
      <c r="L108" s="25"/>
      <c r="M108" s="25"/>
      <c r="N108" s="25"/>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row>
    <row r="109" spans="2:200" x14ac:dyDescent="0.2">
      <c r="B109" s="66"/>
      <c r="C109" s="66"/>
      <c r="D109" s="25"/>
      <c r="E109" s="25"/>
      <c r="F109" s="25"/>
      <c r="G109" s="25"/>
      <c r="H109" s="25"/>
      <c r="I109" s="25"/>
      <c r="J109" s="25"/>
      <c r="K109" s="25"/>
      <c r="L109" s="25"/>
      <c r="M109" s="25"/>
      <c r="N109" s="25"/>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row>
    <row r="110" spans="2:200" x14ac:dyDescent="0.2">
      <c r="B110" s="66"/>
      <c r="C110" s="66"/>
      <c r="D110" s="25"/>
      <c r="E110" s="25"/>
      <c r="F110" s="25"/>
      <c r="G110" s="25"/>
      <c r="H110" s="25"/>
      <c r="I110" s="25"/>
      <c r="J110" s="25"/>
      <c r="K110" s="25"/>
      <c r="L110" s="25"/>
      <c r="M110" s="25"/>
      <c r="N110" s="25"/>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row>
    <row r="111" spans="2:200" x14ac:dyDescent="0.2">
      <c r="B111" s="66"/>
      <c r="C111" s="66"/>
      <c r="D111" s="25"/>
      <c r="E111" s="25"/>
      <c r="F111" s="25"/>
      <c r="G111" s="25"/>
      <c r="H111" s="25"/>
      <c r="I111" s="25"/>
      <c r="J111" s="25"/>
      <c r="K111" s="25"/>
      <c r="L111" s="25"/>
      <c r="M111" s="25"/>
      <c r="N111" s="25"/>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row>
    <row r="112" spans="2:200" x14ac:dyDescent="0.2">
      <c r="B112" s="66"/>
      <c r="C112" s="66"/>
      <c r="D112" s="25"/>
      <c r="E112" s="25"/>
      <c r="F112" s="25"/>
      <c r="G112" s="25"/>
      <c r="H112" s="25"/>
      <c r="I112" s="25"/>
      <c r="J112" s="25"/>
      <c r="K112" s="25"/>
      <c r="L112" s="25"/>
      <c r="M112" s="25"/>
      <c r="N112" s="25"/>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row>
    <row r="113" spans="2:200" x14ac:dyDescent="0.2">
      <c r="B113" s="66"/>
      <c r="C113" s="66"/>
      <c r="D113" s="25"/>
      <c r="E113" s="25"/>
      <c r="F113" s="25"/>
      <c r="G113" s="25"/>
      <c r="H113" s="25"/>
      <c r="I113" s="25"/>
      <c r="J113" s="25"/>
      <c r="K113" s="25"/>
      <c r="L113" s="25"/>
      <c r="M113" s="25"/>
      <c r="N113" s="25"/>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row>
    <row r="114" spans="2:200" x14ac:dyDescent="0.2">
      <c r="B114" s="66"/>
      <c r="C114" s="66"/>
      <c r="D114" s="25"/>
      <c r="E114" s="25"/>
      <c r="F114" s="25"/>
      <c r="G114" s="25"/>
      <c r="H114" s="25"/>
      <c r="I114" s="25"/>
      <c r="J114" s="25"/>
      <c r="K114" s="25"/>
      <c r="L114" s="25"/>
      <c r="M114" s="25"/>
      <c r="N114" s="25"/>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row>
    <row r="115" spans="2:200" x14ac:dyDescent="0.2">
      <c r="B115" s="66"/>
      <c r="C115" s="66"/>
      <c r="D115" s="25"/>
      <c r="E115" s="25"/>
      <c r="F115" s="25"/>
      <c r="G115" s="25"/>
      <c r="H115" s="25"/>
      <c r="I115" s="25"/>
      <c r="J115" s="25"/>
      <c r="K115" s="25"/>
      <c r="L115" s="25"/>
      <c r="M115" s="25"/>
      <c r="N115" s="25"/>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row>
    <row r="116" spans="2:200" x14ac:dyDescent="0.2">
      <c r="B116" s="66"/>
      <c r="C116" s="66"/>
      <c r="D116" s="25"/>
      <c r="E116" s="25"/>
      <c r="F116" s="25"/>
      <c r="G116" s="25"/>
      <c r="H116" s="25"/>
      <c r="I116" s="25"/>
      <c r="J116" s="25"/>
      <c r="K116" s="25"/>
      <c r="L116" s="25"/>
      <c r="M116" s="25"/>
      <c r="N116" s="25"/>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row>
    <row r="117" spans="2:200" x14ac:dyDescent="0.2">
      <c r="B117" s="66"/>
      <c r="C117" s="66"/>
      <c r="D117" s="25"/>
      <c r="E117" s="25"/>
      <c r="F117" s="25"/>
      <c r="G117" s="25"/>
      <c r="H117" s="25"/>
      <c r="I117" s="25"/>
      <c r="J117" s="25"/>
      <c r="K117" s="25"/>
      <c r="L117" s="25"/>
      <c r="M117" s="25"/>
      <c r="N117" s="25"/>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row>
    <row r="118" spans="2:200" x14ac:dyDescent="0.2">
      <c r="B118" s="66"/>
      <c r="C118" s="66"/>
      <c r="D118" s="25"/>
      <c r="E118" s="25"/>
      <c r="F118" s="25"/>
      <c r="G118" s="25"/>
      <c r="H118" s="25"/>
      <c r="I118" s="25"/>
      <c r="J118" s="25"/>
      <c r="K118" s="25"/>
      <c r="L118" s="25"/>
      <c r="M118" s="25"/>
      <c r="N118" s="25"/>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row>
    <row r="119" spans="2:200" x14ac:dyDescent="0.2">
      <c r="B119" s="66"/>
      <c r="C119" s="66"/>
      <c r="D119" s="25"/>
      <c r="E119" s="25"/>
      <c r="F119" s="25"/>
      <c r="G119" s="25"/>
      <c r="H119" s="25"/>
      <c r="I119" s="25"/>
      <c r="J119" s="25"/>
      <c r="K119" s="25"/>
      <c r="L119" s="25"/>
      <c r="M119" s="25"/>
      <c r="N119" s="25"/>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row>
    <row r="120" spans="2:200" x14ac:dyDescent="0.2">
      <c r="B120" s="66"/>
      <c r="C120" s="66"/>
      <c r="D120" s="25"/>
      <c r="E120" s="25"/>
      <c r="F120" s="25"/>
      <c r="G120" s="25"/>
      <c r="H120" s="25"/>
      <c r="I120" s="25"/>
      <c r="J120" s="25"/>
      <c r="K120" s="25"/>
      <c r="L120" s="25"/>
      <c r="M120" s="25"/>
      <c r="N120" s="25"/>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row>
    <row r="121" spans="2:200" x14ac:dyDescent="0.2">
      <c r="B121" s="66"/>
      <c r="C121" s="66"/>
      <c r="D121" s="25"/>
      <c r="E121" s="25"/>
      <c r="F121" s="25"/>
      <c r="G121" s="25"/>
      <c r="H121" s="25"/>
      <c r="I121" s="25"/>
      <c r="J121" s="25"/>
      <c r="K121" s="25"/>
      <c r="L121" s="25"/>
      <c r="M121" s="25"/>
      <c r="N121" s="25"/>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row>
    <row r="122" spans="2:200" x14ac:dyDescent="0.2">
      <c r="B122" s="66"/>
      <c r="C122" s="66"/>
      <c r="D122" s="25"/>
      <c r="E122" s="25"/>
      <c r="F122" s="25"/>
      <c r="G122" s="25"/>
      <c r="H122" s="25"/>
      <c r="I122" s="25"/>
      <c r="J122" s="25"/>
      <c r="K122" s="25"/>
      <c r="L122" s="25"/>
      <c r="M122" s="25"/>
      <c r="N122" s="25"/>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row>
    <row r="123" spans="2:200" x14ac:dyDescent="0.2">
      <c r="B123" s="66"/>
      <c r="C123" s="66"/>
      <c r="D123" s="25"/>
      <c r="E123" s="25"/>
      <c r="F123" s="25"/>
      <c r="G123" s="25"/>
      <c r="H123" s="25"/>
      <c r="I123" s="25"/>
      <c r="J123" s="25"/>
      <c r="K123" s="25"/>
      <c r="L123" s="25"/>
      <c r="M123" s="25"/>
      <c r="N123" s="25"/>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row>
    <row r="124" spans="2:200" x14ac:dyDescent="0.2">
      <c r="B124" s="66"/>
      <c r="C124" s="66"/>
      <c r="D124" s="25"/>
      <c r="E124" s="25"/>
      <c r="F124" s="25"/>
      <c r="G124" s="25"/>
      <c r="H124" s="25"/>
      <c r="I124" s="25"/>
      <c r="J124" s="25"/>
      <c r="K124" s="25"/>
      <c r="L124" s="25"/>
      <c r="M124" s="25"/>
      <c r="N124" s="25"/>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row>
    <row r="125" spans="2:200" x14ac:dyDescent="0.2">
      <c r="B125" s="66"/>
      <c r="C125" s="66"/>
      <c r="D125" s="25"/>
      <c r="E125" s="25"/>
      <c r="F125" s="25"/>
      <c r="G125" s="25"/>
      <c r="H125" s="25"/>
      <c r="I125" s="25"/>
      <c r="J125" s="25"/>
      <c r="K125" s="25"/>
      <c r="L125" s="25"/>
      <c r="M125" s="25"/>
      <c r="N125" s="25"/>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row>
    <row r="126" spans="2:200" x14ac:dyDescent="0.2">
      <c r="B126" s="66"/>
      <c r="C126" s="66"/>
      <c r="D126" s="25"/>
      <c r="E126" s="25"/>
      <c r="F126" s="25"/>
      <c r="G126" s="25"/>
      <c r="H126" s="25"/>
      <c r="I126" s="25"/>
      <c r="J126" s="25"/>
      <c r="K126" s="25"/>
      <c r="L126" s="25"/>
      <c r="M126" s="25"/>
      <c r="N126" s="25"/>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row>
    <row r="127" spans="2:200" x14ac:dyDescent="0.2">
      <c r="B127" s="66"/>
      <c r="C127" s="66"/>
      <c r="D127" s="25"/>
      <c r="E127" s="25"/>
      <c r="F127" s="25"/>
      <c r="G127" s="25"/>
      <c r="H127" s="25"/>
      <c r="I127" s="25"/>
      <c r="J127" s="25"/>
      <c r="K127" s="25"/>
      <c r="L127" s="25"/>
      <c r="M127" s="25"/>
      <c r="N127" s="25"/>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row>
    <row r="128" spans="2:200" x14ac:dyDescent="0.2">
      <c r="B128" s="66"/>
      <c r="C128" s="66"/>
      <c r="D128" s="25"/>
      <c r="E128" s="25"/>
      <c r="F128" s="25"/>
      <c r="G128" s="25"/>
      <c r="H128" s="25"/>
      <c r="I128" s="25"/>
      <c r="J128" s="25"/>
      <c r="K128" s="25"/>
      <c r="L128" s="25"/>
      <c r="M128" s="25"/>
      <c r="N128" s="25"/>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row>
    <row r="129" spans="2:200" x14ac:dyDescent="0.2">
      <c r="B129" s="66"/>
      <c r="C129" s="66"/>
      <c r="D129" s="25"/>
      <c r="E129" s="25"/>
      <c r="F129" s="25"/>
      <c r="G129" s="25"/>
      <c r="H129" s="25"/>
      <c r="I129" s="25"/>
      <c r="J129" s="25"/>
      <c r="K129" s="25"/>
      <c r="L129" s="25"/>
      <c r="M129" s="25"/>
      <c r="N129" s="25"/>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row>
    <row r="130" spans="2:200" x14ac:dyDescent="0.2">
      <c r="B130" s="66"/>
      <c r="C130" s="66"/>
      <c r="D130" s="25"/>
      <c r="E130" s="25"/>
      <c r="F130" s="25"/>
      <c r="G130" s="25"/>
      <c r="H130" s="25"/>
      <c r="I130" s="25"/>
      <c r="J130" s="25"/>
      <c r="K130" s="25"/>
      <c r="L130" s="25"/>
      <c r="M130" s="25"/>
      <c r="N130" s="25"/>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row>
    <row r="131" spans="2:200" x14ac:dyDescent="0.2">
      <c r="B131" s="66"/>
      <c r="C131" s="66"/>
      <c r="D131" s="25"/>
      <c r="E131" s="25"/>
      <c r="F131" s="25"/>
      <c r="G131" s="25"/>
      <c r="H131" s="25"/>
      <c r="I131" s="25"/>
      <c r="J131" s="25"/>
      <c r="K131" s="25"/>
      <c r="L131" s="25"/>
      <c r="M131" s="25"/>
      <c r="N131" s="25"/>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row>
    <row r="132" spans="2:200" x14ac:dyDescent="0.2">
      <c r="B132" s="66"/>
      <c r="C132" s="66"/>
      <c r="D132" s="25"/>
      <c r="E132" s="25"/>
      <c r="F132" s="25"/>
      <c r="G132" s="25"/>
      <c r="H132" s="25"/>
      <c r="I132" s="25"/>
      <c r="J132" s="25"/>
      <c r="K132" s="25"/>
      <c r="L132" s="25"/>
      <c r="M132" s="25"/>
      <c r="N132" s="25"/>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row>
    <row r="133" spans="2:200" x14ac:dyDescent="0.2">
      <c r="B133" s="66"/>
      <c r="C133" s="66"/>
      <c r="D133" s="25"/>
      <c r="E133" s="25"/>
      <c r="F133" s="25"/>
      <c r="G133" s="25"/>
      <c r="H133" s="25"/>
      <c r="I133" s="25"/>
      <c r="J133" s="25"/>
      <c r="K133" s="25"/>
      <c r="L133" s="25"/>
      <c r="M133" s="25"/>
      <c r="N133" s="25"/>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row>
    <row r="134" spans="2:200" x14ac:dyDescent="0.2">
      <c r="B134" s="66"/>
      <c r="C134" s="66"/>
      <c r="D134" s="25"/>
      <c r="E134" s="25"/>
      <c r="F134" s="25"/>
      <c r="G134" s="25"/>
      <c r="H134" s="25"/>
      <c r="I134" s="25"/>
      <c r="J134" s="25"/>
      <c r="K134" s="25"/>
      <c r="L134" s="25"/>
      <c r="M134" s="25"/>
      <c r="N134" s="25"/>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row>
    <row r="135" spans="2:200" x14ac:dyDescent="0.2">
      <c r="B135" s="66"/>
      <c r="C135" s="66"/>
      <c r="D135" s="25"/>
      <c r="E135" s="25"/>
      <c r="F135" s="25"/>
      <c r="G135" s="25"/>
      <c r="H135" s="25"/>
      <c r="I135" s="25"/>
      <c r="J135" s="25"/>
      <c r="K135" s="25"/>
      <c r="L135" s="25"/>
      <c r="M135" s="25"/>
      <c r="N135" s="25"/>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row>
    <row r="136" spans="2:200" x14ac:dyDescent="0.2">
      <c r="B136" s="66"/>
      <c r="C136" s="66"/>
      <c r="D136" s="25"/>
      <c r="E136" s="25"/>
      <c r="F136" s="25"/>
      <c r="G136" s="25"/>
      <c r="H136" s="25"/>
      <c r="I136" s="25"/>
      <c r="J136" s="25"/>
      <c r="K136" s="25"/>
      <c r="L136" s="25"/>
      <c r="M136" s="25"/>
      <c r="N136" s="25"/>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row>
    <row r="137" spans="2:200" x14ac:dyDescent="0.2">
      <c r="B137" s="66"/>
      <c r="C137" s="66"/>
      <c r="D137" s="25"/>
      <c r="E137" s="25"/>
      <c r="F137" s="25"/>
      <c r="G137" s="25"/>
      <c r="H137" s="25"/>
      <c r="I137" s="25"/>
      <c r="J137" s="25"/>
      <c r="K137" s="25"/>
      <c r="L137" s="25"/>
      <c r="M137" s="25"/>
      <c r="N137" s="25"/>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row>
    <row r="138" spans="2:200" x14ac:dyDescent="0.2">
      <c r="B138" s="66"/>
      <c r="C138" s="66"/>
      <c r="D138" s="25"/>
      <c r="E138" s="25"/>
      <c r="F138" s="25"/>
      <c r="G138" s="25"/>
      <c r="H138" s="25"/>
      <c r="I138" s="25"/>
      <c r="J138" s="25"/>
      <c r="K138" s="25"/>
      <c r="L138" s="25"/>
      <c r="M138" s="25"/>
      <c r="N138" s="25"/>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row>
    <row r="139" spans="2:200" x14ac:dyDescent="0.2">
      <c r="B139" s="66"/>
      <c r="C139" s="66"/>
      <c r="D139" s="25"/>
      <c r="E139" s="25"/>
      <c r="F139" s="25"/>
      <c r="G139" s="25"/>
      <c r="H139" s="25"/>
      <c r="I139" s="25"/>
      <c r="J139" s="25"/>
      <c r="K139" s="25"/>
      <c r="L139" s="25"/>
      <c r="M139" s="25"/>
      <c r="N139" s="25"/>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row>
    <row r="140" spans="2:200" x14ac:dyDescent="0.2">
      <c r="B140" s="66"/>
      <c r="C140" s="66"/>
      <c r="D140" s="25"/>
      <c r="E140" s="25"/>
      <c r="F140" s="25"/>
      <c r="G140" s="25"/>
      <c r="H140" s="25"/>
      <c r="I140" s="25"/>
      <c r="J140" s="25"/>
      <c r="K140" s="25"/>
      <c r="L140" s="25"/>
      <c r="M140" s="25"/>
      <c r="N140" s="25"/>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row>
    <row r="141" spans="2:200" x14ac:dyDescent="0.2">
      <c r="B141" s="66"/>
      <c r="C141" s="66"/>
      <c r="D141" s="25"/>
      <c r="E141" s="25"/>
      <c r="F141" s="25"/>
      <c r="G141" s="25"/>
      <c r="H141" s="25"/>
      <c r="I141" s="25"/>
      <c r="J141" s="25"/>
      <c r="K141" s="25"/>
      <c r="L141" s="25"/>
      <c r="M141" s="25"/>
      <c r="N141" s="25"/>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row>
    <row r="142" spans="2:200" x14ac:dyDescent="0.2">
      <c r="B142" s="66"/>
      <c r="C142" s="66"/>
      <c r="D142" s="25"/>
      <c r="E142" s="25"/>
      <c r="F142" s="25"/>
      <c r="G142" s="25"/>
      <c r="H142" s="25"/>
      <c r="I142" s="25"/>
      <c r="J142" s="25"/>
      <c r="K142" s="25"/>
      <c r="L142" s="25"/>
      <c r="M142" s="25"/>
      <c r="N142" s="25"/>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row>
    <row r="143" spans="2:200" x14ac:dyDescent="0.2">
      <c r="B143" s="66"/>
      <c r="C143" s="66"/>
      <c r="D143" s="25"/>
      <c r="E143" s="25"/>
      <c r="F143" s="25"/>
      <c r="G143" s="25"/>
      <c r="H143" s="25"/>
      <c r="I143" s="25"/>
      <c r="J143" s="25"/>
      <c r="K143" s="25"/>
      <c r="L143" s="25"/>
      <c r="M143" s="25"/>
      <c r="N143" s="25"/>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row>
    <row r="144" spans="2:200" x14ac:dyDescent="0.2">
      <c r="B144" s="66"/>
      <c r="C144" s="66"/>
      <c r="D144" s="25"/>
      <c r="E144" s="25"/>
      <c r="F144" s="25"/>
      <c r="G144" s="25"/>
      <c r="H144" s="25"/>
      <c r="I144" s="25"/>
      <c r="J144" s="25"/>
      <c r="K144" s="25"/>
      <c r="L144" s="25"/>
      <c r="M144" s="25"/>
      <c r="N144" s="25"/>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row>
    <row r="145" spans="2:200" x14ac:dyDescent="0.2">
      <c r="B145" s="66"/>
      <c r="C145" s="66"/>
      <c r="D145" s="25"/>
      <c r="E145" s="25"/>
      <c r="F145" s="25"/>
      <c r="G145" s="25"/>
      <c r="H145" s="25"/>
      <c r="I145" s="25"/>
      <c r="J145" s="25"/>
      <c r="K145" s="25"/>
      <c r="L145" s="25"/>
      <c r="M145" s="25"/>
      <c r="N145" s="25"/>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row>
    <row r="146" spans="2:200" x14ac:dyDescent="0.2">
      <c r="B146" s="66"/>
      <c r="C146" s="66"/>
      <c r="D146" s="25"/>
      <c r="E146" s="25"/>
      <c r="F146" s="25"/>
      <c r="G146" s="25"/>
      <c r="H146" s="25"/>
      <c r="I146" s="25"/>
      <c r="J146" s="25"/>
      <c r="K146" s="25"/>
      <c r="L146" s="25"/>
      <c r="M146" s="25"/>
      <c r="N146" s="25"/>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row>
    <row r="147" spans="2:200" x14ac:dyDescent="0.2">
      <c r="B147" s="66"/>
      <c r="C147" s="66"/>
      <c r="D147" s="25"/>
      <c r="E147" s="25"/>
      <c r="F147" s="25"/>
      <c r="G147" s="25"/>
      <c r="H147" s="25"/>
      <c r="I147" s="25"/>
      <c r="J147" s="25"/>
      <c r="K147" s="25"/>
      <c r="L147" s="25"/>
      <c r="M147" s="25"/>
      <c r="N147" s="25"/>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row>
    <row r="148" spans="2:200" x14ac:dyDescent="0.2">
      <c r="B148" s="66"/>
      <c r="C148" s="66"/>
      <c r="D148" s="25"/>
      <c r="E148" s="25"/>
      <c r="F148" s="25"/>
      <c r="G148" s="25"/>
      <c r="H148" s="25"/>
      <c r="I148" s="25"/>
      <c r="J148" s="25"/>
      <c r="K148" s="25"/>
      <c r="L148" s="25"/>
      <c r="M148" s="25"/>
      <c r="N148" s="25"/>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row>
    <row r="149" spans="2:200" x14ac:dyDescent="0.2">
      <c r="B149" s="66"/>
      <c r="C149" s="66"/>
      <c r="D149" s="25"/>
      <c r="E149" s="25"/>
      <c r="F149" s="25"/>
      <c r="G149" s="25"/>
      <c r="H149" s="25"/>
      <c r="I149" s="25"/>
      <c r="J149" s="25"/>
      <c r="K149" s="25"/>
      <c r="L149" s="25"/>
      <c r="M149" s="25"/>
      <c r="N149" s="25"/>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row>
    <row r="150" spans="2:200" x14ac:dyDescent="0.2">
      <c r="B150" s="66"/>
      <c r="C150" s="66"/>
      <c r="D150" s="25"/>
      <c r="E150" s="25"/>
      <c r="F150" s="25"/>
      <c r="G150" s="25"/>
      <c r="H150" s="25"/>
      <c r="I150" s="25"/>
      <c r="J150" s="25"/>
      <c r="K150" s="25"/>
      <c r="L150" s="25"/>
      <c r="M150" s="25"/>
      <c r="N150" s="25"/>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row>
    <row r="151" spans="2:200" x14ac:dyDescent="0.2">
      <c r="B151" s="66"/>
      <c r="C151" s="66"/>
      <c r="D151" s="25"/>
      <c r="E151" s="25"/>
      <c r="F151" s="25"/>
      <c r="G151" s="25"/>
      <c r="H151" s="25"/>
      <c r="I151" s="25"/>
      <c r="J151" s="25"/>
      <c r="K151" s="25"/>
      <c r="L151" s="25"/>
      <c r="M151" s="25"/>
      <c r="N151" s="25"/>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row>
  </sheetData>
  <mergeCells count="15">
    <mergeCell ref="C68:D68"/>
    <mergeCell ref="J12:L12"/>
    <mergeCell ref="J10:L10"/>
    <mergeCell ref="C9:D9"/>
    <mergeCell ref="C10:D10"/>
    <mergeCell ref="C11:D11"/>
    <mergeCell ref="C12:D12"/>
    <mergeCell ref="A1:G1"/>
    <mergeCell ref="A2:G2"/>
    <mergeCell ref="I8:K8"/>
    <mergeCell ref="I1:L1"/>
    <mergeCell ref="J11:L11"/>
    <mergeCell ref="C5:D5"/>
    <mergeCell ref="C6:D6"/>
    <mergeCell ref="C7:D7"/>
  </mergeCells>
  <printOptions horizontalCentered="1"/>
  <pageMargins left="0.25" right="0.25" top="0.75" bottom="0.75" header="0.3" footer="0.3"/>
  <pageSetup scale="53" orientation="landscape" r:id="rId1"/>
  <headerFooter alignWithMargins="0">
    <oddFooter>&amp;L&amp;"Arial,Regular"&amp;8&amp;F
&amp;A&amp;R&amp;"Arial,Regular"Page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60" zoomScaleNormal="60" workbookViewId="0">
      <selection activeCell="C11" sqref="C11"/>
    </sheetView>
  </sheetViews>
  <sheetFormatPr defaultColWidth="8.85546875" defaultRowHeight="15" x14ac:dyDescent="0.25"/>
  <cols>
    <col min="1" max="1" width="12" style="80" bestFit="1" customWidth="1"/>
    <col min="2" max="2" width="51.28515625" style="80" bestFit="1" customWidth="1"/>
    <col min="3" max="3" width="13.7109375" style="80" bestFit="1" customWidth="1"/>
    <col min="4" max="4" width="6" style="80" bestFit="1" customWidth="1"/>
    <col min="5" max="5" width="17.28515625" style="80" bestFit="1" customWidth="1"/>
    <col min="6" max="16384" width="8.85546875" style="80"/>
  </cols>
  <sheetData>
    <row r="1" spans="1:5" ht="15.75" thickBot="1" x14ac:dyDescent="0.3">
      <c r="B1" s="46" t="s">
        <v>72</v>
      </c>
      <c r="E1" s="30" t="s">
        <v>76</v>
      </c>
    </row>
    <row r="2" spans="1:5" x14ac:dyDescent="0.25">
      <c r="B2" s="47" t="s">
        <v>73</v>
      </c>
    </row>
    <row r="3" spans="1:5" x14ac:dyDescent="0.25">
      <c r="B3" s="47" t="s">
        <v>74</v>
      </c>
    </row>
    <row r="4" spans="1:5" x14ac:dyDescent="0.25">
      <c r="B4" s="47" t="s">
        <v>75</v>
      </c>
    </row>
    <row r="9" spans="1:5" x14ac:dyDescent="0.25">
      <c r="A9" s="46" t="s">
        <v>60</v>
      </c>
      <c r="B9" s="46"/>
      <c r="C9" s="39" t="s">
        <v>59</v>
      </c>
      <c r="D9" s="39"/>
      <c r="E9" s="46"/>
    </row>
    <row r="10" spans="1:5" x14ac:dyDescent="0.25">
      <c r="A10" s="46" t="s">
        <v>62</v>
      </c>
      <c r="B10" s="46" t="s">
        <v>63</v>
      </c>
      <c r="C10" s="39" t="s">
        <v>61</v>
      </c>
      <c r="D10" s="39" t="s">
        <v>64</v>
      </c>
      <c r="E10" s="46"/>
    </row>
    <row r="11" spans="1:5" ht="15.75" thickBot="1" x14ac:dyDescent="0.3"/>
    <row r="12" spans="1:5" ht="15.75" thickBot="1" x14ac:dyDescent="0.3">
      <c r="A12" s="98">
        <v>362</v>
      </c>
      <c r="B12" s="99" t="s">
        <v>67</v>
      </c>
      <c r="C12" s="100">
        <v>2.0399999999999998E-2</v>
      </c>
      <c r="D12" s="101">
        <f>ROUND(1/C12,0)</f>
        <v>49</v>
      </c>
      <c r="E12" s="102" t="s">
        <v>58</v>
      </c>
    </row>
    <row r="13" spans="1:5" x14ac:dyDescent="0.25">
      <c r="C13" s="85"/>
      <c r="D13" s="103"/>
    </row>
    <row r="14" spans="1:5" x14ac:dyDescent="0.25">
      <c r="A14" s="80">
        <v>364</v>
      </c>
      <c r="B14" s="80" t="s">
        <v>68</v>
      </c>
      <c r="C14" s="85">
        <v>3.1399999999999997E-2</v>
      </c>
      <c r="D14" s="103">
        <f t="shared" ref="D14:D19" si="0">ROUND(1/C14,0)</f>
        <v>32</v>
      </c>
      <c r="E14" s="80" t="s">
        <v>58</v>
      </c>
    </row>
    <row r="15" spans="1:5" x14ac:dyDescent="0.25">
      <c r="C15" s="85"/>
      <c r="D15" s="103"/>
    </row>
    <row r="16" spans="1:5" x14ac:dyDescent="0.25">
      <c r="A16" s="80">
        <v>365</v>
      </c>
      <c r="B16" s="80" t="s">
        <v>69</v>
      </c>
      <c r="C16" s="85">
        <v>3.7400000000000003E-2</v>
      </c>
      <c r="D16" s="103">
        <f t="shared" si="0"/>
        <v>27</v>
      </c>
      <c r="E16" s="80" t="s">
        <v>58</v>
      </c>
    </row>
    <row r="17" spans="1:5" x14ac:dyDescent="0.25">
      <c r="C17" s="85"/>
      <c r="D17" s="103"/>
    </row>
    <row r="18" spans="1:5" x14ac:dyDescent="0.25">
      <c r="A18" s="80">
        <v>366</v>
      </c>
      <c r="B18" s="80" t="s">
        <v>70</v>
      </c>
      <c r="C18" s="85">
        <v>1.77E-2</v>
      </c>
      <c r="D18" s="103">
        <f t="shared" si="0"/>
        <v>56</v>
      </c>
      <c r="E18" s="80" t="s">
        <v>58</v>
      </c>
    </row>
    <row r="19" spans="1:5" x14ac:dyDescent="0.25">
      <c r="A19" s="80">
        <v>367</v>
      </c>
      <c r="B19" s="80" t="s">
        <v>71</v>
      </c>
      <c r="C19" s="85">
        <v>3.9300000000000002E-2</v>
      </c>
      <c r="D19" s="103">
        <f t="shared" si="0"/>
        <v>25</v>
      </c>
      <c r="E19" s="80" t="s">
        <v>58</v>
      </c>
    </row>
    <row r="20" spans="1:5" ht="15.75" thickBot="1" x14ac:dyDescent="0.3">
      <c r="B20" s="1"/>
    </row>
    <row r="21" spans="1:5" ht="15.75" thickBot="1" x14ac:dyDescent="0.3">
      <c r="A21" s="98" t="s">
        <v>65</v>
      </c>
      <c r="B21" s="104" t="s">
        <v>57</v>
      </c>
      <c r="C21" s="99"/>
      <c r="D21" s="101">
        <f>ROUND(AVERAGE(D14:D19),0)</f>
        <v>35</v>
      </c>
      <c r="E21" s="102" t="s">
        <v>58</v>
      </c>
    </row>
  </sheetData>
  <printOptions horizontalCentered="1"/>
  <pageMargins left="0.25" right="0.25" top="0.75" bottom="0.75" header="0.3" footer="0.3"/>
  <pageSetup orientation="landscape" r:id="rId1"/>
  <headerFooter alignWithMargins="0">
    <oddFooter>&amp;L&amp;"Arial,Regular"&amp;8&amp;F
&amp;A&amp;R&amp;"Arial,Regular"Page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1" sqref="C11"/>
    </sheetView>
  </sheetViews>
  <sheetFormatPr defaultColWidth="8.85546875" defaultRowHeight="15" x14ac:dyDescent="0.25"/>
  <cols>
    <col min="1" max="1" width="63.7109375" style="80" bestFit="1" customWidth="1"/>
    <col min="2" max="2" width="3.7109375" style="80" customWidth="1"/>
    <col min="3" max="3" width="8" style="80" bestFit="1" customWidth="1"/>
    <col min="4" max="4" width="11.5703125" style="80" customWidth="1"/>
    <col min="5" max="16384" width="8.85546875" style="80"/>
  </cols>
  <sheetData>
    <row r="1" spans="1:4" x14ac:dyDescent="0.25">
      <c r="A1" s="86"/>
      <c r="B1" s="86"/>
      <c r="C1" s="86"/>
      <c r="D1" s="86"/>
    </row>
    <row r="2" spans="1:4" x14ac:dyDescent="0.25">
      <c r="A2" s="90" t="s">
        <v>96</v>
      </c>
      <c r="B2" s="91"/>
      <c r="C2" s="91"/>
      <c r="D2" s="91"/>
    </row>
    <row r="3" spans="1:4" x14ac:dyDescent="0.25">
      <c r="A3" s="90" t="s">
        <v>97</v>
      </c>
      <c r="B3" s="91"/>
      <c r="C3" s="91"/>
      <c r="D3" s="91"/>
    </row>
    <row r="4" spans="1:4" x14ac:dyDescent="0.25">
      <c r="A4" s="90" t="s">
        <v>98</v>
      </c>
      <c r="B4" s="91"/>
      <c r="C4" s="91"/>
      <c r="D4" s="91"/>
    </row>
    <row r="5" spans="1:4" x14ac:dyDescent="0.25">
      <c r="A5" s="90" t="s">
        <v>99</v>
      </c>
      <c r="B5" s="91"/>
      <c r="C5" s="91"/>
      <c r="D5" s="91"/>
    </row>
    <row r="6" spans="1:4" x14ac:dyDescent="0.25">
      <c r="A6" s="90" t="s">
        <v>100</v>
      </c>
      <c r="B6" s="90"/>
      <c r="C6" s="90"/>
      <c r="D6" s="90"/>
    </row>
    <row r="7" spans="1:4" x14ac:dyDescent="0.25">
      <c r="A7" s="91"/>
      <c r="B7" s="91"/>
      <c r="C7" s="91"/>
      <c r="D7" s="91"/>
    </row>
    <row r="8" spans="1:4" x14ac:dyDescent="0.25">
      <c r="A8" s="91"/>
      <c r="B8" s="91"/>
      <c r="C8" s="91"/>
      <c r="D8" s="86"/>
    </row>
    <row r="9" spans="1:4" x14ac:dyDescent="0.25">
      <c r="A9" s="40"/>
      <c r="B9" s="40"/>
      <c r="C9" s="86"/>
      <c r="D9" s="86"/>
    </row>
    <row r="10" spans="1:4" x14ac:dyDescent="0.25">
      <c r="A10" s="40" t="s">
        <v>63</v>
      </c>
      <c r="B10" s="40"/>
      <c r="C10" s="86"/>
      <c r="D10" s="86"/>
    </row>
    <row r="11" spans="1:4" x14ac:dyDescent="0.25">
      <c r="A11" s="86"/>
      <c r="B11" s="86"/>
      <c r="C11" s="86"/>
      <c r="D11" s="86"/>
    </row>
    <row r="12" spans="1:4" x14ac:dyDescent="0.25">
      <c r="A12" s="34" t="s">
        <v>101</v>
      </c>
      <c r="B12" s="32"/>
      <c r="C12" s="32"/>
      <c r="D12" s="35">
        <v>8.4790000000000004E-3</v>
      </c>
    </row>
    <row r="13" spans="1:4" x14ac:dyDescent="0.25">
      <c r="A13" s="34" t="s">
        <v>102</v>
      </c>
      <c r="B13" s="32"/>
      <c r="C13" s="32"/>
      <c r="D13" s="35">
        <v>2E-3</v>
      </c>
    </row>
    <row r="14" spans="1:4" x14ac:dyDescent="0.25">
      <c r="A14" s="34" t="s">
        <v>103</v>
      </c>
      <c r="B14" s="86"/>
      <c r="C14" s="36">
        <v>3.8733999999999998E-2</v>
      </c>
      <c r="D14" s="37">
        <v>3.8406000000000003E-2</v>
      </c>
    </row>
    <row r="15" spans="1:4" x14ac:dyDescent="0.25">
      <c r="A15" s="34"/>
      <c r="B15" s="32"/>
      <c r="C15" s="32"/>
      <c r="D15" s="38"/>
    </row>
    <row r="16" spans="1:4" x14ac:dyDescent="0.25">
      <c r="A16" s="34" t="s">
        <v>104</v>
      </c>
      <c r="B16" s="32"/>
      <c r="C16" s="32"/>
      <c r="D16" s="35">
        <v>4.8884999999999998E-2</v>
      </c>
    </row>
    <row r="17" spans="1:4" x14ac:dyDescent="0.25">
      <c r="A17" s="32"/>
      <c r="B17" s="32"/>
      <c r="C17" s="32"/>
      <c r="D17" s="35"/>
    </row>
    <row r="18" spans="1:4" x14ac:dyDescent="0.25">
      <c r="A18" s="32" t="s">
        <v>105</v>
      </c>
      <c r="B18" s="32"/>
      <c r="C18" s="32"/>
      <c r="D18" s="35">
        <v>0.95111500000000004</v>
      </c>
    </row>
    <row r="19" spans="1:4" x14ac:dyDescent="0.25">
      <c r="A19" s="34" t="s">
        <v>106</v>
      </c>
      <c r="B19" s="32"/>
      <c r="C19" s="41">
        <v>0.21</v>
      </c>
      <c r="D19" s="35">
        <v>0.19973399999999999</v>
      </c>
    </row>
    <row r="20" spans="1:4" ht="15.75" thickBot="1" x14ac:dyDescent="0.3">
      <c r="A20" s="34" t="s">
        <v>107</v>
      </c>
      <c r="B20" s="110"/>
      <c r="C20" s="32"/>
      <c r="D20" s="42">
        <v>0.75138099999999997</v>
      </c>
    </row>
    <row r="21" spans="1:4" ht="15.75" thickTop="1" x14ac:dyDescent="0.25"/>
  </sheetData>
  <printOptions horizontalCentered="1"/>
  <pageMargins left="0.7" right="0.7" top="0.75" bottom="0.75" header="0.3" footer="0.3"/>
  <pageSetup orientation="landscape"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Puget Sound Energy</CaseCompanyNames>
    <IsConfidential xmlns="dc463f71-b30c-4ab2-9473-d307f9d35888">false</IsConfidential>
    <Date1 xmlns="dc463f71-b30c-4ab2-9473-d307f9d35888">2020-03-02T08:00:00+00:00</Date1>
    <DocumentSetType xmlns="dc463f71-b30c-4ab2-9473-d307f9d35888">Response</DocumentSetType>
    <DocketNumber xmlns="dc463f71-b30c-4ab2-9473-d307f9d35888">190529</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3E1CFD57-41BD-4815-99EE-8FB5FD4546E2}"/>
</file>

<file path=customXml/itemProps2.xml><?xml version="1.0" encoding="utf-8"?>
<ds:datastoreItem xmlns:ds="http://schemas.openxmlformats.org/officeDocument/2006/customXml" ds:itemID="{B23CD9E5-D1C0-4EF9-820E-842358ED77BE}"/>
</file>

<file path=customXml/itemProps3.xml><?xml version="1.0" encoding="utf-8"?>
<ds:datastoreItem xmlns:ds="http://schemas.openxmlformats.org/officeDocument/2006/customXml" ds:itemID="{B55C954F-E883-4C08-8529-035E5F20AD4D}"/>
</file>

<file path=customXml/itemProps4.xml><?xml version="1.0" encoding="utf-8"?>
<ds:datastoreItem xmlns:ds="http://schemas.openxmlformats.org/officeDocument/2006/customXml" ds:itemID="{E0FD379C-6C79-4A46-AD6B-6887777BDB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FCR Read Me</vt:lpstr>
      <vt:lpstr>MSSC FCR Table</vt:lpstr>
      <vt:lpstr>FCR Rates Feeder</vt:lpstr>
      <vt:lpstr>FCR Rates Sub</vt:lpstr>
      <vt:lpstr>Lvl FCR Sub Equip</vt:lpstr>
      <vt:lpstr>Lvl FCR Feeder</vt:lpstr>
      <vt:lpstr>LvlFCR Land</vt:lpstr>
      <vt:lpstr>Sub &amp; Feeder Depr Life</vt:lpstr>
      <vt:lpstr>Converson Factor</vt:lpstr>
      <vt:lpstr>Cost of Capital</vt:lpstr>
      <vt:lpstr>Property Insurance Rate</vt:lpstr>
      <vt:lpstr>'FCR Rates Feeder'!Print_Area</vt:lpstr>
      <vt:lpstr>'FCR Rates Sub'!Print_Area</vt:lpstr>
      <vt:lpstr>'FCR Read Me'!Print_Area</vt:lpstr>
      <vt:lpstr>'Lvl FCR Feeder'!Print_Area</vt:lpstr>
      <vt:lpstr>'Lvl FCR Sub Equip'!Print_Area</vt:lpstr>
      <vt:lpstr>'LvlFCR Land'!Print_Area</vt:lpstr>
      <vt:lpstr>'MSSC FCR Table'!Print_Area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Puget Sound Energy</cp:lastModifiedBy>
  <cp:lastPrinted>2019-06-11T18:18:47Z</cp:lastPrinted>
  <dcterms:created xsi:type="dcterms:W3CDTF">2013-09-13T17:20:41Z</dcterms:created>
  <dcterms:modified xsi:type="dcterms:W3CDTF">2020-02-28T21:25:04Z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