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-30" yWindow="15" windowWidth="28635" windowHeight="10470"/>
  </bookViews>
  <sheets>
    <sheet name="Summary Sheet" sheetId="34" r:id="rId1"/>
    <sheet name="Sales &amp; Revenue Adj." sheetId="33" r:id="rId2"/>
    <sheet name="Tables 1 - 3" sheetId="31" r:id="rId3"/>
    <sheet name="Summary Sheet_SC_Migrated" sheetId="29" r:id="rId4"/>
    <sheet name="Sales Adj._SCMigrated" sheetId="30" r:id="rId5"/>
    <sheet name="Sch 40 Migration Weather Adj." sheetId="28" r:id="rId6"/>
    <sheet name="Sch 40 Migration kWh" sheetId="27" r:id="rId7"/>
    <sheet name="Summary Sheet_ Pre Migration" sheetId="3" r:id="rId8"/>
    <sheet name="Sales Adj. load only" sheetId="2" r:id="rId9"/>
    <sheet name="Temp Adj. by Schedule" sheetId="14" r:id="rId10"/>
    <sheet name="Normalized Total Usage" sheetId="9" r:id="rId11"/>
    <sheet name="Actual Total Usage" sheetId="6" r:id="rId12"/>
    <sheet name="SAP BW Actual Usage" sheetId="16" r:id="rId13"/>
    <sheet name="System Model " sheetId="25" r:id="rId14"/>
    <sheet name="TABLE-HDD" sheetId="26" r:id="rId15"/>
    <sheet name="Sheet6" sheetId="3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2">'SAP BW Actual Usage'!$A$1:$O$24</definedName>
    <definedName name="_xlnm.Print_Area" localSheetId="7">'Summary Sheet_ Pre Migration'!$A$1:$H$40</definedName>
    <definedName name="_xlnm.Print_Area" localSheetId="3">'Summary Sheet_SC_Migrated'!$A$1:$G$40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F35" i="34" l="1"/>
  <c r="F34" i="34"/>
  <c r="F33" i="34"/>
  <c r="F32" i="34"/>
  <c r="F31" i="34"/>
  <c r="F30" i="34"/>
  <c r="F29" i="34"/>
  <c r="F28" i="34"/>
  <c r="F27" i="34"/>
  <c r="F26" i="34"/>
  <c r="E34" i="34"/>
  <c r="E33" i="34"/>
  <c r="E32" i="34"/>
  <c r="E31" i="34"/>
  <c r="E30" i="34"/>
  <c r="E29" i="34"/>
  <c r="E28" i="34"/>
  <c r="E27" i="34"/>
  <c r="E26" i="34"/>
  <c r="N30" i="33"/>
  <c r="M30" i="33"/>
  <c r="L30" i="33"/>
  <c r="K30" i="33"/>
  <c r="K16" i="33" s="1"/>
  <c r="J30" i="33"/>
  <c r="I30" i="33"/>
  <c r="H30" i="33"/>
  <c r="G30" i="33"/>
  <c r="F30" i="33"/>
  <c r="E30" i="33"/>
  <c r="D30" i="33"/>
  <c r="C30" i="33"/>
  <c r="B30" i="33" s="1"/>
  <c r="N29" i="33"/>
  <c r="M29" i="33"/>
  <c r="L29" i="33"/>
  <c r="K29" i="33"/>
  <c r="J29" i="33"/>
  <c r="I29" i="33"/>
  <c r="H29" i="33"/>
  <c r="G29" i="33"/>
  <c r="G15" i="33" s="1"/>
  <c r="F29" i="33"/>
  <c r="E29" i="33"/>
  <c r="D29" i="33"/>
  <c r="C29" i="33"/>
  <c r="N28" i="33"/>
  <c r="M28" i="33"/>
  <c r="L28" i="33"/>
  <c r="K28" i="33"/>
  <c r="K14" i="33" s="1"/>
  <c r="J28" i="33"/>
  <c r="I28" i="33"/>
  <c r="H28" i="33"/>
  <c r="G28" i="33"/>
  <c r="F28" i="33"/>
  <c r="E28" i="33"/>
  <c r="D28" i="33"/>
  <c r="C28" i="33"/>
  <c r="C14" i="33" s="1"/>
  <c r="N27" i="33"/>
  <c r="M27" i="33"/>
  <c r="L27" i="33"/>
  <c r="K27" i="33"/>
  <c r="K13" i="33" s="1"/>
  <c r="J27" i="33"/>
  <c r="I27" i="33"/>
  <c r="H27" i="33"/>
  <c r="G27" i="33"/>
  <c r="G13" i="33" s="1"/>
  <c r="F27" i="33"/>
  <c r="E27" i="33"/>
  <c r="D27" i="33"/>
  <c r="C27" i="33"/>
  <c r="B27" i="33" s="1"/>
  <c r="N26" i="33"/>
  <c r="M26" i="33"/>
  <c r="L26" i="33"/>
  <c r="K26" i="33"/>
  <c r="K12" i="33" s="1"/>
  <c r="J26" i="33"/>
  <c r="I26" i="33"/>
  <c r="H26" i="33"/>
  <c r="G26" i="33"/>
  <c r="F26" i="33"/>
  <c r="E26" i="33"/>
  <c r="D26" i="33"/>
  <c r="C26" i="33"/>
  <c r="C12" i="33" s="1"/>
  <c r="N25" i="33"/>
  <c r="M25" i="33"/>
  <c r="L25" i="33"/>
  <c r="K25" i="33"/>
  <c r="J25" i="33"/>
  <c r="I25" i="33"/>
  <c r="H25" i="33"/>
  <c r="G25" i="33"/>
  <c r="G11" i="33" s="1"/>
  <c r="F25" i="33"/>
  <c r="E25" i="33"/>
  <c r="D25" i="33"/>
  <c r="C25" i="33"/>
  <c r="B25" i="33" s="1"/>
  <c r="N24" i="33"/>
  <c r="M24" i="33"/>
  <c r="L24" i="33"/>
  <c r="K24" i="33"/>
  <c r="J24" i="33"/>
  <c r="I24" i="33"/>
  <c r="H24" i="33"/>
  <c r="G24" i="33"/>
  <c r="G10" i="33" s="1"/>
  <c r="F24" i="33"/>
  <c r="E24" i="33"/>
  <c r="D24" i="33"/>
  <c r="C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 s="1"/>
  <c r="N22" i="33"/>
  <c r="M22" i="33"/>
  <c r="L22" i="33"/>
  <c r="K22" i="33"/>
  <c r="K32" i="33" s="1"/>
  <c r="J22" i="33"/>
  <c r="I22" i="33"/>
  <c r="H22" i="33"/>
  <c r="G22" i="33"/>
  <c r="F22" i="33"/>
  <c r="E22" i="33"/>
  <c r="D22" i="33"/>
  <c r="C22" i="33"/>
  <c r="M16" i="33"/>
  <c r="L16" i="33"/>
  <c r="I16" i="33"/>
  <c r="H16" i="33"/>
  <c r="E16" i="33"/>
  <c r="N15" i="33"/>
  <c r="M15" i="33"/>
  <c r="J15" i="33"/>
  <c r="I15" i="33"/>
  <c r="F15" i="33"/>
  <c r="E15" i="33"/>
  <c r="N14" i="33"/>
  <c r="J14" i="33"/>
  <c r="G14" i="33"/>
  <c r="F14" i="33"/>
  <c r="L13" i="33"/>
  <c r="H13" i="33"/>
  <c r="D13" i="33"/>
  <c r="M12" i="33"/>
  <c r="L12" i="33"/>
  <c r="I12" i="33"/>
  <c r="H12" i="33"/>
  <c r="E12" i="33"/>
  <c r="D12" i="33"/>
  <c r="B26" i="33"/>
  <c r="N11" i="33"/>
  <c r="M11" i="33"/>
  <c r="J11" i="33"/>
  <c r="I11" i="33"/>
  <c r="F11" i="33"/>
  <c r="N10" i="33"/>
  <c r="K10" i="33"/>
  <c r="J10" i="33"/>
  <c r="F10" i="33"/>
  <c r="C10" i="33"/>
  <c r="L9" i="33"/>
  <c r="H9" i="33"/>
  <c r="G32" i="33"/>
  <c r="D9" i="33"/>
  <c r="N32" i="33"/>
  <c r="M8" i="33"/>
  <c r="L32" i="33"/>
  <c r="J32" i="33"/>
  <c r="I8" i="33"/>
  <c r="H8" i="33"/>
  <c r="F32" i="33"/>
  <c r="E8" i="33"/>
  <c r="D32" i="33"/>
  <c r="B22" i="33"/>
  <c r="N16" i="33"/>
  <c r="J16" i="33"/>
  <c r="G16" i="33"/>
  <c r="F16" i="33"/>
  <c r="L15" i="33"/>
  <c r="K15" i="33"/>
  <c r="H15" i="33"/>
  <c r="D15" i="33"/>
  <c r="C15" i="33"/>
  <c r="M14" i="33"/>
  <c r="L14" i="33"/>
  <c r="I14" i="33"/>
  <c r="H14" i="33"/>
  <c r="E14" i="33"/>
  <c r="D14" i="33"/>
  <c r="N13" i="33"/>
  <c r="M13" i="33"/>
  <c r="J13" i="33"/>
  <c r="I13" i="33"/>
  <c r="F13" i="33"/>
  <c r="E13" i="33"/>
  <c r="N12" i="33"/>
  <c r="J12" i="33"/>
  <c r="G12" i="33"/>
  <c r="F12" i="33"/>
  <c r="L11" i="33"/>
  <c r="K11" i="33"/>
  <c r="H11" i="33"/>
  <c r="D11" i="33"/>
  <c r="C11" i="33"/>
  <c r="M10" i="33"/>
  <c r="L10" i="33"/>
  <c r="I10" i="33"/>
  <c r="H10" i="33"/>
  <c r="E10" i="33"/>
  <c r="D10" i="33"/>
  <c r="N9" i="33"/>
  <c r="M9" i="33"/>
  <c r="J9" i="33"/>
  <c r="I9" i="33"/>
  <c r="F9" i="33"/>
  <c r="E9" i="33"/>
  <c r="N8" i="33"/>
  <c r="J8" i="33"/>
  <c r="G8" i="33"/>
  <c r="F8" i="33"/>
  <c r="C8" i="33"/>
  <c r="E23" i="34"/>
  <c r="D23" i="34"/>
  <c r="C23" i="34"/>
  <c r="E22" i="34"/>
  <c r="D22" i="34"/>
  <c r="C22" i="34"/>
  <c r="E21" i="34"/>
  <c r="D21" i="34"/>
  <c r="C21" i="34"/>
  <c r="E20" i="34"/>
  <c r="D20" i="34"/>
  <c r="C20" i="34"/>
  <c r="E19" i="34"/>
  <c r="D19" i="34"/>
  <c r="C19" i="34"/>
  <c r="E18" i="34"/>
  <c r="D18" i="34"/>
  <c r="C18" i="34"/>
  <c r="E17" i="34"/>
  <c r="D17" i="34"/>
  <c r="C17" i="34"/>
  <c r="E16" i="34"/>
  <c r="D16" i="34"/>
  <c r="C16" i="34"/>
  <c r="E15" i="34"/>
  <c r="D15" i="34"/>
  <c r="C15" i="34"/>
  <c r="E14" i="34"/>
  <c r="D14" i="34"/>
  <c r="C14" i="34"/>
  <c r="E13" i="34"/>
  <c r="D13" i="34"/>
  <c r="C13" i="34"/>
  <c r="E12" i="34"/>
  <c r="D12" i="34"/>
  <c r="C12" i="34"/>
  <c r="A11" i="34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E35" i="34" l="1"/>
  <c r="D24" i="34"/>
  <c r="B28" i="33"/>
  <c r="M18" i="33"/>
  <c r="K8" i="33"/>
  <c r="C16" i="33"/>
  <c r="H18" i="33"/>
  <c r="I18" i="33"/>
  <c r="B12" i="33"/>
  <c r="B15" i="33"/>
  <c r="B10" i="33"/>
  <c r="J18" i="33"/>
  <c r="B14" i="33"/>
  <c r="F18" i="33"/>
  <c r="N18" i="33"/>
  <c r="B24" i="33"/>
  <c r="C32" i="33"/>
  <c r="B29" i="33"/>
  <c r="H32" i="33"/>
  <c r="D8" i="33"/>
  <c r="L8" i="33"/>
  <c r="L18" i="33" s="1"/>
  <c r="C9" i="33"/>
  <c r="G9" i="33"/>
  <c r="G18" i="33" s="1"/>
  <c r="K9" i="33"/>
  <c r="K18" i="33" s="1"/>
  <c r="E11" i="33"/>
  <c r="B11" i="33" s="1"/>
  <c r="C13" i="33"/>
  <c r="B13" i="33" s="1"/>
  <c r="D16" i="33"/>
  <c r="E32" i="33"/>
  <c r="I32" i="33"/>
  <c r="M32" i="33"/>
  <c r="E24" i="34"/>
  <c r="C24" i="34"/>
  <c r="C18" i="33" l="1"/>
  <c r="B16" i="33"/>
  <c r="B32" i="33"/>
  <c r="E18" i="33"/>
  <c r="D18" i="33"/>
  <c r="B8" i="33"/>
  <c r="B9" i="33"/>
  <c r="B18" i="33" l="1"/>
  <c r="Y95" i="31" l="1"/>
  <c r="X95" i="31"/>
  <c r="W95" i="31"/>
  <c r="Y94" i="31"/>
  <c r="Y93" i="31"/>
  <c r="Y92" i="31"/>
  <c r="Y91" i="31"/>
  <c r="Y90" i="31"/>
  <c r="Y89" i="31"/>
  <c r="Y88" i="31"/>
  <c r="Y87" i="31"/>
  <c r="Y86" i="31"/>
  <c r="Y85" i="31"/>
  <c r="Y84" i="31"/>
  <c r="Y83" i="31"/>
  <c r="X94" i="31"/>
  <c r="W94" i="31"/>
  <c r="X93" i="31"/>
  <c r="W93" i="31"/>
  <c r="X92" i="31"/>
  <c r="W92" i="31"/>
  <c r="X91" i="31"/>
  <c r="W91" i="31"/>
  <c r="X90" i="31"/>
  <c r="W90" i="31"/>
  <c r="X89" i="31"/>
  <c r="W89" i="31"/>
  <c r="X88" i="31"/>
  <c r="W88" i="31"/>
  <c r="X87" i="31"/>
  <c r="W87" i="31"/>
  <c r="X86" i="31"/>
  <c r="W86" i="31"/>
  <c r="X85" i="31"/>
  <c r="W85" i="31"/>
  <c r="X84" i="31"/>
  <c r="W84" i="31"/>
  <c r="X83" i="31"/>
  <c r="W83" i="31"/>
  <c r="AG78" i="31"/>
  <c r="AF78" i="31"/>
  <c r="AE78" i="31"/>
  <c r="AC78" i="31"/>
  <c r="AB78" i="31"/>
  <c r="AA78" i="31"/>
  <c r="Y78" i="31"/>
  <c r="X78" i="31"/>
  <c r="W78" i="31"/>
  <c r="AG77" i="31"/>
  <c r="AF77" i="31"/>
  <c r="AE77" i="31"/>
  <c r="AD77" i="31"/>
  <c r="AC77" i="31"/>
  <c r="AB77" i="31"/>
  <c r="AA77" i="31"/>
  <c r="Z77" i="31"/>
  <c r="Y77" i="31"/>
  <c r="X77" i="31"/>
  <c r="W77" i="31"/>
  <c r="AG76" i="31"/>
  <c r="AF76" i="31"/>
  <c r="AE76" i="31"/>
  <c r="AD76" i="31"/>
  <c r="AC76" i="31"/>
  <c r="AB76" i="31"/>
  <c r="AA76" i="31"/>
  <c r="Z76" i="31"/>
  <c r="Y76" i="31"/>
  <c r="X76" i="31"/>
  <c r="W76" i="31"/>
  <c r="AG75" i="31"/>
  <c r="AF75" i="31"/>
  <c r="AE75" i="31"/>
  <c r="AD75" i="31"/>
  <c r="AC75" i="31"/>
  <c r="AB75" i="31"/>
  <c r="AA75" i="31"/>
  <c r="Z75" i="31"/>
  <c r="Y75" i="31"/>
  <c r="X75" i="31"/>
  <c r="W75" i="31"/>
  <c r="AG74" i="31"/>
  <c r="AF74" i="31"/>
  <c r="AE74" i="31"/>
  <c r="AD74" i="31"/>
  <c r="AC74" i="31"/>
  <c r="AB74" i="31"/>
  <c r="AA74" i="31"/>
  <c r="Z74" i="31"/>
  <c r="Y74" i="31"/>
  <c r="X74" i="31"/>
  <c r="W74" i="31"/>
  <c r="AG73" i="31"/>
  <c r="AF73" i="31"/>
  <c r="AE73" i="31"/>
  <c r="AD73" i="31"/>
  <c r="AC73" i="31"/>
  <c r="AB73" i="31"/>
  <c r="AA73" i="31"/>
  <c r="Z73" i="31"/>
  <c r="Y73" i="31"/>
  <c r="X73" i="31"/>
  <c r="W73" i="31"/>
  <c r="AG72" i="31"/>
  <c r="AF72" i="31"/>
  <c r="AE72" i="31"/>
  <c r="AD72" i="31"/>
  <c r="AC72" i="31"/>
  <c r="AB72" i="31"/>
  <c r="AA72" i="31"/>
  <c r="Z72" i="31"/>
  <c r="Y72" i="31"/>
  <c r="X72" i="31"/>
  <c r="W72" i="31"/>
  <c r="AG71" i="31"/>
  <c r="AF71" i="31"/>
  <c r="AE71" i="31"/>
  <c r="AD71" i="31"/>
  <c r="AC71" i="31"/>
  <c r="AB71" i="31"/>
  <c r="AA71" i="31"/>
  <c r="Z71" i="31"/>
  <c r="Y71" i="31"/>
  <c r="X71" i="31"/>
  <c r="W71" i="31"/>
  <c r="AG70" i="31"/>
  <c r="AF70" i="31"/>
  <c r="AE70" i="31"/>
  <c r="AD70" i="31"/>
  <c r="AC70" i="31"/>
  <c r="AB70" i="31"/>
  <c r="AA70" i="31"/>
  <c r="Z70" i="31"/>
  <c r="Y70" i="31"/>
  <c r="X70" i="31"/>
  <c r="W70" i="31"/>
  <c r="AG69" i="31"/>
  <c r="AF69" i="31"/>
  <c r="AE69" i="31"/>
  <c r="AD69" i="31"/>
  <c r="AC69" i="31"/>
  <c r="AB69" i="31"/>
  <c r="AA69" i="31"/>
  <c r="Z69" i="31"/>
  <c r="Y69" i="31"/>
  <c r="X69" i="31"/>
  <c r="W69" i="31"/>
  <c r="AG68" i="31"/>
  <c r="AF68" i="31"/>
  <c r="AE68" i="31"/>
  <c r="AD68" i="31"/>
  <c r="AC68" i="31"/>
  <c r="AB68" i="31"/>
  <c r="AA68" i="31"/>
  <c r="Z68" i="31"/>
  <c r="Y68" i="31"/>
  <c r="X68" i="31"/>
  <c r="W68" i="31"/>
  <c r="AG67" i="31"/>
  <c r="AF67" i="31"/>
  <c r="AE67" i="31"/>
  <c r="AD67" i="31"/>
  <c r="AC67" i="31"/>
  <c r="AB67" i="31"/>
  <c r="AA67" i="31"/>
  <c r="Z67" i="31"/>
  <c r="Y67" i="31"/>
  <c r="X67" i="31"/>
  <c r="W67" i="31"/>
  <c r="AG66" i="31"/>
  <c r="AF66" i="31"/>
  <c r="AE66" i="31"/>
  <c r="AD66" i="31"/>
  <c r="AC66" i="31"/>
  <c r="AB66" i="31"/>
  <c r="AA66" i="31"/>
  <c r="Z66" i="31"/>
  <c r="Y66" i="31"/>
  <c r="X66" i="31"/>
  <c r="W66" i="31"/>
  <c r="AC61" i="31"/>
  <c r="AB61" i="31"/>
  <c r="AA61" i="31"/>
  <c r="Y61" i="31"/>
  <c r="X61" i="31"/>
  <c r="W61" i="31"/>
  <c r="AD60" i="31"/>
  <c r="AC60" i="31"/>
  <c r="AB60" i="31"/>
  <c r="AA60" i="31"/>
  <c r="Z60" i="31"/>
  <c r="Y60" i="31"/>
  <c r="X60" i="31"/>
  <c r="W60" i="31"/>
  <c r="AD59" i="31"/>
  <c r="AC59" i="31"/>
  <c r="AB59" i="31"/>
  <c r="AA59" i="31"/>
  <c r="Z59" i="31"/>
  <c r="Y59" i="31"/>
  <c r="X59" i="31"/>
  <c r="W59" i="31"/>
  <c r="AD58" i="31"/>
  <c r="AC58" i="31"/>
  <c r="AB58" i="31"/>
  <c r="AA58" i="31"/>
  <c r="Z58" i="31"/>
  <c r="Y58" i="31"/>
  <c r="X58" i="31"/>
  <c r="W58" i="31"/>
  <c r="AD57" i="31"/>
  <c r="AC57" i="31"/>
  <c r="AB57" i="31"/>
  <c r="AA57" i="31"/>
  <c r="Z57" i="31"/>
  <c r="Y57" i="31"/>
  <c r="X57" i="31"/>
  <c r="W57" i="31"/>
  <c r="AD56" i="31"/>
  <c r="AC56" i="31"/>
  <c r="AB56" i="31"/>
  <c r="AA56" i="31"/>
  <c r="Z56" i="31"/>
  <c r="Y56" i="31"/>
  <c r="X56" i="31"/>
  <c r="W56" i="31"/>
  <c r="AD55" i="31"/>
  <c r="AC55" i="31"/>
  <c r="AB55" i="31"/>
  <c r="AA55" i="31"/>
  <c r="Z55" i="31"/>
  <c r="Y55" i="31"/>
  <c r="X55" i="31"/>
  <c r="W55" i="31"/>
  <c r="AD54" i="31"/>
  <c r="AC54" i="31"/>
  <c r="AB54" i="31"/>
  <c r="AA54" i="31"/>
  <c r="Z54" i="31"/>
  <c r="Y54" i="31"/>
  <c r="X54" i="31"/>
  <c r="W54" i="31"/>
  <c r="AD53" i="31"/>
  <c r="AC53" i="31"/>
  <c r="AB53" i="31"/>
  <c r="AA53" i="31"/>
  <c r="Z53" i="31"/>
  <c r="Y53" i="31"/>
  <c r="X53" i="31"/>
  <c r="W53" i="31"/>
  <c r="AD52" i="31"/>
  <c r="AC52" i="31"/>
  <c r="AB52" i="31"/>
  <c r="AA52" i="31"/>
  <c r="Z52" i="31"/>
  <c r="Y52" i="31"/>
  <c r="X52" i="31"/>
  <c r="W52" i="31"/>
  <c r="AD51" i="31"/>
  <c r="AC51" i="31"/>
  <c r="AB51" i="31"/>
  <c r="AA51" i="31"/>
  <c r="Z51" i="31"/>
  <c r="Y51" i="31"/>
  <c r="X51" i="31"/>
  <c r="W51" i="31"/>
  <c r="AD50" i="31"/>
  <c r="AC50" i="31"/>
  <c r="AB50" i="31"/>
  <c r="AA50" i="31"/>
  <c r="Z50" i="31"/>
  <c r="Y50" i="31"/>
  <c r="X50" i="31"/>
  <c r="W50" i="31"/>
  <c r="AD49" i="31"/>
  <c r="AC49" i="31"/>
  <c r="AB49" i="31"/>
  <c r="AA49" i="31"/>
  <c r="Z49" i="31"/>
  <c r="Y49" i="31"/>
  <c r="X49" i="31"/>
  <c r="W49" i="31"/>
  <c r="AG43" i="31"/>
  <c r="AF43" i="31"/>
  <c r="AE43" i="31"/>
  <c r="AD43" i="31"/>
  <c r="AC43" i="31"/>
  <c r="AB43" i="31"/>
  <c r="AA43" i="31"/>
  <c r="Z43" i="31"/>
  <c r="Y43" i="31"/>
  <c r="X43" i="31"/>
  <c r="W43" i="31"/>
  <c r="AG42" i="31"/>
  <c r="AF42" i="31"/>
  <c r="AE42" i="31"/>
  <c r="AD42" i="31"/>
  <c r="AC42" i="31"/>
  <c r="AB42" i="31"/>
  <c r="AA42" i="31"/>
  <c r="Z42" i="31"/>
  <c r="Y42" i="31"/>
  <c r="X42" i="31"/>
  <c r="W42" i="31"/>
  <c r="AG41" i="31"/>
  <c r="AF41" i="31"/>
  <c r="AE41" i="31"/>
  <c r="AD41" i="31"/>
  <c r="AC41" i="31"/>
  <c r="AB41" i="31"/>
  <c r="AA41" i="31"/>
  <c r="Z41" i="31"/>
  <c r="Y41" i="31"/>
  <c r="X41" i="31"/>
  <c r="W41" i="31"/>
  <c r="AG40" i="31"/>
  <c r="AF40" i="31"/>
  <c r="AE40" i="31"/>
  <c r="AD40" i="31"/>
  <c r="AC40" i="31"/>
  <c r="AB40" i="31"/>
  <c r="AA40" i="31"/>
  <c r="Z40" i="31"/>
  <c r="Y40" i="31"/>
  <c r="X40" i="31"/>
  <c r="W40" i="31"/>
  <c r="AG39" i="31"/>
  <c r="AF39" i="31"/>
  <c r="AE39" i="31"/>
  <c r="AD39" i="31"/>
  <c r="AC39" i="31"/>
  <c r="AB39" i="31"/>
  <c r="AA39" i="31"/>
  <c r="Z39" i="31"/>
  <c r="Y39" i="31"/>
  <c r="X39" i="31"/>
  <c r="W39" i="31"/>
  <c r="AG38" i="31"/>
  <c r="AF38" i="31"/>
  <c r="AE38" i="31"/>
  <c r="AD38" i="31"/>
  <c r="AC38" i="31"/>
  <c r="AB38" i="31"/>
  <c r="AA38" i="31"/>
  <c r="Z38" i="31"/>
  <c r="Y38" i="31"/>
  <c r="X38" i="31"/>
  <c r="W38" i="31"/>
  <c r="AG37" i="31"/>
  <c r="AF37" i="31"/>
  <c r="AE37" i="31"/>
  <c r="AD37" i="31"/>
  <c r="AC37" i="31"/>
  <c r="AB37" i="31"/>
  <c r="AA37" i="31"/>
  <c r="Z37" i="31"/>
  <c r="Y37" i="31"/>
  <c r="X37" i="31"/>
  <c r="W37" i="31"/>
  <c r="AG36" i="31"/>
  <c r="AF36" i="31"/>
  <c r="AE36" i="31"/>
  <c r="AD36" i="31"/>
  <c r="AC36" i="31"/>
  <c r="AB36" i="31"/>
  <c r="AA36" i="31"/>
  <c r="Z36" i="31"/>
  <c r="Y36" i="31"/>
  <c r="X36" i="31"/>
  <c r="W36" i="31"/>
  <c r="AG35" i="31"/>
  <c r="AF35" i="31"/>
  <c r="AE35" i="31"/>
  <c r="AD35" i="31"/>
  <c r="AC35" i="31"/>
  <c r="AB35" i="31"/>
  <c r="AA35" i="31"/>
  <c r="Z35" i="31"/>
  <c r="Y35" i="31"/>
  <c r="X35" i="31"/>
  <c r="W35" i="31"/>
  <c r="AG34" i="31"/>
  <c r="AF34" i="31"/>
  <c r="AE34" i="31"/>
  <c r="AD34" i="31"/>
  <c r="AC34" i="31"/>
  <c r="AB34" i="31"/>
  <c r="AA34" i="31"/>
  <c r="Z34" i="31"/>
  <c r="Y34" i="31"/>
  <c r="X34" i="31"/>
  <c r="W34" i="31"/>
  <c r="AG33" i="31"/>
  <c r="AF33" i="31"/>
  <c r="AE33" i="31"/>
  <c r="AD33" i="31"/>
  <c r="AC33" i="31"/>
  <c r="AB33" i="31"/>
  <c r="AA33" i="31"/>
  <c r="Z33" i="31"/>
  <c r="Y33" i="31"/>
  <c r="X33" i="31"/>
  <c r="W33" i="31"/>
  <c r="AG32" i="31"/>
  <c r="AF32" i="31"/>
  <c r="AE32" i="31"/>
  <c r="AD32" i="31"/>
  <c r="AC32" i="31"/>
  <c r="AB32" i="31"/>
  <c r="AA32" i="31"/>
  <c r="Z32" i="31"/>
  <c r="Y32" i="31"/>
  <c r="X32" i="31"/>
  <c r="W32" i="31"/>
  <c r="N17" i="30"/>
  <c r="M17" i="30"/>
  <c r="L17" i="30"/>
  <c r="K17" i="30"/>
  <c r="J17" i="30"/>
  <c r="I17" i="30"/>
  <c r="H17" i="30"/>
  <c r="G17" i="30"/>
  <c r="F17" i="30"/>
  <c r="E17" i="30"/>
  <c r="D17" i="30"/>
  <c r="C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N9" i="30"/>
  <c r="M9" i="30"/>
  <c r="L9" i="30"/>
  <c r="K9" i="30"/>
  <c r="J9" i="30"/>
  <c r="I9" i="30"/>
  <c r="H9" i="30"/>
  <c r="G9" i="30"/>
  <c r="F9" i="30"/>
  <c r="E9" i="30"/>
  <c r="D9" i="30"/>
  <c r="C9" i="30"/>
  <c r="AE44" i="31" l="1"/>
  <c r="AB44" i="31"/>
  <c r="AA44" i="31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A41" i="29"/>
  <c r="H22" i="29"/>
  <c r="H39" i="29" s="1"/>
  <c r="H56" i="29" s="1"/>
  <c r="H73" i="29" s="1"/>
  <c r="H21" i="29"/>
  <c r="H38" i="29" s="1"/>
  <c r="H55" i="29" s="1"/>
  <c r="H72" i="29" s="1"/>
  <c r="H20" i="29"/>
  <c r="H37" i="29" s="1"/>
  <c r="H54" i="29" s="1"/>
  <c r="H71" i="29" s="1"/>
  <c r="H19" i="29"/>
  <c r="H36" i="29" s="1"/>
  <c r="H53" i="29" s="1"/>
  <c r="H70" i="29" s="1"/>
  <c r="H18" i="29"/>
  <c r="H35" i="29" s="1"/>
  <c r="H52" i="29" s="1"/>
  <c r="H69" i="29" s="1"/>
  <c r="H17" i="29"/>
  <c r="H34" i="29" s="1"/>
  <c r="H51" i="29" s="1"/>
  <c r="H68" i="29" s="1"/>
  <c r="H16" i="29"/>
  <c r="H33" i="29" s="1"/>
  <c r="H50" i="29" s="1"/>
  <c r="H67" i="29" s="1"/>
  <c r="H15" i="29"/>
  <c r="H32" i="29" s="1"/>
  <c r="H49" i="29" s="1"/>
  <c r="H66" i="29" s="1"/>
  <c r="H14" i="29"/>
  <c r="H31" i="29" s="1"/>
  <c r="H48" i="29" s="1"/>
  <c r="H65" i="29" s="1"/>
  <c r="H13" i="29"/>
  <c r="H30" i="29" s="1"/>
  <c r="H47" i="29" s="1"/>
  <c r="H64" i="29" s="1"/>
  <c r="H12" i="29"/>
  <c r="H29" i="29" s="1"/>
  <c r="H46" i="29" s="1"/>
  <c r="H63" i="29" s="1"/>
  <c r="H11" i="29"/>
  <c r="H28" i="29" s="1"/>
  <c r="H45" i="29" s="1"/>
  <c r="H62" i="29" s="1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C188" i="27"/>
  <c r="C187" i="27"/>
  <c r="C186" i="27"/>
  <c r="C185" i="27"/>
  <c r="C176" i="27"/>
  <c r="C191" i="27" s="1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E173" i="27"/>
  <c r="E176" i="27" s="1"/>
  <c r="E191" i="27" s="1"/>
  <c r="U172" i="27"/>
  <c r="Q172" i="27"/>
  <c r="P172" i="27"/>
  <c r="O172" i="27"/>
  <c r="N172" i="27"/>
  <c r="M172" i="27"/>
  <c r="L172" i="27"/>
  <c r="K172" i="27"/>
  <c r="J172" i="27"/>
  <c r="J176" i="27" s="1"/>
  <c r="J191" i="27" s="1"/>
  <c r="I172" i="27"/>
  <c r="H172" i="27"/>
  <c r="G172" i="27"/>
  <c r="F172" i="27"/>
  <c r="E172" i="27"/>
  <c r="C170" i="27"/>
  <c r="U170" i="27" s="1"/>
  <c r="U169" i="27"/>
  <c r="Q169" i="27"/>
  <c r="P169" i="27"/>
  <c r="O169" i="27"/>
  <c r="N169" i="27"/>
  <c r="M169" i="27"/>
  <c r="L169" i="27"/>
  <c r="K169" i="27"/>
  <c r="AB169" i="27" s="1"/>
  <c r="J169" i="27"/>
  <c r="J170" i="27" s="1"/>
  <c r="AA167" i="27" s="1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C165" i="27"/>
  <c r="U164" i="27"/>
  <c r="Q164" i="27"/>
  <c r="P164" i="27"/>
  <c r="O164" i="27"/>
  <c r="AF164" i="27" s="1"/>
  <c r="N164" i="27"/>
  <c r="M164" i="27"/>
  <c r="L164" i="27"/>
  <c r="K164" i="27"/>
  <c r="J164" i="27"/>
  <c r="I164" i="27"/>
  <c r="H164" i="27"/>
  <c r="G164" i="27"/>
  <c r="F164" i="27"/>
  <c r="E164" i="27"/>
  <c r="U163" i="27"/>
  <c r="Q163" i="27"/>
  <c r="P163" i="27"/>
  <c r="O163" i="27"/>
  <c r="O165" i="27" s="1"/>
  <c r="AF162" i="27" s="1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M162" i="27"/>
  <c r="M185" i="27" s="1"/>
  <c r="L162" i="27"/>
  <c r="K162" i="27"/>
  <c r="J162" i="27"/>
  <c r="I162" i="27"/>
  <c r="H162" i="27"/>
  <c r="G162" i="27"/>
  <c r="G165" i="27" s="1"/>
  <c r="X164" i="27" s="1"/>
  <c r="F162" i="27"/>
  <c r="E162" i="27"/>
  <c r="E165" i="27" s="1"/>
  <c r="V163" i="27" s="1"/>
  <c r="U160" i="27"/>
  <c r="C160" i="27"/>
  <c r="U159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U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F160" i="27" s="1"/>
  <c r="W158" i="27" s="1"/>
  <c r="E158" i="27"/>
  <c r="U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U155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C153" i="27"/>
  <c r="U153" i="27" s="1"/>
  <c r="U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U151" i="27"/>
  <c r="Q151" i="27"/>
  <c r="Q153" i="27" s="1"/>
  <c r="P151" i="27"/>
  <c r="O151" i="27"/>
  <c r="N151" i="27"/>
  <c r="M151" i="27"/>
  <c r="M153" i="27" s="1"/>
  <c r="AD151" i="27" s="1"/>
  <c r="L151" i="27"/>
  <c r="K151" i="27"/>
  <c r="J151" i="27"/>
  <c r="I151" i="27"/>
  <c r="I153" i="27" s="1"/>
  <c r="Z151" i="27" s="1"/>
  <c r="H151" i="27"/>
  <c r="G151" i="27"/>
  <c r="F151" i="27"/>
  <c r="E151" i="27"/>
  <c r="C149" i="27"/>
  <c r="U149" i="27" s="1"/>
  <c r="U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U147" i="27"/>
  <c r="Q147" i="27"/>
  <c r="Q186" i="27" s="1"/>
  <c r="P147" i="27"/>
  <c r="O147" i="27"/>
  <c r="N147" i="27"/>
  <c r="M147" i="27"/>
  <c r="M149" i="27" s="1"/>
  <c r="AD148" i="27" s="1"/>
  <c r="L147" i="27"/>
  <c r="K147" i="27"/>
  <c r="J147" i="27"/>
  <c r="I147" i="27"/>
  <c r="H147" i="27"/>
  <c r="G147" i="27"/>
  <c r="F147" i="27"/>
  <c r="E147" i="27"/>
  <c r="U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E185" i="27" s="1"/>
  <c r="U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AD146" i="27" l="1"/>
  <c r="F186" i="27"/>
  <c r="J186" i="27"/>
  <c r="L187" i="27"/>
  <c r="P187" i="27"/>
  <c r="AD152" i="27"/>
  <c r="J160" i="27"/>
  <c r="AA158" i="27" s="1"/>
  <c r="N160" i="27"/>
  <c r="AE158" i="27" s="1"/>
  <c r="J165" i="27"/>
  <c r="AA163" i="27" s="1"/>
  <c r="E153" i="27"/>
  <c r="V151" i="27"/>
  <c r="AA169" i="27"/>
  <c r="G176" i="27"/>
  <c r="G191" i="27" s="1"/>
  <c r="K176" i="27"/>
  <c r="K191" i="27" s="1"/>
  <c r="O176" i="27"/>
  <c r="O191" i="27" s="1"/>
  <c r="G186" i="27"/>
  <c r="O186" i="27"/>
  <c r="E149" i="27"/>
  <c r="G188" i="27"/>
  <c r="G195" i="27" s="1"/>
  <c r="G196" i="27" s="1"/>
  <c r="O188" i="27"/>
  <c r="O195" i="27" s="1"/>
  <c r="O196" i="27" s="1"/>
  <c r="Q187" i="27"/>
  <c r="F165" i="27"/>
  <c r="W163" i="27" s="1"/>
  <c r="N165" i="27"/>
  <c r="AE163" i="27" s="1"/>
  <c r="F176" i="27"/>
  <c r="F191" i="27" s="1"/>
  <c r="C61" i="28" s="1" a="1"/>
  <c r="N176" i="27"/>
  <c r="N191" i="27" s="1"/>
  <c r="K188" i="27"/>
  <c r="I185" i="27"/>
  <c r="C43" i="28" s="1" a="1"/>
  <c r="Q185" i="27"/>
  <c r="H186" i="27"/>
  <c r="L186" i="27"/>
  <c r="P186" i="27"/>
  <c r="I149" i="27"/>
  <c r="Z148" i="27" s="1"/>
  <c r="H160" i="27"/>
  <c r="L160" i="27"/>
  <c r="AC159" i="27" s="1"/>
  <c r="P160" i="27"/>
  <c r="W159" i="27"/>
  <c r="AE159" i="27"/>
  <c r="AF44" i="31"/>
  <c r="X44" i="31"/>
  <c r="K195" i="27"/>
  <c r="K196" i="27" s="1"/>
  <c r="N186" i="27"/>
  <c r="AE147" i="27"/>
  <c r="G187" i="27"/>
  <c r="X148" i="27"/>
  <c r="K187" i="27"/>
  <c r="AB148" i="27"/>
  <c r="O187" i="27"/>
  <c r="F153" i="27"/>
  <c r="W152" i="27" s="1"/>
  <c r="J153" i="27"/>
  <c r="AA152" i="27" s="1"/>
  <c r="N153" i="27"/>
  <c r="AE152" i="27" s="1"/>
  <c r="N187" i="27"/>
  <c r="I187" i="27"/>
  <c r="H165" i="27"/>
  <c r="Y164" i="27" s="1"/>
  <c r="L165" i="27"/>
  <c r="AC164" i="27" s="1"/>
  <c r="P165" i="27"/>
  <c r="AG164" i="27" s="1"/>
  <c r="AG162" i="27"/>
  <c r="AG16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G153" i="27"/>
  <c r="X152" i="27" s="1"/>
  <c r="X151" i="27"/>
  <c r="X153" i="27" s="1"/>
  <c r="K153" i="27"/>
  <c r="AB152" i="27" s="1"/>
  <c r="O153" i="27"/>
  <c r="AF152" i="27" s="1"/>
  <c r="AF151" i="27"/>
  <c r="AF153" i="27" s="1"/>
  <c r="F187" i="27"/>
  <c r="AE146" i="27"/>
  <c r="AA147" i="27"/>
  <c r="O149" i="27"/>
  <c r="AF148" i="27" s="1"/>
  <c r="C178" i="27"/>
  <c r="AE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G185" i="27"/>
  <c r="X146" i="27"/>
  <c r="K185" i="27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G159" i="27"/>
  <c r="AG157" i="27"/>
  <c r="Z169" i="27"/>
  <c r="F188" i="27"/>
  <c r="J188" i="27"/>
  <c r="N188" i="27"/>
  <c r="H185" i="27"/>
  <c r="L185" i="27"/>
  <c r="P185" i="27"/>
  <c r="AC146" i="27"/>
  <c r="E186" i="27"/>
  <c r="V147" i="27"/>
  <c r="I186" i="27"/>
  <c r="Z147" i="27"/>
  <c r="M186" i="27"/>
  <c r="AD147" i="27"/>
  <c r="Y147" i="27"/>
  <c r="J187" i="27"/>
  <c r="G149" i="27"/>
  <c r="L149" i="27"/>
  <c r="AC147" i="27" s="1"/>
  <c r="Q149" i="27"/>
  <c r="Q178" i="27" s="1"/>
  <c r="W157" i="27"/>
  <c r="W160" i="27" s="1"/>
  <c r="AE157" i="27"/>
  <c r="X162" i="27"/>
  <c r="X163" i="27"/>
  <c r="K165" i="27"/>
  <c r="AF163" i="27"/>
  <c r="AF165" i="27" s="1"/>
  <c r="E170" i="27"/>
  <c r="V168" i="27" s="1"/>
  <c r="I170" i="27"/>
  <c r="Z168" i="27" s="1"/>
  <c r="M170" i="27"/>
  <c r="AD168" i="27" s="1"/>
  <c r="Q170" i="27"/>
  <c r="Y158" i="27"/>
  <c r="AG158" i="27"/>
  <c r="V162" i="27"/>
  <c r="W164" i="27"/>
  <c r="AA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I165" i="27"/>
  <c r="Z163" i="27" s="1"/>
  <c r="M165" i="27"/>
  <c r="AD163" i="27" s="1"/>
  <c r="AG163" i="27"/>
  <c r="AA168" i="27"/>
  <c r="AA170" i="27" s="1"/>
  <c r="W162" i="27"/>
  <c r="AA162" i="27"/>
  <c r="AA165" i="27" s="1"/>
  <c r="V164" i="27"/>
  <c r="AD164" i="27"/>
  <c r="X168" i="27"/>
  <c r="AB168" i="27"/>
  <c r="AB170" i="27" s="1"/>
  <c r="AF168" i="27"/>
  <c r="F170" i="27"/>
  <c r="N170" i="27"/>
  <c r="H176" i="27"/>
  <c r="H191" i="27" s="1"/>
  <c r="L176" i="27"/>
  <c r="L191" i="27" s="1"/>
  <c r="P176" i="27"/>
  <c r="P191" i="27" s="1"/>
  <c r="C61" i="28" l="1"/>
  <c r="C62" i="28"/>
  <c r="J46" i="29" s="1"/>
  <c r="C67" i="28"/>
  <c r="J51" i="29" s="1"/>
  <c r="C72" i="28"/>
  <c r="J56" i="29" s="1"/>
  <c r="C63" i="28"/>
  <c r="J47" i="29" s="1"/>
  <c r="C68" i="28"/>
  <c r="J52" i="29" s="1"/>
  <c r="C64" i="28"/>
  <c r="J48" i="29" s="1"/>
  <c r="C70" i="28"/>
  <c r="J54" i="29" s="1"/>
  <c r="C66" i="28"/>
  <c r="J50" i="29" s="1"/>
  <c r="C71" i="28"/>
  <c r="J55" i="29" s="1"/>
  <c r="C65" i="28"/>
  <c r="J49" i="29" s="1"/>
  <c r="C69" i="28"/>
  <c r="J53" i="29" s="1"/>
  <c r="C43" i="28"/>
  <c r="C46" i="28"/>
  <c r="C52" i="28"/>
  <c r="C48" i="28"/>
  <c r="C53" i="28"/>
  <c r="C50" i="28"/>
  <c r="C44" i="28"/>
  <c r="C54" i="28"/>
  <c r="C45" i="28"/>
  <c r="C49" i="28"/>
  <c r="C51" i="28"/>
  <c r="C47" i="28"/>
  <c r="V165" i="27"/>
  <c r="Z149" i="27"/>
  <c r="AE162" i="27"/>
  <c r="AE165" i="27" s="1"/>
  <c r="Z162" i="27"/>
  <c r="Z165" i="27" s="1"/>
  <c r="AE164" i="27"/>
  <c r="V167" i="27"/>
  <c r="V170" i="27" s="1"/>
  <c r="J178" i="27"/>
  <c r="Y163" i="27"/>
  <c r="AC158" i="27"/>
  <c r="AD167" i="27"/>
  <c r="AE160" i="27"/>
  <c r="V169" i="27"/>
  <c r="AC157" i="27"/>
  <c r="AC160" i="27" s="1"/>
  <c r="AB146" i="27"/>
  <c r="AB149" i="27" s="1"/>
  <c r="O43" i="28" a="1"/>
  <c r="AC148" i="27"/>
  <c r="AA157" i="27"/>
  <c r="Z164" i="27"/>
  <c r="G43" i="28" a="1"/>
  <c r="F178" i="27"/>
  <c r="K43" i="28" a="1"/>
  <c r="AB151" i="27"/>
  <c r="AB153" i="27" s="1"/>
  <c r="Y148" i="27"/>
  <c r="E189" i="27"/>
  <c r="E192" i="27" s="1"/>
  <c r="T185" i="27" s="1"/>
  <c r="Y162" i="27"/>
  <c r="Z146" i="27"/>
  <c r="AA159" i="27"/>
  <c r="V148" i="27"/>
  <c r="V146" i="27"/>
  <c r="V149" i="27" s="1"/>
  <c r="W44" i="31"/>
  <c r="AG44" i="31"/>
  <c r="AC44" i="31"/>
  <c r="AE169" i="27"/>
  <c r="AE167" i="27"/>
  <c r="AC149" i="27"/>
  <c r="N178" i="27"/>
  <c r="I17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Y167" i="27"/>
  <c r="X165" i="27"/>
  <c r="P189" i="27"/>
  <c r="P192" i="27" s="1"/>
  <c r="AE185" i="27" s="1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C153" i="27" s="1"/>
  <c r="AE149" i="27"/>
  <c r="J189" i="27"/>
  <c r="J192" i="27" s="1"/>
  <c r="Y185" i="27" s="1"/>
  <c r="H178" i="27"/>
  <c r="Y165" i="27"/>
  <c r="Z159" i="27"/>
  <c r="AE151" i="27"/>
  <c r="AE153" i="27" s="1"/>
  <c r="W151" i="27"/>
  <c r="W153" i="27" s="1"/>
  <c r="Z187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8" i="27" s="1"/>
  <c r="AG146" i="27"/>
  <c r="AG149" i="27" s="1"/>
  <c r="AG147" i="27"/>
  <c r="AG148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AE168" i="27"/>
  <c r="AC163" i="27"/>
  <c r="AG169" i="27"/>
  <c r="X170" i="27"/>
  <c r="AC167" i="27"/>
  <c r="AC170" i="27" s="1"/>
  <c r="AB163" i="27"/>
  <c r="G178" i="27"/>
  <c r="X147" i="27"/>
  <c r="X149" i="27" s="1"/>
  <c r="AB186" i="27"/>
  <c r="T186" i="27"/>
  <c r="H189" i="27"/>
  <c r="H192" i="27" s="1"/>
  <c r="W186" i="27" s="1"/>
  <c r="J195" i="27"/>
  <c r="J196" i="27" s="1"/>
  <c r="AD169" i="27"/>
  <c r="AD170" i="27" s="1"/>
  <c r="AG160" i="27"/>
  <c r="Y160" i="27"/>
  <c r="AD157" i="27"/>
  <c r="V157" i="27"/>
  <c r="AG153" i="27"/>
  <c r="O189" i="27"/>
  <c r="O192" i="27" s="1"/>
  <c r="AD185" i="27" s="1"/>
  <c r="G189" i="27"/>
  <c r="G192" i="27" s="1"/>
  <c r="V185" i="27" s="1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P195" i="27"/>
  <c r="P196" i="27" s="1"/>
  <c r="AC162" i="27"/>
  <c r="AD159" i="27"/>
  <c r="AA151" i="27"/>
  <c r="AA153" i="27" s="1"/>
  <c r="AD187" i="27" l="1"/>
  <c r="G43" i="28"/>
  <c r="G44" i="28"/>
  <c r="G49" i="28"/>
  <c r="G54" i="28"/>
  <c r="G45" i="28"/>
  <c r="G50" i="28"/>
  <c r="G53" i="28"/>
  <c r="G46" i="28"/>
  <c r="G48" i="28"/>
  <c r="G52" i="28"/>
  <c r="G47" i="28"/>
  <c r="G51" i="28"/>
  <c r="O43" i="28"/>
  <c r="O46" i="28"/>
  <c r="O52" i="28"/>
  <c r="O48" i="28"/>
  <c r="O53" i="28"/>
  <c r="O44" i="28"/>
  <c r="O49" i="28"/>
  <c r="O54" i="28"/>
  <c r="O45" i="28"/>
  <c r="O50" i="28"/>
  <c r="O51" i="28"/>
  <c r="O47" i="28"/>
  <c r="W149" i="27"/>
  <c r="Y188" i="27"/>
  <c r="T190" i="27"/>
  <c r="AC186" i="27"/>
  <c r="W187" i="27"/>
  <c r="Y170" i="27"/>
  <c r="K43" i="28"/>
  <c r="K46" i="28"/>
  <c r="K52" i="28"/>
  <c r="K48" i="28"/>
  <c r="K53" i="28"/>
  <c r="K45" i="28"/>
  <c r="K49" i="28"/>
  <c r="K50" i="28"/>
  <c r="K44" i="28"/>
  <c r="K54" i="28"/>
  <c r="K51" i="28"/>
  <c r="K47" i="28"/>
  <c r="AA160" i="27"/>
  <c r="V187" i="27"/>
  <c r="E24" i="28" s="1" a="1"/>
  <c r="W185" i="27"/>
  <c r="W189" i="27"/>
  <c r="AA185" i="27"/>
  <c r="AG170" i="27"/>
  <c r="C55" i="28"/>
  <c r="J45" i="29"/>
  <c r="J57" i="29" s="1"/>
  <c r="C73" i="28"/>
  <c r="Y44" i="31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W170" i="27"/>
  <c r="AB185" i="27"/>
  <c r="AB189" i="27"/>
  <c r="AE170" i="27"/>
  <c r="AC185" i="27"/>
  <c r="X160" i="27"/>
  <c r="AA187" i="27"/>
  <c r="AA186" i="27"/>
  <c r="AA189" i="27"/>
  <c r="AE186" i="27"/>
  <c r="AE187" i="27"/>
  <c r="U186" i="27"/>
  <c r="U189" i="27"/>
  <c r="G24" i="28" s="1" a="1"/>
  <c r="AB160" i="27"/>
  <c r="AC187" i="27"/>
  <c r="AE188" i="27"/>
  <c r="V189" i="27"/>
  <c r="V188" i="27"/>
  <c r="F24" i="28" s="1" a="1"/>
  <c r="V186" i="27"/>
  <c r="V190" i="27" s="1"/>
  <c r="V160" i="27"/>
  <c r="W188" i="27"/>
  <c r="AB165" i="27"/>
  <c r="Y186" i="27"/>
  <c r="Y189" i="27"/>
  <c r="X188" i="27"/>
  <c r="AC188" i="27"/>
  <c r="X186" i="27"/>
  <c r="AE189" i="27"/>
  <c r="U185" i="27"/>
  <c r="U190" i="27" s="1"/>
  <c r="AB187" i="27"/>
  <c r="Y187" i="27"/>
  <c r="E24" i="28" l="1"/>
  <c r="E34" i="28"/>
  <c r="E26" i="28"/>
  <c r="E29" i="28"/>
  <c r="E31" i="28"/>
  <c r="E33" i="28"/>
  <c r="E35" i="28"/>
  <c r="E27" i="28"/>
  <c r="E30" i="28"/>
  <c r="E32" i="28"/>
  <c r="E25" i="28"/>
  <c r="E28" i="28"/>
  <c r="F24" i="28"/>
  <c r="F34" i="28"/>
  <c r="F29" i="28"/>
  <c r="F30" i="28"/>
  <c r="F33" i="28"/>
  <c r="F31" i="28"/>
  <c r="F32" i="28"/>
  <c r="F25" i="28"/>
  <c r="F27" i="28"/>
  <c r="F26" i="28"/>
  <c r="F28" i="28"/>
  <c r="F35" i="28"/>
  <c r="G24" i="28"/>
  <c r="G34" i="28"/>
  <c r="G26" i="28"/>
  <c r="G29" i="28"/>
  <c r="G31" i="28"/>
  <c r="G25" i="28"/>
  <c r="G33" i="28"/>
  <c r="G35" i="28"/>
  <c r="G32" i="28"/>
  <c r="G27" i="28"/>
  <c r="G30" i="28"/>
  <c r="G28" i="28"/>
  <c r="Y190" i="27"/>
  <c r="AE190" i="27"/>
  <c r="K55" i="28"/>
  <c r="O55" i="28"/>
  <c r="W190" i="27"/>
  <c r="AC190" i="27"/>
  <c r="D24" i="28" a="1"/>
  <c r="AA190" i="27"/>
  <c r="Z190" i="27"/>
  <c r="C24" i="28" a="1"/>
  <c r="G55" i="28"/>
  <c r="AB190" i="27"/>
  <c r="X190" i="27"/>
  <c r="K15" i="25"/>
  <c r="C24" i="28" l="1"/>
  <c r="C29" i="28"/>
  <c r="C31" i="28"/>
  <c r="C26" i="28"/>
  <c r="C34" i="28"/>
  <c r="C33" i="28"/>
  <c r="C35" i="28"/>
  <c r="C27" i="28"/>
  <c r="H27" i="28" s="1"/>
  <c r="C30" i="28"/>
  <c r="H30" i="28" s="1"/>
  <c r="C25" i="28"/>
  <c r="C32" i="28"/>
  <c r="C28" i="28"/>
  <c r="H28" i="28" s="1"/>
  <c r="D24" i="28"/>
  <c r="D25" i="28"/>
  <c r="D27" i="28"/>
  <c r="D32" i="28"/>
  <c r="D34" i="28"/>
  <c r="H34" i="28" s="1"/>
  <c r="D28" i="28"/>
  <c r="D35" i="28"/>
  <c r="D31" i="28"/>
  <c r="H31" i="28" s="1"/>
  <c r="D29" i="28"/>
  <c r="H29" i="28" s="1"/>
  <c r="D30" i="28"/>
  <c r="D33" i="28"/>
  <c r="D26" i="28"/>
  <c r="M15" i="25"/>
  <c r="M14" i="25"/>
  <c r="H24" i="28" l="1"/>
  <c r="H26" i="28"/>
  <c r="H32" i="28"/>
  <c r="H35" i="28"/>
  <c r="H25" i="28"/>
  <c r="H33" i="28"/>
  <c r="M13" i="25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K9" i="25" l="1"/>
  <c r="M8" i="25" l="1"/>
  <c r="K8" i="25" l="1"/>
  <c r="M7" i="25"/>
  <c r="G24" i="16" l="1"/>
  <c r="M6" i="25" l="1"/>
  <c r="M5" i="25"/>
  <c r="K7" i="25"/>
  <c r="K6" i="25" l="1"/>
  <c r="E50" i="16"/>
  <c r="J56" i="14" l="1"/>
  <c r="I56" i="14"/>
  <c r="M4" i="25" l="1"/>
  <c r="K5" i="25" l="1"/>
  <c r="M8" i="26" l="1"/>
  <c r="N8" i="26" s="1"/>
  <c r="M9" i="26"/>
  <c r="N9" i="26" s="1"/>
  <c r="M10" i="26"/>
  <c r="N10" i="26" s="1"/>
  <c r="M11" i="26"/>
  <c r="N11" i="26" s="1"/>
  <c r="M12" i="26"/>
  <c r="N12" i="26" s="1"/>
  <c r="M13" i="26"/>
  <c r="N13" i="26" s="1"/>
  <c r="M14" i="26"/>
  <c r="N14" i="26" s="1"/>
  <c r="M15" i="26"/>
  <c r="N15" i="26" s="1"/>
  <c r="M16" i="26"/>
  <c r="N16" i="26" s="1"/>
  <c r="M17" i="26"/>
  <c r="N17" i="26" s="1"/>
  <c r="M18" i="26"/>
  <c r="N18" i="26" s="1"/>
  <c r="M19" i="26"/>
  <c r="N19" i="26" s="1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76" i="14" l="1"/>
  <c r="L76" i="14"/>
  <c r="K76" i="14"/>
  <c r="J76" i="14"/>
  <c r="I76" i="14"/>
  <c r="H76" i="14"/>
  <c r="G76" i="14"/>
  <c r="F76" i="14"/>
  <c r="E76" i="14"/>
  <c r="D76" i="14"/>
  <c r="C76" i="14"/>
  <c r="B76" i="14"/>
  <c r="M75" i="14"/>
  <c r="L75" i="14"/>
  <c r="K75" i="14"/>
  <c r="J75" i="14"/>
  <c r="I75" i="14"/>
  <c r="H75" i="14"/>
  <c r="G75" i="14"/>
  <c r="F75" i="14"/>
  <c r="E75" i="14"/>
  <c r="D75" i="14"/>
  <c r="C75" i="14"/>
  <c r="B75" i="14"/>
  <c r="M29" i="6"/>
  <c r="L29" i="6"/>
  <c r="K29" i="6"/>
  <c r="J29" i="6"/>
  <c r="I29" i="6"/>
  <c r="H29" i="6"/>
  <c r="G29" i="6"/>
  <c r="F29" i="6"/>
  <c r="E29" i="6"/>
  <c r="D29" i="6"/>
  <c r="C29" i="6"/>
  <c r="B29" i="6"/>
  <c r="N45" i="29" s="1" a="1"/>
  <c r="M28" i="6"/>
  <c r="L28" i="6"/>
  <c r="K28" i="6"/>
  <c r="J28" i="6"/>
  <c r="I28" i="6"/>
  <c r="H28" i="6"/>
  <c r="G28" i="6"/>
  <c r="F28" i="6"/>
  <c r="E28" i="6"/>
  <c r="D28" i="6"/>
  <c r="C28" i="6"/>
  <c r="B28" i="6"/>
  <c r="N56" i="29" l="1"/>
  <c r="N53" i="29"/>
  <c r="N51" i="29"/>
  <c r="N47" i="29"/>
  <c r="N55" i="29"/>
  <c r="N54" i="29"/>
  <c r="N49" i="29"/>
  <c r="N50" i="29"/>
  <c r="N45" i="29"/>
  <c r="N48" i="29"/>
  <c r="N46" i="29"/>
  <c r="N52" i="29"/>
  <c r="K45" i="3" a="1"/>
  <c r="K48" i="3" s="1"/>
  <c r="C9" i="28" s="1"/>
  <c r="G64" i="28" s="1"/>
  <c r="J21" i="26"/>
  <c r="N57" i="29" l="1"/>
  <c r="K45" i="3"/>
  <c r="C6" i="28" s="1"/>
  <c r="K50" i="3"/>
  <c r="C11" i="28" s="1"/>
  <c r="G66" i="28" s="1"/>
  <c r="K55" i="3"/>
  <c r="C16" i="28" s="1"/>
  <c r="G71" i="28" s="1"/>
  <c r="K49" i="3"/>
  <c r="C10" i="28" s="1"/>
  <c r="G65" i="28" s="1"/>
  <c r="K54" i="3"/>
  <c r="C15" i="28" s="1"/>
  <c r="G70" i="28" s="1"/>
  <c r="K52" i="3"/>
  <c r="C13" i="28" s="1"/>
  <c r="G68" i="28" s="1"/>
  <c r="K53" i="3"/>
  <c r="C14" i="28" s="1"/>
  <c r="G69" i="28" s="1"/>
  <c r="K47" i="3"/>
  <c r="C8" i="28" s="1"/>
  <c r="G63" i="28" s="1"/>
  <c r="K56" i="3"/>
  <c r="C17" i="28" s="1"/>
  <c r="G72" i="28" s="1"/>
  <c r="K46" i="3"/>
  <c r="C7" i="28" s="1"/>
  <c r="G62" i="28" s="1"/>
  <c r="K51" i="3"/>
  <c r="C12" i="28" s="1"/>
  <c r="G67" i="28" s="1"/>
  <c r="A15" i="25"/>
  <c r="C18" i="28" l="1"/>
  <c r="G61" i="28"/>
  <c r="N24" i="16"/>
  <c r="C24" i="16" l="1"/>
  <c r="D24" i="16"/>
  <c r="E24" i="16"/>
  <c r="T44" i="14" l="1"/>
  <c r="S44" i="14"/>
  <c r="R44" i="14"/>
  <c r="Q44" i="14"/>
  <c r="P44" i="14"/>
  <c r="O44" i="14"/>
  <c r="N44" i="14"/>
  <c r="M44" i="14"/>
  <c r="L44" i="14"/>
  <c r="K44" i="14"/>
  <c r="J44" i="14"/>
  <c r="I44" i="14"/>
  <c r="T43" i="14"/>
  <c r="S43" i="14"/>
  <c r="R43" i="14"/>
  <c r="Q43" i="14"/>
  <c r="P43" i="14"/>
  <c r="O43" i="14"/>
  <c r="N43" i="14"/>
  <c r="M43" i="14"/>
  <c r="M45" i="14" s="1"/>
  <c r="L43" i="14"/>
  <c r="K43" i="14"/>
  <c r="J43" i="14"/>
  <c r="I43" i="14"/>
  <c r="I47" i="14"/>
  <c r="I48" i="14"/>
  <c r="I51" i="14"/>
  <c r="I52" i="14"/>
  <c r="N45" i="14" l="1"/>
  <c r="S45" i="14"/>
  <c r="T45" i="14"/>
  <c r="O45" i="14"/>
  <c r="J45" i="14"/>
  <c r="I45" i="14"/>
  <c r="I49" i="14"/>
  <c r="K45" i="14"/>
  <c r="L45" i="14"/>
  <c r="P45" i="14"/>
  <c r="Q45" i="14"/>
  <c r="R45" i="14"/>
  <c r="I53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l="1"/>
  <c r="L11" i="25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O15" i="25"/>
  <c r="O14" i="25"/>
  <c r="O13" i="25"/>
  <c r="O11" i="25"/>
  <c r="O10" i="25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7" i="14"/>
  <c r="D77" i="14"/>
  <c r="E77" i="14"/>
  <c r="F77" i="14"/>
  <c r="G77" i="14"/>
  <c r="H77" i="14"/>
  <c r="I77" i="14"/>
  <c r="J77" i="14"/>
  <c r="K77" i="14"/>
  <c r="L77" i="14"/>
  <c r="M77" i="14"/>
  <c r="B77" i="14"/>
  <c r="B74" i="14"/>
  <c r="B73" i="14"/>
  <c r="B72" i="14"/>
  <c r="B71" i="14"/>
  <c r="B70" i="14"/>
  <c r="B69" i="14"/>
  <c r="B68" i="14"/>
  <c r="B67" i="14"/>
  <c r="B66" i="14"/>
  <c r="B65" i="14"/>
  <c r="N16" i="25" l="1"/>
  <c r="O5" i="25"/>
  <c r="T56" i="14"/>
  <c r="S56" i="14"/>
  <c r="R56" i="14"/>
  <c r="Q56" i="14"/>
  <c r="P56" i="14"/>
  <c r="O56" i="14"/>
  <c r="N56" i="14"/>
  <c r="M56" i="14"/>
  <c r="L56" i="14"/>
  <c r="K56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T48" i="14"/>
  <c r="S48" i="14"/>
  <c r="R48" i="14"/>
  <c r="Q48" i="14"/>
  <c r="P48" i="14"/>
  <c r="O48" i="14"/>
  <c r="N48" i="14"/>
  <c r="M48" i="14"/>
  <c r="L48" i="14"/>
  <c r="K48" i="14"/>
  <c r="J48" i="14"/>
  <c r="T47" i="14"/>
  <c r="S47" i="14"/>
  <c r="R47" i="14"/>
  <c r="Q47" i="14"/>
  <c r="P47" i="14"/>
  <c r="O47" i="14"/>
  <c r="N47" i="14"/>
  <c r="M47" i="14"/>
  <c r="L47" i="14"/>
  <c r="K47" i="14"/>
  <c r="J47" i="14"/>
  <c r="T52" i="14"/>
  <c r="S52" i="14"/>
  <c r="R52" i="14"/>
  <c r="Q52" i="14"/>
  <c r="P52" i="14"/>
  <c r="O52" i="14"/>
  <c r="N52" i="14"/>
  <c r="M52" i="14"/>
  <c r="L52" i="14"/>
  <c r="K52" i="14"/>
  <c r="J52" i="14"/>
  <c r="T51" i="14"/>
  <c r="S51" i="14"/>
  <c r="R51" i="14"/>
  <c r="Q51" i="14"/>
  <c r="P51" i="14"/>
  <c r="O51" i="14"/>
  <c r="N51" i="14"/>
  <c r="M51" i="14"/>
  <c r="L51" i="14"/>
  <c r="K51" i="14"/>
  <c r="J51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I7" i="26"/>
  <c r="J7" i="26" s="1"/>
  <c r="K7" i="26" s="1"/>
  <c r="L7" i="26" s="1"/>
  <c r="I12" i="3" l="1"/>
  <c r="I29" i="3" s="1"/>
  <c r="I46" i="3" s="1"/>
  <c r="I13" i="3"/>
  <c r="I30" i="3" s="1"/>
  <c r="I47" i="3" s="1"/>
  <c r="I14" i="3"/>
  <c r="I31" i="3" s="1"/>
  <c r="I48" i="3" s="1"/>
  <c r="I15" i="3"/>
  <c r="I32" i="3" s="1"/>
  <c r="I49" i="3" s="1"/>
  <c r="I16" i="3"/>
  <c r="I33" i="3" s="1"/>
  <c r="I50" i="3" s="1"/>
  <c r="I17" i="3"/>
  <c r="I34" i="3" s="1"/>
  <c r="I51" i="3" s="1"/>
  <c r="I18" i="3"/>
  <c r="I35" i="3" s="1"/>
  <c r="I52" i="3" s="1"/>
  <c r="I19" i="3"/>
  <c r="I36" i="3" s="1"/>
  <c r="I53" i="3" s="1"/>
  <c r="I20" i="3"/>
  <c r="I37" i="3" s="1"/>
  <c r="I54" i="3" s="1"/>
  <c r="I21" i="3"/>
  <c r="I38" i="3" s="1"/>
  <c r="I55" i="3" s="1"/>
  <c r="I22" i="3"/>
  <c r="I39" i="3" s="1"/>
  <c r="I56" i="3" s="1"/>
  <c r="I11" i="3"/>
  <c r="I28" i="3" s="1"/>
  <c r="I45" i="3" s="1"/>
  <c r="M21" i="26"/>
  <c r="I73" i="3" l="1"/>
  <c r="A17" i="28"/>
  <c r="A35" i="28" s="1"/>
  <c r="A54" i="28" s="1"/>
  <c r="A72" i="28" s="1"/>
  <c r="I65" i="3"/>
  <c r="A9" i="28"/>
  <c r="A27" i="28" s="1"/>
  <c r="A46" i="28" s="1"/>
  <c r="A64" i="28" s="1"/>
  <c r="I62" i="3"/>
  <c r="A6" i="28"/>
  <c r="A24" i="28" s="1"/>
  <c r="A43" i="28" s="1"/>
  <c r="A61" i="28" s="1"/>
  <c r="I70" i="3"/>
  <c r="A14" i="28"/>
  <c r="A32" i="28" s="1"/>
  <c r="A51" i="28" s="1"/>
  <c r="A69" i="28" s="1"/>
  <c r="I66" i="3"/>
  <c r="A10" i="28"/>
  <c r="A28" i="28" s="1"/>
  <c r="A47" i="28" s="1"/>
  <c r="A65" i="28" s="1"/>
  <c r="I69" i="3"/>
  <c r="A13" i="28"/>
  <c r="A31" i="28" s="1"/>
  <c r="A50" i="28" s="1"/>
  <c r="A68" i="28" s="1"/>
  <c r="I72" i="3"/>
  <c r="A16" i="28"/>
  <c r="A34" i="28" s="1"/>
  <c r="A53" i="28" s="1"/>
  <c r="A71" i="28" s="1"/>
  <c r="I68" i="3"/>
  <c r="A12" i="28"/>
  <c r="A30" i="28" s="1"/>
  <c r="A49" i="28" s="1"/>
  <c r="A67" i="28" s="1"/>
  <c r="I64" i="3"/>
  <c r="A8" i="28"/>
  <c r="A26" i="28" s="1"/>
  <c r="A45" i="28" s="1"/>
  <c r="A63" i="28" s="1"/>
  <c r="K23" i="26"/>
  <c r="L23" i="26"/>
  <c r="I71" i="3"/>
  <c r="A15" i="28"/>
  <c r="A33" i="28" s="1"/>
  <c r="A52" i="28" s="1"/>
  <c r="A70" i="28" s="1"/>
  <c r="I67" i="3"/>
  <c r="A11" i="28"/>
  <c r="A29" i="28" s="1"/>
  <c r="A48" i="28" s="1"/>
  <c r="A66" i="28" s="1"/>
  <c r="I63" i="3"/>
  <c r="A7" i="28"/>
  <c r="A25" i="28" s="1"/>
  <c r="A44" i="28" s="1"/>
  <c r="A62" i="28" s="1"/>
  <c r="C23" i="26"/>
  <c r="E23" i="26"/>
  <c r="G23" i="26"/>
  <c r="D23" i="26"/>
  <c r="H23" i="26"/>
  <c r="I23" i="26"/>
  <c r="T57" i="14" l="1"/>
  <c r="S57" i="14"/>
  <c r="R57" i="14"/>
  <c r="Q57" i="14"/>
  <c r="P57" i="14"/>
  <c r="O57" i="14"/>
  <c r="N57" i="14"/>
  <c r="M57" i="14"/>
  <c r="L57" i="14"/>
  <c r="K57" i="14"/>
  <c r="J57" i="14"/>
  <c r="I57" i="14"/>
  <c r="T53" i="14"/>
  <c r="S53" i="14"/>
  <c r="R53" i="14"/>
  <c r="Q53" i="14"/>
  <c r="P53" i="14"/>
  <c r="I8" i="14" s="1"/>
  <c r="I8" i="9" s="1"/>
  <c r="I9" i="9" s="1"/>
  <c r="O53" i="14"/>
  <c r="H8" i="14" s="1"/>
  <c r="H8" i="9" s="1"/>
  <c r="H9" i="9" s="1"/>
  <c r="N53" i="14"/>
  <c r="G8" i="14" s="1"/>
  <c r="G8" i="9" s="1"/>
  <c r="G9" i="9" s="1"/>
  <c r="M53" i="14"/>
  <c r="L53" i="14"/>
  <c r="K53" i="14"/>
  <c r="J53" i="14"/>
  <c r="T49" i="14"/>
  <c r="S49" i="14"/>
  <c r="R49" i="14"/>
  <c r="Q49" i="14"/>
  <c r="P49" i="14"/>
  <c r="O49" i="14"/>
  <c r="N49" i="14"/>
  <c r="M49" i="14"/>
  <c r="L49" i="14"/>
  <c r="K49" i="14"/>
  <c r="J49" i="14"/>
  <c r="J41" i="14"/>
  <c r="K41" i="14"/>
  <c r="L41" i="14"/>
  <c r="M41" i="14"/>
  <c r="N41" i="14"/>
  <c r="O41" i="14"/>
  <c r="P41" i="14"/>
  <c r="Q41" i="14"/>
  <c r="R41" i="14"/>
  <c r="S41" i="14"/>
  <c r="T41" i="14"/>
  <c r="I41" i="14"/>
  <c r="B20" i="14" s="1"/>
  <c r="B20" i="9" s="1"/>
  <c r="K8" i="14" l="1"/>
  <c r="E8" i="14"/>
  <c r="F19" i="14"/>
  <c r="F19" i="9" s="1"/>
  <c r="F12" i="14"/>
  <c r="F12" i="9" s="1"/>
  <c r="F8" i="14"/>
  <c r="F27" i="14"/>
  <c r="F27" i="9" s="1"/>
  <c r="F24" i="14"/>
  <c r="F24" i="9" s="1"/>
  <c r="F15" i="14"/>
  <c r="F15" i="9" s="1"/>
  <c r="F17" i="9" s="1"/>
  <c r="F30" i="14"/>
  <c r="F30" i="9" s="1"/>
  <c r="F23" i="14"/>
  <c r="F23" i="9" s="1"/>
  <c r="F25" i="9" s="1"/>
  <c r="F11" i="14"/>
  <c r="F11" i="9" s="1"/>
  <c r="F29" i="14"/>
  <c r="F29" i="9" s="1"/>
  <c r="F20" i="14"/>
  <c r="F20" i="9" s="1"/>
  <c r="F28" i="14"/>
  <c r="F28" i="9" s="1"/>
  <c r="F16" i="14"/>
  <c r="F16" i="9" s="1"/>
  <c r="B12" i="14"/>
  <c r="B12" i="9" s="1"/>
  <c r="B15" i="14"/>
  <c r="B15" i="9" s="1"/>
  <c r="B24" i="14"/>
  <c r="B24" i="9" s="1"/>
  <c r="B27" i="14"/>
  <c r="B27" i="9" s="1"/>
  <c r="B23" i="14"/>
  <c r="B23" i="9" s="1"/>
  <c r="B28" i="14"/>
  <c r="B28" i="9" s="1"/>
  <c r="B29" i="14"/>
  <c r="B29" i="9" s="1"/>
  <c r="B11" i="14"/>
  <c r="B11" i="9" s="1"/>
  <c r="B8" i="14"/>
  <c r="B30" i="14"/>
  <c r="B30" i="9" s="1"/>
  <c r="B16" i="14"/>
  <c r="B16" i="9" s="1"/>
  <c r="B19" i="14"/>
  <c r="B19" i="9" s="1"/>
  <c r="M24" i="14"/>
  <c r="M24" i="9" s="1"/>
  <c r="M16" i="14"/>
  <c r="M16" i="9" s="1"/>
  <c r="M8" i="14"/>
  <c r="M29" i="14"/>
  <c r="M29" i="9" s="1"/>
  <c r="M23" i="14"/>
  <c r="M23" i="9" s="1"/>
  <c r="M25" i="9" s="1"/>
  <c r="M15" i="14"/>
  <c r="M15" i="9" s="1"/>
  <c r="M30" i="14"/>
  <c r="M30" i="9" s="1"/>
  <c r="M28" i="14"/>
  <c r="M28" i="9" s="1"/>
  <c r="M20" i="14"/>
  <c r="M20" i="9" s="1"/>
  <c r="M12" i="14"/>
  <c r="M12" i="9" s="1"/>
  <c r="M27" i="14"/>
  <c r="M27" i="9" s="1"/>
  <c r="M19" i="14"/>
  <c r="M19" i="9" s="1"/>
  <c r="M11" i="14"/>
  <c r="M11" i="9" s="1"/>
  <c r="L29" i="14"/>
  <c r="L29" i="9" s="1"/>
  <c r="L27" i="14"/>
  <c r="L27" i="9" s="1"/>
  <c r="L23" i="14"/>
  <c r="L23" i="9" s="1"/>
  <c r="L15" i="14"/>
  <c r="L15" i="9" s="1"/>
  <c r="L11" i="14"/>
  <c r="L11" i="9" s="1"/>
  <c r="L13" i="9" s="1"/>
  <c r="L20" i="14"/>
  <c r="L20" i="9" s="1"/>
  <c r="L30" i="14"/>
  <c r="L30" i="9" s="1"/>
  <c r="L28" i="14"/>
  <c r="L28" i="9" s="1"/>
  <c r="L24" i="14"/>
  <c r="L24" i="9" s="1"/>
  <c r="L16" i="14"/>
  <c r="L16" i="9" s="1"/>
  <c r="L12" i="14"/>
  <c r="L12" i="9" s="1"/>
  <c r="L8" i="14"/>
  <c r="L19" i="14"/>
  <c r="L19" i="9" s="1"/>
  <c r="K30" i="14"/>
  <c r="K30" i="9" s="1"/>
  <c r="K28" i="14"/>
  <c r="K28" i="9" s="1"/>
  <c r="K20" i="14"/>
  <c r="K20" i="9" s="1"/>
  <c r="K12" i="14"/>
  <c r="K12" i="9" s="1"/>
  <c r="K27" i="14"/>
  <c r="K27" i="9" s="1"/>
  <c r="K19" i="14"/>
  <c r="K19" i="9" s="1"/>
  <c r="K11" i="14"/>
  <c r="K11" i="9" s="1"/>
  <c r="K24" i="14"/>
  <c r="K24" i="9" s="1"/>
  <c r="K16" i="14"/>
  <c r="K16" i="9" s="1"/>
  <c r="K29" i="14"/>
  <c r="K29" i="9" s="1"/>
  <c r="K23" i="14"/>
  <c r="K23" i="9" s="1"/>
  <c r="K15" i="14"/>
  <c r="K15" i="9" s="1"/>
  <c r="J8" i="14"/>
  <c r="G9" i="14"/>
  <c r="E29" i="14"/>
  <c r="E29" i="9" s="1"/>
  <c r="E27" i="14"/>
  <c r="E27" i="9" s="1"/>
  <c r="E19" i="14"/>
  <c r="E19" i="9" s="1"/>
  <c r="E21" i="9" s="1"/>
  <c r="E15" i="14"/>
  <c r="E15" i="9" s="1"/>
  <c r="E28" i="14"/>
  <c r="E28" i="9" s="1"/>
  <c r="E24" i="14"/>
  <c r="E24" i="9" s="1"/>
  <c r="E23" i="14"/>
  <c r="E23" i="9" s="1"/>
  <c r="E25" i="9" s="1"/>
  <c r="E20" i="14"/>
  <c r="E20" i="9" s="1"/>
  <c r="E16" i="14"/>
  <c r="E16" i="9" s="1"/>
  <c r="E17" i="9" s="1"/>
  <c r="E12" i="14"/>
  <c r="E12" i="9" s="1"/>
  <c r="E11" i="14"/>
  <c r="E11" i="9" s="1"/>
  <c r="E13" i="9" s="1"/>
  <c r="E30" i="14"/>
  <c r="E30" i="9" s="1"/>
  <c r="C30" i="14"/>
  <c r="C30" i="9" s="1"/>
  <c r="C28" i="14"/>
  <c r="C28" i="9" s="1"/>
  <c r="C20" i="14"/>
  <c r="C20" i="9" s="1"/>
  <c r="C12" i="14"/>
  <c r="C12" i="9" s="1"/>
  <c r="C27" i="14"/>
  <c r="C27" i="9" s="1"/>
  <c r="C19" i="14"/>
  <c r="C19" i="9" s="1"/>
  <c r="C11" i="14"/>
  <c r="C11" i="9" s="1"/>
  <c r="C13" i="9" s="1"/>
  <c r="C24" i="14"/>
  <c r="C24" i="9" s="1"/>
  <c r="C16" i="14"/>
  <c r="C16" i="9" s="1"/>
  <c r="C8" i="14"/>
  <c r="C29" i="14"/>
  <c r="C29" i="9" s="1"/>
  <c r="C23" i="14"/>
  <c r="C23" i="9" s="1"/>
  <c r="C25" i="9" s="1"/>
  <c r="C15" i="14"/>
  <c r="C15" i="9" s="1"/>
  <c r="C17" i="9" s="1"/>
  <c r="D30" i="14"/>
  <c r="D30" i="9" s="1"/>
  <c r="D29" i="14"/>
  <c r="D29" i="9" s="1"/>
  <c r="D28" i="14"/>
  <c r="D28" i="9" s="1"/>
  <c r="D27" i="14"/>
  <c r="D27" i="9" s="1"/>
  <c r="D24" i="14"/>
  <c r="D24" i="9" s="1"/>
  <c r="D20" i="14"/>
  <c r="D20" i="9" s="1"/>
  <c r="D19" i="14"/>
  <c r="D19" i="9" s="1"/>
  <c r="D16" i="14"/>
  <c r="D16" i="9" s="1"/>
  <c r="D15" i="14"/>
  <c r="D15" i="9" s="1"/>
  <c r="D17" i="9" s="1"/>
  <c r="D12" i="14"/>
  <c r="D12" i="9" s="1"/>
  <c r="D8" i="14"/>
  <c r="D23" i="14"/>
  <c r="D23" i="9" s="1"/>
  <c r="D11" i="14"/>
  <c r="D11" i="9" s="1"/>
  <c r="G30" i="14"/>
  <c r="G30" i="9" s="1"/>
  <c r="G29" i="14"/>
  <c r="G29" i="9" s="1"/>
  <c r="G28" i="14"/>
  <c r="G28" i="9" s="1"/>
  <c r="G27" i="14"/>
  <c r="G27" i="9" s="1"/>
  <c r="G24" i="14"/>
  <c r="G24" i="9" s="1"/>
  <c r="G23" i="14"/>
  <c r="G23" i="9" s="1"/>
  <c r="G20" i="14"/>
  <c r="G20" i="9" s="1"/>
  <c r="G19" i="14"/>
  <c r="G19" i="9" s="1"/>
  <c r="G21" i="9" s="1"/>
  <c r="G16" i="14"/>
  <c r="G16" i="9" s="1"/>
  <c r="G15" i="14"/>
  <c r="G15" i="9" s="1"/>
  <c r="G12" i="14"/>
  <c r="G12" i="9" s="1"/>
  <c r="G11" i="14"/>
  <c r="G11" i="9" s="1"/>
  <c r="G13" i="9" s="1"/>
  <c r="I9" i="14"/>
  <c r="I11" i="14"/>
  <c r="I11" i="9" s="1"/>
  <c r="I16" i="14"/>
  <c r="I16" i="9" s="1"/>
  <c r="I19" i="14"/>
  <c r="I19" i="9" s="1"/>
  <c r="I21" i="9" s="1"/>
  <c r="I24" i="14"/>
  <c r="I24" i="9" s="1"/>
  <c r="I27" i="14"/>
  <c r="I27" i="9" s="1"/>
  <c r="I29" i="14"/>
  <c r="I29" i="9" s="1"/>
  <c r="I12" i="14"/>
  <c r="I12" i="9" s="1"/>
  <c r="I15" i="14"/>
  <c r="I15" i="9" s="1"/>
  <c r="I20" i="14"/>
  <c r="I20" i="9" s="1"/>
  <c r="I23" i="14"/>
  <c r="I23" i="9" s="1"/>
  <c r="I28" i="14"/>
  <c r="I28" i="9" s="1"/>
  <c r="I30" i="14"/>
  <c r="I30" i="9" s="1"/>
  <c r="H12" i="14"/>
  <c r="H12" i="9" s="1"/>
  <c r="H15" i="14"/>
  <c r="H15" i="9" s="1"/>
  <c r="H17" i="9" s="1"/>
  <c r="H20" i="14"/>
  <c r="H20" i="9" s="1"/>
  <c r="H23" i="14"/>
  <c r="H23" i="9" s="1"/>
  <c r="H25" i="9" s="1"/>
  <c r="H28" i="14"/>
  <c r="H28" i="9" s="1"/>
  <c r="H30" i="14"/>
  <c r="H30" i="9" s="1"/>
  <c r="H9" i="14"/>
  <c r="H11" i="14"/>
  <c r="H11" i="9" s="1"/>
  <c r="H13" i="9" s="1"/>
  <c r="H16" i="14"/>
  <c r="H16" i="9" s="1"/>
  <c r="H19" i="14"/>
  <c r="H19" i="9" s="1"/>
  <c r="H24" i="14"/>
  <c r="H24" i="9" s="1"/>
  <c r="H27" i="14"/>
  <c r="H27" i="9" s="1"/>
  <c r="H29" i="14"/>
  <c r="H29" i="9" s="1"/>
  <c r="J12" i="14"/>
  <c r="J12" i="9" s="1"/>
  <c r="J15" i="14"/>
  <c r="J15" i="9" s="1"/>
  <c r="J17" i="9" s="1"/>
  <c r="J20" i="14"/>
  <c r="J20" i="9" s="1"/>
  <c r="J23" i="14"/>
  <c r="J23" i="9" s="1"/>
  <c r="J28" i="14"/>
  <c r="J28" i="9" s="1"/>
  <c r="J30" i="14"/>
  <c r="J30" i="9" s="1"/>
  <c r="J11" i="14"/>
  <c r="J11" i="9" s="1"/>
  <c r="J16" i="14"/>
  <c r="J16" i="9" s="1"/>
  <c r="J19" i="14"/>
  <c r="J19" i="9" s="1"/>
  <c r="J24" i="14"/>
  <c r="J24" i="9" s="1"/>
  <c r="J27" i="14"/>
  <c r="J27" i="9" s="1"/>
  <c r="J29" i="14"/>
  <c r="J29" i="9" s="1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I9" i="6" s="1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R45" i="29" s="1" a="1"/>
  <c r="C30" i="6"/>
  <c r="D30" i="6"/>
  <c r="E30" i="6"/>
  <c r="F30" i="6"/>
  <c r="G30" i="6"/>
  <c r="H30" i="6"/>
  <c r="I30" i="6"/>
  <c r="J30" i="6"/>
  <c r="K30" i="6"/>
  <c r="L30" i="6"/>
  <c r="C5" i="2"/>
  <c r="C7" i="16" s="1"/>
  <c r="C31" i="16" s="1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L5" i="2"/>
  <c r="M5" i="2"/>
  <c r="M7" i="16" s="1"/>
  <c r="M31" i="16" s="1"/>
  <c r="N5" i="2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B7" i="14"/>
  <c r="A2" i="2"/>
  <c r="A1" i="2"/>
  <c r="A3" i="2"/>
  <c r="J9" i="14" l="1"/>
  <c r="J8" i="9"/>
  <c r="J9" i="9" s="1"/>
  <c r="M9" i="14"/>
  <c r="M8" i="9"/>
  <c r="M9" i="9" s="1"/>
  <c r="E9" i="14"/>
  <c r="E8" i="9"/>
  <c r="E9" i="9" s="1"/>
  <c r="D13" i="9"/>
  <c r="C9" i="14"/>
  <c r="C8" i="9"/>
  <c r="C9" i="9" s="1"/>
  <c r="C21" i="9"/>
  <c r="K17" i="9"/>
  <c r="L21" i="9"/>
  <c r="M17" i="9"/>
  <c r="F9" i="14"/>
  <c r="G8" i="2" s="1"/>
  <c r="F8" i="9"/>
  <c r="F9" i="9" s="1"/>
  <c r="K9" i="14"/>
  <c r="K8" i="9"/>
  <c r="K9" i="9" s="1"/>
  <c r="J21" i="9"/>
  <c r="J13" i="9"/>
  <c r="H21" i="9"/>
  <c r="I25" i="9"/>
  <c r="I17" i="9"/>
  <c r="D25" i="9"/>
  <c r="K25" i="9"/>
  <c r="K13" i="9"/>
  <c r="L9" i="14"/>
  <c r="M8" i="2" s="1"/>
  <c r="L8" i="9"/>
  <c r="L9" i="9" s="1"/>
  <c r="L17" i="9"/>
  <c r="M13" i="9"/>
  <c r="B9" i="14"/>
  <c r="C8" i="2" s="1"/>
  <c r="B8" i="9"/>
  <c r="J25" i="9"/>
  <c r="I13" i="9"/>
  <c r="G17" i="9"/>
  <c r="G25" i="9"/>
  <c r="D9" i="14"/>
  <c r="D8" i="9"/>
  <c r="D9" i="9" s="1"/>
  <c r="D21" i="9"/>
  <c r="K21" i="9"/>
  <c r="L25" i="9"/>
  <c r="M21" i="9"/>
  <c r="F13" i="9"/>
  <c r="F21" i="9"/>
  <c r="L8" i="2"/>
  <c r="K16" i="2"/>
  <c r="I8" i="2"/>
  <c r="J14" i="2"/>
  <c r="H12" i="2"/>
  <c r="E16" i="2"/>
  <c r="D8" i="2"/>
  <c r="D14" i="2"/>
  <c r="F12" i="2"/>
  <c r="L12" i="2"/>
  <c r="L16" i="2"/>
  <c r="M12" i="2"/>
  <c r="N12" i="2"/>
  <c r="N16" i="2"/>
  <c r="N8" i="2"/>
  <c r="C15" i="2"/>
  <c r="G14" i="2"/>
  <c r="G12" i="2"/>
  <c r="F8" i="2"/>
  <c r="K14" i="2"/>
  <c r="I16" i="2"/>
  <c r="J15" i="2"/>
  <c r="H14" i="2"/>
  <c r="E12" i="2"/>
  <c r="D12" i="2"/>
  <c r="D16" i="2"/>
  <c r="F14" i="2"/>
  <c r="F15" i="2"/>
  <c r="M15" i="2"/>
  <c r="C16" i="2"/>
  <c r="C14" i="2"/>
  <c r="G16" i="2"/>
  <c r="K15" i="2"/>
  <c r="I15" i="2"/>
  <c r="I14" i="2"/>
  <c r="J12" i="2"/>
  <c r="H15" i="2"/>
  <c r="E8" i="2"/>
  <c r="E14" i="2"/>
  <c r="F16" i="2"/>
  <c r="H8" i="2"/>
  <c r="L15" i="2"/>
  <c r="M14" i="2"/>
  <c r="G15" i="2"/>
  <c r="K12" i="2"/>
  <c r="I12" i="2"/>
  <c r="J16" i="2"/>
  <c r="J8" i="2"/>
  <c r="H16" i="2"/>
  <c r="E15" i="2"/>
  <c r="D15" i="2"/>
  <c r="K8" i="2"/>
  <c r="L14" i="2"/>
  <c r="M16" i="2"/>
  <c r="N14" i="2"/>
  <c r="N15" i="2"/>
  <c r="C12" i="2"/>
  <c r="H7" i="14"/>
  <c r="M25" i="14"/>
  <c r="N13" i="2" s="1"/>
  <c r="R48" i="29"/>
  <c r="R51" i="29"/>
  <c r="R46" i="29"/>
  <c r="R45" i="29"/>
  <c r="R49" i="29"/>
  <c r="R47" i="29"/>
  <c r="R53" i="29"/>
  <c r="R54" i="29"/>
  <c r="R56" i="29"/>
  <c r="R55" i="29"/>
  <c r="R52" i="29"/>
  <c r="R50" i="29"/>
  <c r="D7" i="9"/>
  <c r="D37" i="9" s="1"/>
  <c r="K25" i="14"/>
  <c r="L13" i="2" s="1"/>
  <c r="D7" i="14"/>
  <c r="K13" i="14"/>
  <c r="L9" i="2" s="1"/>
  <c r="K17" i="14"/>
  <c r="L10" i="2" s="1"/>
  <c r="M21" i="14"/>
  <c r="N11" i="2" s="1"/>
  <c r="G17" i="6"/>
  <c r="O45" i="3" a="1"/>
  <c r="J21" i="14"/>
  <c r="K11" i="2" s="1"/>
  <c r="K21" i="14"/>
  <c r="L11" i="2" s="1"/>
  <c r="H21" i="14"/>
  <c r="I11" i="2" s="1"/>
  <c r="J7" i="9"/>
  <c r="J37" i="9" s="1"/>
  <c r="F17" i="14"/>
  <c r="G10" i="2" s="1"/>
  <c r="F21" i="14"/>
  <c r="G11" i="2" s="1"/>
  <c r="F13" i="14"/>
  <c r="G9" i="2" s="1"/>
  <c r="F25" i="14"/>
  <c r="G13" i="2" s="1"/>
  <c r="N19" i="6"/>
  <c r="C25" i="6"/>
  <c r="B40" i="9"/>
  <c r="H40" i="9"/>
  <c r="F40" i="9"/>
  <c r="D40" i="9"/>
  <c r="I40" i="9"/>
  <c r="I42" i="9" s="1"/>
  <c r="G40" i="9"/>
  <c r="G42" i="9" s="1"/>
  <c r="C40" i="9"/>
  <c r="L21" i="14"/>
  <c r="M11" i="2" s="1"/>
  <c r="G21" i="14"/>
  <c r="H11" i="2" s="1"/>
  <c r="M17" i="14"/>
  <c r="N10" i="2" s="1"/>
  <c r="H13" i="14"/>
  <c r="I9" i="2" s="1"/>
  <c r="D13" i="14"/>
  <c r="E9" i="2" s="1"/>
  <c r="L13" i="14"/>
  <c r="M9" i="2" s="1"/>
  <c r="G13" i="14"/>
  <c r="H9" i="2" s="1"/>
  <c r="E13" i="14"/>
  <c r="F9" i="2" s="1"/>
  <c r="B13" i="14"/>
  <c r="C9" i="2" s="1"/>
  <c r="B17" i="14"/>
  <c r="C10" i="2" s="1"/>
  <c r="M13" i="14"/>
  <c r="N9" i="2" s="1"/>
  <c r="J13" i="14"/>
  <c r="K9" i="2" s="1"/>
  <c r="B25" i="14"/>
  <c r="C13" i="2" s="1"/>
  <c r="B21" i="14"/>
  <c r="C11" i="2" s="1"/>
  <c r="D21" i="14"/>
  <c r="E11" i="2" s="1"/>
  <c r="G17" i="14"/>
  <c r="H10" i="2" s="1"/>
  <c r="D17" i="14"/>
  <c r="E10" i="2" s="1"/>
  <c r="E17" i="14"/>
  <c r="F10" i="2" s="1"/>
  <c r="D25" i="14"/>
  <c r="E13" i="2" s="1"/>
  <c r="E21" i="14"/>
  <c r="F11" i="2" s="1"/>
  <c r="E25" i="14"/>
  <c r="F13" i="2" s="1"/>
  <c r="G25" i="14"/>
  <c r="H13" i="2" s="1"/>
  <c r="L17" i="14"/>
  <c r="M10" i="2" s="1"/>
  <c r="L25" i="14"/>
  <c r="M13" i="2" s="1"/>
  <c r="I25" i="14"/>
  <c r="J13" i="2" s="1"/>
  <c r="I17" i="14"/>
  <c r="J10" i="2" s="1"/>
  <c r="J25" i="14"/>
  <c r="K13" i="2" s="1"/>
  <c r="J17" i="14"/>
  <c r="K10" i="2" s="1"/>
  <c r="H25" i="14"/>
  <c r="I13" i="2" s="1"/>
  <c r="H17" i="14"/>
  <c r="I10" i="2" s="1"/>
  <c r="I21" i="14"/>
  <c r="J11" i="2" s="1"/>
  <c r="I13" i="14"/>
  <c r="J9" i="2" s="1"/>
  <c r="C13" i="14"/>
  <c r="D9" i="2" s="1"/>
  <c r="C17" i="14"/>
  <c r="D10" i="2" s="1"/>
  <c r="C21" i="14"/>
  <c r="D11" i="2" s="1"/>
  <c r="C25" i="14"/>
  <c r="D13" i="2" s="1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F7" i="14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S45" i="3" a="1"/>
  <c r="E25" i="6"/>
  <c r="N27" i="6"/>
  <c r="I25" i="6"/>
  <c r="N39" i="6"/>
  <c r="B38" i="9"/>
  <c r="L38" i="9"/>
  <c r="L42" i="9" s="1"/>
  <c r="J38" i="9"/>
  <c r="J42" i="9" s="1"/>
  <c r="H38" i="9"/>
  <c r="F38" i="9"/>
  <c r="D38" i="9"/>
  <c r="H64" i="14"/>
  <c r="B64" i="14"/>
  <c r="I38" i="14"/>
  <c r="J64" i="14"/>
  <c r="Q38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O38" i="14" l="1"/>
  <c r="K38" i="14"/>
  <c r="K28" i="3" a="1"/>
  <c r="D64" i="14"/>
  <c r="R57" i="29"/>
  <c r="J11" i="29" a="1"/>
  <c r="B42" i="9"/>
  <c r="F42" i="9"/>
  <c r="N40" i="9"/>
  <c r="O47" i="3"/>
  <c r="O46" i="3"/>
  <c r="O56" i="3"/>
  <c r="O51" i="3"/>
  <c r="O53" i="3"/>
  <c r="O52" i="3"/>
  <c r="O54" i="3"/>
  <c r="O49" i="3"/>
  <c r="O48" i="3"/>
  <c r="O50" i="3"/>
  <c r="O45" i="3"/>
  <c r="O55" i="3"/>
  <c r="H42" i="9"/>
  <c r="S38" i="14"/>
  <c r="L64" i="14"/>
  <c r="N41" i="6"/>
  <c r="N25" i="6"/>
  <c r="D42" i="9"/>
  <c r="M32" i="14"/>
  <c r="D32" i="14"/>
  <c r="M38" i="14"/>
  <c r="F64" i="14"/>
  <c r="H32" i="14"/>
  <c r="J32" i="14"/>
  <c r="I32" i="14"/>
  <c r="G32" i="14"/>
  <c r="C32" i="14"/>
  <c r="B32" i="14"/>
  <c r="O28" i="3" a="1"/>
  <c r="O28" i="3" s="1"/>
  <c r="N28" i="29" s="1"/>
  <c r="S45" i="3"/>
  <c r="S48" i="3"/>
  <c r="S54" i="3"/>
  <c r="S46" i="3"/>
  <c r="S53" i="3"/>
  <c r="S49" i="3"/>
  <c r="S52" i="3"/>
  <c r="S56" i="3"/>
  <c r="S50" i="3"/>
  <c r="S55" i="3"/>
  <c r="S51" i="3"/>
  <c r="S47" i="3"/>
  <c r="O11" i="3" a="1"/>
  <c r="K11" i="3" a="1"/>
  <c r="S11" i="3" a="1"/>
  <c r="N38" i="9"/>
  <c r="L38" i="14"/>
  <c r="E64" i="14"/>
  <c r="P38" i="14"/>
  <c r="I64" i="14"/>
  <c r="M64" i="14"/>
  <c r="T38" i="14"/>
  <c r="J38" i="14"/>
  <c r="C64" i="14"/>
  <c r="N38" i="14"/>
  <c r="G64" i="14"/>
  <c r="R38" i="14"/>
  <c r="K64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J22" i="29" l="1"/>
  <c r="J16" i="29"/>
  <c r="J20" i="29"/>
  <c r="J14" i="29"/>
  <c r="J13" i="29"/>
  <c r="J18" i="29"/>
  <c r="J11" i="29"/>
  <c r="J17" i="29"/>
  <c r="J12" i="29"/>
  <c r="J15" i="29"/>
  <c r="J19" i="29"/>
  <c r="J21" i="29"/>
  <c r="K28" i="3"/>
  <c r="K34" i="3"/>
  <c r="J34" i="29" s="1"/>
  <c r="K38" i="3"/>
  <c r="J38" i="29" s="1"/>
  <c r="K30" i="3"/>
  <c r="J30" i="29" s="1"/>
  <c r="K39" i="3"/>
  <c r="J39" i="29" s="1"/>
  <c r="K33" i="3"/>
  <c r="J33" i="29" s="1"/>
  <c r="K32" i="3"/>
  <c r="J32" i="29" s="1"/>
  <c r="K29" i="3"/>
  <c r="J29" i="29" s="1"/>
  <c r="K31" i="3"/>
  <c r="J31" i="29" s="1"/>
  <c r="K35" i="3"/>
  <c r="J35" i="29" s="1"/>
  <c r="K37" i="3"/>
  <c r="J37" i="29" s="1"/>
  <c r="K36" i="3"/>
  <c r="J36" i="29" s="1"/>
  <c r="N42" i="9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O34" i="3"/>
  <c r="N34" i="29" s="1"/>
  <c r="O35" i="3"/>
  <c r="N35" i="29" s="1"/>
  <c r="O33" i="3"/>
  <c r="N33" i="29" s="1"/>
  <c r="O36" i="3"/>
  <c r="N36" i="29" s="1"/>
  <c r="O37" i="3"/>
  <c r="N37" i="29" s="1"/>
  <c r="O30" i="3"/>
  <c r="N30" i="29" s="1"/>
  <c r="O38" i="3"/>
  <c r="N38" i="29" s="1"/>
  <c r="O39" i="3"/>
  <c r="N39" i="29" s="1"/>
  <c r="O32" i="3"/>
  <c r="N32" i="29" s="1"/>
  <c r="O29" i="3"/>
  <c r="N29" i="29" s="1"/>
  <c r="O31" i="3"/>
  <c r="N31" i="29" s="1"/>
  <c r="K11" i="3"/>
  <c r="K18" i="3"/>
  <c r="K21" i="3"/>
  <c r="K13" i="3"/>
  <c r="K20" i="3"/>
  <c r="K16" i="3"/>
  <c r="K12" i="3"/>
  <c r="K19" i="3"/>
  <c r="K15" i="3"/>
  <c r="K22" i="3"/>
  <c r="K14" i="3"/>
  <c r="K17" i="3"/>
  <c r="O11" i="3"/>
  <c r="N11" i="29" s="1"/>
  <c r="O18" i="3"/>
  <c r="N18" i="29" s="1"/>
  <c r="O14" i="3"/>
  <c r="N14" i="29" s="1"/>
  <c r="O16" i="3"/>
  <c r="N16" i="29" s="1"/>
  <c r="O19" i="3"/>
  <c r="N19" i="29" s="1"/>
  <c r="O15" i="3"/>
  <c r="N15" i="29" s="1"/>
  <c r="O22" i="3"/>
  <c r="N22" i="29" s="1"/>
  <c r="O20" i="3"/>
  <c r="N20" i="29" s="1"/>
  <c r="O12" i="3"/>
  <c r="N12" i="29" s="1"/>
  <c r="O21" i="3"/>
  <c r="N21" i="29" s="1"/>
  <c r="O17" i="3"/>
  <c r="N17" i="29" s="1"/>
  <c r="O13" i="3"/>
  <c r="N13" i="29" s="1"/>
  <c r="K57" i="3"/>
  <c r="O57" i="3"/>
  <c r="S11" i="3"/>
  <c r="R11" i="29" s="1"/>
  <c r="S14" i="3"/>
  <c r="R14" i="29" s="1"/>
  <c r="S18" i="3"/>
  <c r="R18" i="29" s="1"/>
  <c r="S22" i="3"/>
  <c r="R22" i="29" s="1"/>
  <c r="S12" i="3"/>
  <c r="R12" i="29" s="1"/>
  <c r="S16" i="3"/>
  <c r="R16" i="29" s="1"/>
  <c r="S20" i="3"/>
  <c r="R20" i="29" s="1"/>
  <c r="S21" i="3"/>
  <c r="R21" i="29" s="1"/>
  <c r="S17" i="3"/>
  <c r="R17" i="29" s="1"/>
  <c r="S13" i="3"/>
  <c r="R13" i="29" s="1"/>
  <c r="S19" i="3"/>
  <c r="R19" i="29" s="1"/>
  <c r="S15" i="3"/>
  <c r="R15" i="29" s="1"/>
  <c r="S57" i="3"/>
  <c r="N9" i="14"/>
  <c r="N32" i="14" s="1"/>
  <c r="N32" i="6"/>
  <c r="N44" i="6" s="1"/>
  <c r="N40" i="29" l="1"/>
  <c r="N23" i="29"/>
  <c r="J70" i="29"/>
  <c r="C20" i="29" s="1"/>
  <c r="Q40" i="31" s="1"/>
  <c r="J23" i="29"/>
  <c r="J71" i="29"/>
  <c r="C21" i="29" s="1"/>
  <c r="Q41" i="31" s="1"/>
  <c r="R23" i="29"/>
  <c r="J66" i="29"/>
  <c r="C16" i="29" s="1"/>
  <c r="Q36" i="31" s="1"/>
  <c r="J69" i="29"/>
  <c r="C19" i="29" s="1"/>
  <c r="Q39" i="31" s="1"/>
  <c r="J67" i="29"/>
  <c r="C17" i="29" s="1"/>
  <c r="Q37" i="31" s="1"/>
  <c r="J28" i="29"/>
  <c r="J40" i="29" s="1"/>
  <c r="K40" i="3"/>
  <c r="J63" i="29"/>
  <c r="C13" i="29" s="1"/>
  <c r="Q33" i="31" s="1"/>
  <c r="J64" i="29"/>
  <c r="C14" i="29" s="1"/>
  <c r="Q34" i="31" s="1"/>
  <c r="J73" i="29"/>
  <c r="C23" i="29" s="1"/>
  <c r="Q43" i="31" s="1"/>
  <c r="J72" i="29"/>
  <c r="C22" i="29" s="1"/>
  <c r="Q42" i="31" s="1"/>
  <c r="J68" i="29"/>
  <c r="C18" i="29" s="1"/>
  <c r="Q38" i="31" s="1"/>
  <c r="J65" i="29"/>
  <c r="C15" i="29" s="1"/>
  <c r="Q35" i="31" s="1"/>
  <c r="O40" i="3"/>
  <c r="S23" i="3"/>
  <c r="O23" i="3"/>
  <c r="K62" i="3"/>
  <c r="C12" i="3" s="1"/>
  <c r="K23" i="3"/>
  <c r="K65" i="3"/>
  <c r="C15" i="3" s="1"/>
  <c r="K66" i="3"/>
  <c r="C16" i="3" s="1"/>
  <c r="K63" i="3"/>
  <c r="C13" i="3" s="1"/>
  <c r="K71" i="3"/>
  <c r="C21" i="3" s="1"/>
  <c r="K72" i="3"/>
  <c r="C22" i="3" s="1"/>
  <c r="K68" i="3"/>
  <c r="C18" i="3" s="1"/>
  <c r="K73" i="3"/>
  <c r="C23" i="3" s="1"/>
  <c r="K70" i="3"/>
  <c r="C20" i="3" s="1"/>
  <c r="K67" i="3"/>
  <c r="C17" i="3" s="1"/>
  <c r="K64" i="3"/>
  <c r="C14" i="3" s="1"/>
  <c r="K69" i="3"/>
  <c r="C19" i="3" s="1"/>
  <c r="O9" i="14"/>
  <c r="O25" i="14"/>
  <c r="O21" i="14"/>
  <c r="O13" i="14"/>
  <c r="O17" i="14"/>
  <c r="N33" i="14"/>
  <c r="O28" i="14"/>
  <c r="O30" i="14"/>
  <c r="O27" i="14"/>
  <c r="O29" i="14"/>
  <c r="C24" i="3" l="1"/>
  <c r="J62" i="29"/>
  <c r="K74" i="3"/>
  <c r="O32" i="14"/>
  <c r="O4" i="25"/>
  <c r="N17" i="25"/>
  <c r="J74" i="29" l="1"/>
  <c r="C12" i="29"/>
  <c r="L45" i="3" a="1"/>
  <c r="L48" i="3" s="1"/>
  <c r="D9" i="28" s="1"/>
  <c r="Q32" i="31" l="1"/>
  <c r="Q44" i="31" s="1"/>
  <c r="C24" i="29"/>
  <c r="D64" i="28"/>
  <c r="L46" i="28"/>
  <c r="M46" i="28" s="1"/>
  <c r="F12" i="30" s="1"/>
  <c r="D46" i="28"/>
  <c r="E46" i="28" s="1"/>
  <c r="F10" i="30" s="1"/>
  <c r="H46" i="28"/>
  <c r="I46" i="28" s="1"/>
  <c r="F11" i="30" s="1"/>
  <c r="P46" i="28"/>
  <c r="Q46" i="28" s="1"/>
  <c r="F14" i="30" s="1"/>
  <c r="E9" i="28"/>
  <c r="O45" i="29" a="1"/>
  <c r="P45" i="3" a="1"/>
  <c r="P52" i="3" s="1"/>
  <c r="B17" i="30"/>
  <c r="E34" i="29" s="1"/>
  <c r="B13" i="30"/>
  <c r="E30" i="29" s="1"/>
  <c r="B9" i="30"/>
  <c r="B16" i="30"/>
  <c r="E33" i="29" s="1"/>
  <c r="S45" i="29" a="1"/>
  <c r="L46" i="3"/>
  <c r="D7" i="28" s="1"/>
  <c r="L45" i="3"/>
  <c r="D6" i="28" s="1"/>
  <c r="L52" i="3"/>
  <c r="D13" i="28" s="1"/>
  <c r="L55" i="3"/>
  <c r="D16" i="28" s="1"/>
  <c r="L47" i="3"/>
  <c r="D8" i="28" s="1"/>
  <c r="L54" i="3"/>
  <c r="D15" i="28" s="1"/>
  <c r="L53" i="3"/>
  <c r="D14" i="28" s="1"/>
  <c r="L51" i="3"/>
  <c r="D12" i="28" s="1"/>
  <c r="L49" i="3"/>
  <c r="D10" i="28" s="1"/>
  <c r="L56" i="3"/>
  <c r="D17" i="28" s="1"/>
  <c r="L50" i="3"/>
  <c r="D11" i="28" s="1"/>
  <c r="K18" i="2"/>
  <c r="I18" i="2"/>
  <c r="G18" i="2"/>
  <c r="M18" i="2"/>
  <c r="L18" i="2"/>
  <c r="H18" i="2"/>
  <c r="N18" i="2"/>
  <c r="F18" i="2"/>
  <c r="J18" i="2"/>
  <c r="D18" i="2"/>
  <c r="E18" i="2"/>
  <c r="B11" i="2"/>
  <c r="E29" i="3" s="1"/>
  <c r="B8" i="2"/>
  <c r="C18" i="2"/>
  <c r="B12" i="2"/>
  <c r="E30" i="3" s="1"/>
  <c r="B13" i="2"/>
  <c r="E31" i="3" s="1"/>
  <c r="B15" i="2"/>
  <c r="B9" i="2"/>
  <c r="E27" i="3" s="1"/>
  <c r="B14" i="2"/>
  <c r="E32" i="3" s="1"/>
  <c r="B10" i="2"/>
  <c r="E28" i="3" s="1"/>
  <c r="N24" i="9"/>
  <c r="N16" i="9"/>
  <c r="B16" i="2"/>
  <c r="E34" i="3" s="1"/>
  <c r="P51" i="3" l="1"/>
  <c r="P55" i="3"/>
  <c r="P50" i="3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P56" i="3"/>
  <c r="P49" i="3"/>
  <c r="K48" i="29"/>
  <c r="L48" i="29" s="1"/>
  <c r="E64" i="28"/>
  <c r="F15" i="30" s="1"/>
  <c r="P47" i="3"/>
  <c r="P45" i="3"/>
  <c r="Q45" i="3" s="1"/>
  <c r="P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S53" i="29"/>
  <c r="T53" i="29" s="1"/>
  <c r="S45" i="29"/>
  <c r="S55" i="29"/>
  <c r="T55" i="29" s="1"/>
  <c r="S49" i="29"/>
  <c r="T49" i="29" s="1"/>
  <c r="S51" i="29"/>
  <c r="T51" i="29" s="1"/>
  <c r="S46" i="29"/>
  <c r="T46" i="29" s="1"/>
  <c r="S54" i="29"/>
  <c r="T54" i="29" s="1"/>
  <c r="S48" i="29"/>
  <c r="T48" i="29" s="1"/>
  <c r="S56" i="29"/>
  <c r="T56" i="29" s="1"/>
  <c r="S52" i="29"/>
  <c r="T52" i="29" s="1"/>
  <c r="S50" i="29"/>
  <c r="T50" i="29" s="1"/>
  <c r="S47" i="29"/>
  <c r="T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P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P48" i="3"/>
  <c r="P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O56" i="29"/>
  <c r="P56" i="29" s="1"/>
  <c r="O49" i="29"/>
  <c r="P49" i="29" s="1"/>
  <c r="O47" i="29"/>
  <c r="P47" i="29" s="1"/>
  <c r="O52" i="29"/>
  <c r="P52" i="29" s="1"/>
  <c r="O45" i="29"/>
  <c r="O54" i="29"/>
  <c r="P54" i="29" s="1"/>
  <c r="O53" i="29"/>
  <c r="P53" i="29" s="1"/>
  <c r="O51" i="29"/>
  <c r="P51" i="29" s="1"/>
  <c r="O48" i="29"/>
  <c r="P48" i="29" s="1"/>
  <c r="O55" i="29"/>
  <c r="P55" i="29" s="1"/>
  <c r="O46" i="29"/>
  <c r="P46" i="29" s="1"/>
  <c r="O50" i="29"/>
  <c r="P50" i="29" s="1"/>
  <c r="M49" i="3"/>
  <c r="T45" i="3" a="1"/>
  <c r="T53" i="3" s="1"/>
  <c r="U53" i="3" s="1"/>
  <c r="N12" i="9"/>
  <c r="N20" i="9"/>
  <c r="J32" i="9"/>
  <c r="E33" i="3"/>
  <c r="L32" i="9"/>
  <c r="D32" i="9"/>
  <c r="D34" i="9" s="1"/>
  <c r="K32" i="9"/>
  <c r="K34" i="9" s="1"/>
  <c r="M32" i="9"/>
  <c r="M34" i="9" s="1"/>
  <c r="I32" i="9"/>
  <c r="N23" i="9"/>
  <c r="B25" i="9"/>
  <c r="N30" i="9"/>
  <c r="N27" i="9"/>
  <c r="N19" i="9"/>
  <c r="B21" i="9"/>
  <c r="N29" i="9"/>
  <c r="N11" i="9"/>
  <c r="B13" i="9"/>
  <c r="N8" i="9"/>
  <c r="B9" i="9"/>
  <c r="K11" i="29" s="1" a="1"/>
  <c r="N15" i="9"/>
  <c r="B17" i="9"/>
  <c r="N28" i="9"/>
  <c r="B18" i="2"/>
  <c r="E26" i="3"/>
  <c r="L28" i="3" l="1" a="1"/>
  <c r="L29" i="3" s="1"/>
  <c r="H70" i="28"/>
  <c r="F19" i="30"/>
  <c r="H63" i="28"/>
  <c r="I64" i="28"/>
  <c r="K14" i="29"/>
  <c r="K22" i="29"/>
  <c r="K21" i="29"/>
  <c r="K16" i="29"/>
  <c r="K11" i="29"/>
  <c r="K12" i="29"/>
  <c r="K20" i="29"/>
  <c r="K19" i="29"/>
  <c r="K18" i="29"/>
  <c r="K17" i="29"/>
  <c r="K15" i="29"/>
  <c r="K13" i="29"/>
  <c r="K46" i="29"/>
  <c r="L46" i="29" s="1"/>
  <c r="E62" i="28"/>
  <c r="D15" i="30" s="1"/>
  <c r="K56" i="29"/>
  <c r="L56" i="29" s="1"/>
  <c r="E72" i="28"/>
  <c r="N15" i="30" s="1"/>
  <c r="N19" i="30" s="1"/>
  <c r="O57" i="29"/>
  <c r="P45" i="29"/>
  <c r="P57" i="29" s="1"/>
  <c r="K53" i="29"/>
  <c r="L53" i="29" s="1"/>
  <c r="E69" i="28"/>
  <c r="K15" i="30" s="1"/>
  <c r="K50" i="29"/>
  <c r="L50" i="29" s="1"/>
  <c r="E66" i="28"/>
  <c r="H15" i="30" s="1"/>
  <c r="K47" i="29"/>
  <c r="L47" i="29" s="1"/>
  <c r="E63" i="28"/>
  <c r="E15" i="30" s="1"/>
  <c r="L55" i="28"/>
  <c r="M43" i="28"/>
  <c r="S57" i="29"/>
  <c r="T45" i="29"/>
  <c r="T57" i="29" s="1"/>
  <c r="H71" i="28"/>
  <c r="K54" i="29"/>
  <c r="L54" i="29" s="1"/>
  <c r="E70" i="28"/>
  <c r="L15" i="30" s="1"/>
  <c r="K52" i="29"/>
  <c r="L52" i="29" s="1"/>
  <c r="E68" i="28"/>
  <c r="J15" i="30" s="1"/>
  <c r="K49" i="29"/>
  <c r="L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K51" i="29"/>
  <c r="L51" i="29" s="1"/>
  <c r="E67" i="28"/>
  <c r="I15" i="30" s="1"/>
  <c r="H66" i="28"/>
  <c r="H65" i="28"/>
  <c r="D55" i="28"/>
  <c r="E47" i="28"/>
  <c r="G10" i="30" s="1"/>
  <c r="H61" i="28"/>
  <c r="K45" i="29"/>
  <c r="D73" i="28"/>
  <c r="E61" i="28"/>
  <c r="K55" i="29"/>
  <c r="L55" i="29" s="1"/>
  <c r="E71" i="28"/>
  <c r="M15" i="30" s="1"/>
  <c r="H67" i="28"/>
  <c r="C32" i="9"/>
  <c r="C34" i="9" s="1"/>
  <c r="T46" i="3"/>
  <c r="U46" i="3" s="1"/>
  <c r="T47" i="3"/>
  <c r="U47" i="3" s="1"/>
  <c r="T55" i="3"/>
  <c r="U55" i="3" s="1"/>
  <c r="T48" i="3"/>
  <c r="U48" i="3" s="1"/>
  <c r="T54" i="3"/>
  <c r="U54" i="3" s="1"/>
  <c r="T45" i="3"/>
  <c r="U45" i="3" s="1"/>
  <c r="T56" i="3"/>
  <c r="U56" i="3" s="1"/>
  <c r="T49" i="3"/>
  <c r="U49" i="3" s="1"/>
  <c r="T51" i="3"/>
  <c r="U51" i="3" s="1"/>
  <c r="T50" i="3"/>
  <c r="U50" i="3" s="1"/>
  <c r="T52" i="3"/>
  <c r="U52" i="3" s="1"/>
  <c r="L11" i="3" a="1"/>
  <c r="L12" i="3" s="1"/>
  <c r="M12" i="3" s="1"/>
  <c r="F32" i="9"/>
  <c r="F34" i="9" s="1"/>
  <c r="M51" i="3"/>
  <c r="M52" i="3"/>
  <c r="M56" i="3"/>
  <c r="L45" i="9"/>
  <c r="L34" i="9"/>
  <c r="N25" i="9"/>
  <c r="J45" i="9"/>
  <c r="J34" i="9"/>
  <c r="I45" i="9"/>
  <c r="I34" i="9"/>
  <c r="M45" i="3"/>
  <c r="M48" i="3"/>
  <c r="M46" i="3"/>
  <c r="H32" i="9"/>
  <c r="H34" i="9" s="1"/>
  <c r="M54" i="3"/>
  <c r="M50" i="3"/>
  <c r="M55" i="3"/>
  <c r="M53" i="3"/>
  <c r="M47" i="3"/>
  <c r="E32" i="9"/>
  <c r="E35" i="3"/>
  <c r="G32" i="9"/>
  <c r="G34" i="9" s="1"/>
  <c r="T11" i="3" a="1"/>
  <c r="T17" i="3" s="1"/>
  <c r="P11" i="3" a="1"/>
  <c r="P12" i="3" s="1"/>
  <c r="M45" i="9"/>
  <c r="D45" i="9"/>
  <c r="K45" i="9"/>
  <c r="P28" i="3" a="1"/>
  <c r="Q51" i="3"/>
  <c r="Q56" i="3"/>
  <c r="Q50" i="3"/>
  <c r="Q55" i="3"/>
  <c r="Q52" i="3"/>
  <c r="Q46" i="3"/>
  <c r="Q49" i="3"/>
  <c r="Q48" i="3"/>
  <c r="Q47" i="3"/>
  <c r="Q53" i="3"/>
  <c r="Q54" i="3"/>
  <c r="B32" i="9"/>
  <c r="B34" i="9" s="1"/>
  <c r="N9" i="9"/>
  <c r="N13" i="9"/>
  <c r="N21" i="9"/>
  <c r="N17" i="9"/>
  <c r="L28" i="3" l="1"/>
  <c r="K28" i="29" s="1"/>
  <c r="L39" i="3"/>
  <c r="M39" i="3" s="1"/>
  <c r="L30" i="3"/>
  <c r="K30" i="29" s="1"/>
  <c r="L30" i="29" s="1"/>
  <c r="L34" i="3"/>
  <c r="M34" i="3" s="1"/>
  <c r="L31" i="3"/>
  <c r="M31" i="3" s="1"/>
  <c r="L32" i="3"/>
  <c r="K32" i="29" s="1"/>
  <c r="L32" i="29" s="1"/>
  <c r="L33" i="3"/>
  <c r="K33" i="29" s="1"/>
  <c r="L33" i="29" s="1"/>
  <c r="L38" i="3"/>
  <c r="K38" i="29" s="1"/>
  <c r="L38" i="29" s="1"/>
  <c r="L35" i="3"/>
  <c r="K35" i="29" s="1"/>
  <c r="L35" i="29" s="1"/>
  <c r="L37" i="3"/>
  <c r="M37" i="3" s="1"/>
  <c r="L36" i="3"/>
  <c r="M36" i="3" s="1"/>
  <c r="I69" i="28"/>
  <c r="I72" i="28"/>
  <c r="K19" i="30"/>
  <c r="D19" i="30"/>
  <c r="L19" i="30"/>
  <c r="I70" i="28"/>
  <c r="I19" i="30"/>
  <c r="G19" i="30"/>
  <c r="E55" i="28"/>
  <c r="L13" i="29"/>
  <c r="L16" i="29"/>
  <c r="Q55" i="28"/>
  <c r="C14" i="30"/>
  <c r="K29" i="29"/>
  <c r="L29" i="29" s="1"/>
  <c r="M29" i="3"/>
  <c r="L15" i="29"/>
  <c r="L21" i="29"/>
  <c r="L45" i="29"/>
  <c r="L57" i="29" s="1"/>
  <c r="K57" i="29"/>
  <c r="E19" i="30"/>
  <c r="I67" i="28"/>
  <c r="I55" i="28"/>
  <c r="C11" i="30"/>
  <c r="M30" i="3"/>
  <c r="H19" i="30"/>
  <c r="L17" i="29"/>
  <c r="L12" i="29"/>
  <c r="L22" i="29"/>
  <c r="Q12" i="3"/>
  <c r="O12" i="29"/>
  <c r="P12" i="29" s="1"/>
  <c r="C15" i="30"/>
  <c r="E73" i="28"/>
  <c r="I68" i="28"/>
  <c r="J19" i="30"/>
  <c r="L19" i="29"/>
  <c r="U17" i="3"/>
  <c r="S17" i="29"/>
  <c r="T17" i="29" s="1"/>
  <c r="I65" i="28"/>
  <c r="I61" i="28"/>
  <c r="L20" i="29"/>
  <c r="I63" i="28"/>
  <c r="B10" i="30"/>
  <c r="I66" i="28"/>
  <c r="M19" i="30"/>
  <c r="M55" i="28"/>
  <c r="C12" i="30"/>
  <c r="I62" i="28"/>
  <c r="I71" i="28"/>
  <c r="L18" i="29"/>
  <c r="K23" i="29"/>
  <c r="L11" i="29"/>
  <c r="L14" i="29"/>
  <c r="L13" i="3"/>
  <c r="M13" i="3" s="1"/>
  <c r="H45" i="9"/>
  <c r="L18" i="3"/>
  <c r="M18" i="3" s="1"/>
  <c r="L17" i="3"/>
  <c r="M17" i="3" s="1"/>
  <c r="C45" i="9"/>
  <c r="L11" i="3"/>
  <c r="M11" i="3" s="1"/>
  <c r="L20" i="3"/>
  <c r="M20" i="3" s="1"/>
  <c r="L15" i="3"/>
  <c r="M15" i="3" s="1"/>
  <c r="F45" i="9"/>
  <c r="U57" i="3"/>
  <c r="L57" i="3"/>
  <c r="L21" i="3"/>
  <c r="M21" i="3" s="1"/>
  <c r="L19" i="3"/>
  <c r="M19" i="3" s="1"/>
  <c r="L22" i="3"/>
  <c r="M22" i="3" s="1"/>
  <c r="L14" i="3"/>
  <c r="M14" i="3" s="1"/>
  <c r="L16" i="3"/>
  <c r="M16" i="3" s="1"/>
  <c r="T57" i="3"/>
  <c r="E45" i="9"/>
  <c r="E34" i="9"/>
  <c r="Q57" i="3"/>
  <c r="M57" i="3"/>
  <c r="G45" i="9"/>
  <c r="T11" i="3"/>
  <c r="T14" i="3"/>
  <c r="T21" i="3"/>
  <c r="T18" i="3"/>
  <c r="T16" i="3"/>
  <c r="T13" i="3"/>
  <c r="T15" i="3"/>
  <c r="T22" i="3"/>
  <c r="T20" i="3"/>
  <c r="T12" i="3"/>
  <c r="P16" i="3"/>
  <c r="P11" i="3"/>
  <c r="P13" i="3"/>
  <c r="P18" i="3"/>
  <c r="P20" i="3"/>
  <c r="P22" i="3"/>
  <c r="T19" i="3"/>
  <c r="P19" i="3"/>
  <c r="P15" i="3"/>
  <c r="P17" i="3"/>
  <c r="P14" i="3"/>
  <c r="P21" i="3"/>
  <c r="P57" i="3"/>
  <c r="P29" i="3"/>
  <c r="P39" i="3"/>
  <c r="O39" i="29" s="1"/>
  <c r="P39" i="29" s="1"/>
  <c r="P38" i="3"/>
  <c r="P32" i="3"/>
  <c r="P36" i="3"/>
  <c r="P37" i="3"/>
  <c r="P34" i="3"/>
  <c r="P33" i="3"/>
  <c r="P30" i="3"/>
  <c r="P35" i="3"/>
  <c r="P31" i="3"/>
  <c r="P28" i="3"/>
  <c r="N32" i="9"/>
  <c r="B45" i="9"/>
  <c r="M35" i="3" l="1"/>
  <c r="M28" i="3"/>
  <c r="K34" i="29"/>
  <c r="L34" i="29" s="1"/>
  <c r="M38" i="3"/>
  <c r="K31" i="29"/>
  <c r="L31" i="29" s="1"/>
  <c r="K39" i="29"/>
  <c r="L39" i="29" s="1"/>
  <c r="K36" i="29"/>
  <c r="L36" i="29" s="1"/>
  <c r="K37" i="29"/>
  <c r="L37" i="29" s="1"/>
  <c r="M33" i="3"/>
  <c r="M32" i="3"/>
  <c r="L40" i="3"/>
  <c r="C19" i="30"/>
  <c r="Q31" i="3"/>
  <c r="O31" i="29"/>
  <c r="P31" i="29" s="1"/>
  <c r="Q34" i="3"/>
  <c r="O34" i="29"/>
  <c r="P34" i="29" s="1"/>
  <c r="Q38" i="3"/>
  <c r="O38" i="29"/>
  <c r="P38" i="29" s="1"/>
  <c r="Q19" i="3"/>
  <c r="O19" i="29"/>
  <c r="Q18" i="3"/>
  <c r="O18" i="29"/>
  <c r="U12" i="3"/>
  <c r="S12" i="29"/>
  <c r="U13" i="3"/>
  <c r="S13" i="29"/>
  <c r="T13" i="29" s="1"/>
  <c r="U14" i="3"/>
  <c r="S14" i="29"/>
  <c r="T14" i="29" s="1"/>
  <c r="E27" i="29"/>
  <c r="Q35" i="3"/>
  <c r="O35" i="29"/>
  <c r="P35" i="29" s="1"/>
  <c r="Q37" i="3"/>
  <c r="O37" i="29"/>
  <c r="P37" i="29" s="1"/>
  <c r="Q14" i="3"/>
  <c r="O14" i="29"/>
  <c r="U20" i="3"/>
  <c r="S20" i="29"/>
  <c r="T20" i="29" s="1"/>
  <c r="L28" i="29"/>
  <c r="Q28" i="3"/>
  <c r="O28" i="29"/>
  <c r="Q33" i="3"/>
  <c r="O33" i="29"/>
  <c r="P33" i="29" s="1"/>
  <c r="Q32" i="3"/>
  <c r="O32" i="29"/>
  <c r="P32" i="29" s="1"/>
  <c r="Q15" i="3"/>
  <c r="O15" i="29"/>
  <c r="Q20" i="3"/>
  <c r="O20" i="29"/>
  <c r="Q16" i="3"/>
  <c r="O16" i="29"/>
  <c r="U15" i="3"/>
  <c r="S15" i="29"/>
  <c r="T15" i="29" s="1"/>
  <c r="U21" i="3"/>
  <c r="S21" i="29"/>
  <c r="T21" i="29" s="1"/>
  <c r="Q21" i="3"/>
  <c r="O21" i="29"/>
  <c r="L23" i="29"/>
  <c r="U19" i="3"/>
  <c r="S19" i="29"/>
  <c r="T19" i="29" s="1"/>
  <c r="Q13" i="3"/>
  <c r="O13" i="29"/>
  <c r="U16" i="3"/>
  <c r="S16" i="29"/>
  <c r="T16" i="29" s="1"/>
  <c r="U11" i="3"/>
  <c r="S11" i="29"/>
  <c r="B15" i="30"/>
  <c r="E32" i="29" s="1"/>
  <c r="B14" i="30"/>
  <c r="E31" i="29" s="1"/>
  <c r="Q30" i="3"/>
  <c r="O30" i="29"/>
  <c r="P30" i="29" s="1"/>
  <c r="Q36" i="3"/>
  <c r="O36" i="29"/>
  <c r="P36" i="29" s="1"/>
  <c r="Q29" i="3"/>
  <c r="O29" i="29"/>
  <c r="P29" i="29" s="1"/>
  <c r="Q17" i="3"/>
  <c r="O17" i="29"/>
  <c r="Q22" i="3"/>
  <c r="O22" i="29"/>
  <c r="Q11" i="3"/>
  <c r="O11" i="29"/>
  <c r="U22" i="3"/>
  <c r="S22" i="29"/>
  <c r="T22" i="29" s="1"/>
  <c r="U18" i="3"/>
  <c r="S18" i="29"/>
  <c r="T18" i="29" s="1"/>
  <c r="B12" i="30"/>
  <c r="E29" i="29" s="1"/>
  <c r="B11" i="30"/>
  <c r="E28" i="29" s="1"/>
  <c r="L69" i="3"/>
  <c r="D19" i="3" s="1"/>
  <c r="E19" i="3" s="1"/>
  <c r="M23" i="3"/>
  <c r="L23" i="3"/>
  <c r="L73" i="3"/>
  <c r="D23" i="3" s="1"/>
  <c r="E23" i="3" s="1"/>
  <c r="Q39" i="3"/>
  <c r="L72" i="3"/>
  <c r="D22" i="3" s="1"/>
  <c r="E22" i="3" s="1"/>
  <c r="L67" i="3"/>
  <c r="D17" i="3" s="1"/>
  <c r="E17" i="3" s="1"/>
  <c r="L71" i="3"/>
  <c r="D21" i="3" s="1"/>
  <c r="E21" i="3" s="1"/>
  <c r="T23" i="3"/>
  <c r="L65" i="3"/>
  <c r="D15" i="3" s="1"/>
  <c r="E15" i="3" s="1"/>
  <c r="L63" i="3"/>
  <c r="D13" i="3" s="1"/>
  <c r="E13" i="3" s="1"/>
  <c r="L64" i="3"/>
  <c r="D14" i="3" s="1"/>
  <c r="E14" i="3" s="1"/>
  <c r="L62" i="3"/>
  <c r="D12" i="3" s="1"/>
  <c r="P23" i="3"/>
  <c r="L68" i="3"/>
  <c r="D18" i="3" s="1"/>
  <c r="E18" i="3" s="1"/>
  <c r="L70" i="3"/>
  <c r="D20" i="3" s="1"/>
  <c r="E20" i="3" s="1"/>
  <c r="L66" i="3"/>
  <c r="D16" i="3" s="1"/>
  <c r="E16" i="3" s="1"/>
  <c r="P40" i="3"/>
  <c r="N34" i="9"/>
  <c r="N45" i="9"/>
  <c r="D24" i="3" l="1"/>
  <c r="E12" i="3"/>
  <c r="E24" i="3" s="1"/>
  <c r="M40" i="3"/>
  <c r="K40" i="29"/>
  <c r="L40" i="29"/>
  <c r="M63" i="3"/>
  <c r="M68" i="3"/>
  <c r="M67" i="3"/>
  <c r="M72" i="3"/>
  <c r="M66" i="3"/>
  <c r="M73" i="3"/>
  <c r="M64" i="3"/>
  <c r="M69" i="3"/>
  <c r="U23" i="3"/>
  <c r="M65" i="3"/>
  <c r="M70" i="3"/>
  <c r="M62" i="3"/>
  <c r="M71" i="3"/>
  <c r="S23" i="29"/>
  <c r="T11" i="29"/>
  <c r="P20" i="29"/>
  <c r="L71" i="29" s="1"/>
  <c r="K71" i="29"/>
  <c r="D21" i="29" s="1"/>
  <c r="O40" i="29"/>
  <c r="P28" i="29"/>
  <c r="P40" i="29" s="1"/>
  <c r="P14" i="29"/>
  <c r="L65" i="29" s="1"/>
  <c r="K65" i="29"/>
  <c r="D15" i="29" s="1"/>
  <c r="B19" i="30"/>
  <c r="Q23" i="3"/>
  <c r="P11" i="29"/>
  <c r="O23" i="29"/>
  <c r="K62" i="29"/>
  <c r="D12" i="29" s="1"/>
  <c r="P17" i="29"/>
  <c r="L68" i="29" s="1"/>
  <c r="K68" i="29"/>
  <c r="D18" i="29" s="1"/>
  <c r="T12" i="29"/>
  <c r="L63" i="29" s="1"/>
  <c r="K63" i="29"/>
  <c r="D13" i="29" s="1"/>
  <c r="P19" i="29"/>
  <c r="L70" i="29" s="1"/>
  <c r="K70" i="29"/>
  <c r="D20" i="29" s="1"/>
  <c r="P13" i="29"/>
  <c r="L64" i="29" s="1"/>
  <c r="K64" i="29"/>
  <c r="D14" i="29" s="1"/>
  <c r="P21" i="29"/>
  <c r="L72" i="29" s="1"/>
  <c r="K72" i="29"/>
  <c r="D22" i="29" s="1"/>
  <c r="P22" i="29"/>
  <c r="L73" i="29" s="1"/>
  <c r="K73" i="29"/>
  <c r="D23" i="29" s="1"/>
  <c r="P18" i="29"/>
  <c r="L69" i="29" s="1"/>
  <c r="K69" i="29"/>
  <c r="D19" i="29" s="1"/>
  <c r="P16" i="29"/>
  <c r="L67" i="29" s="1"/>
  <c r="K67" i="29"/>
  <c r="D17" i="29" s="1"/>
  <c r="P15" i="29"/>
  <c r="L66" i="29" s="1"/>
  <c r="K66" i="29"/>
  <c r="D16" i="29" s="1"/>
  <c r="E35" i="29"/>
  <c r="Q40" i="3"/>
  <c r="L74" i="3"/>
  <c r="R37" i="31" l="1"/>
  <c r="S37" i="31" s="1"/>
  <c r="E17" i="29"/>
  <c r="R43" i="31"/>
  <c r="S43" i="31" s="1"/>
  <c r="E23" i="29"/>
  <c r="R34" i="31"/>
  <c r="S34" i="31" s="1"/>
  <c r="E14" i="29"/>
  <c r="R33" i="31"/>
  <c r="S33" i="31" s="1"/>
  <c r="E13" i="29"/>
  <c r="R32" i="31"/>
  <c r="E12" i="29"/>
  <c r="D24" i="29"/>
  <c r="R35" i="31"/>
  <c r="S35" i="31" s="1"/>
  <c r="E15" i="29"/>
  <c r="R41" i="31"/>
  <c r="S41" i="31" s="1"/>
  <c r="E21" i="29"/>
  <c r="R36" i="31"/>
  <c r="S36" i="31" s="1"/>
  <c r="E16" i="29"/>
  <c r="R39" i="31"/>
  <c r="S39" i="31" s="1"/>
  <c r="E19" i="29"/>
  <c r="R42" i="31"/>
  <c r="S42" i="31" s="1"/>
  <c r="E22" i="29"/>
  <c r="R40" i="31"/>
  <c r="S40" i="31" s="1"/>
  <c r="E20" i="29"/>
  <c r="R38" i="31"/>
  <c r="S38" i="31" s="1"/>
  <c r="E18" i="29"/>
  <c r="T23" i="29"/>
  <c r="M74" i="3"/>
  <c r="P23" i="29"/>
  <c r="L62" i="29"/>
  <c r="L74" i="29" s="1"/>
  <c r="K74" i="29"/>
  <c r="E24" i="29" l="1"/>
  <c r="R44" i="31"/>
  <c r="S32" i="31"/>
  <c r="S44" i="31" s="1"/>
</calcChain>
</file>

<file path=xl/comments1.xml><?xml version="1.0" encoding="utf-8"?>
<comments xmlns="http://schemas.openxmlformats.org/spreadsheetml/2006/main">
  <authors>
    <author>KXu</author>
  </authors>
  <commentList>
    <comment ref="F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<sst xmlns="http://schemas.openxmlformats.org/spreadsheetml/2006/main" count="828" uniqueCount="216">
  <si>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</si>
  <si>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</si>
  <si>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</si>
  <si>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</si>
  <si>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</si>
  <si>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</si>
  <si>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</si>
  <si>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</si>
  <si>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</si>
  <si>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</si>
  <si>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</si>
  <si>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</si>
  <si>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</si>
  <si>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</si>
  <si>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</si>
  <si>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</si>
  <si>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</si>
  <si>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</si>
  <si>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</si>
  <si>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</si>
  <si>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</si>
  <si>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</si>
  <si>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</si>
  <si>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</si>
  <si>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</si>
  <si>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</si>
  <si>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</si>
  <si>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</si>
  <si>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</si>
  <si>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</si>
  <si>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</si>
  <si>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</si>
  <si>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</si>
  <si>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</si>
  <si>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</si>
  <si>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</si>
  <si>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</si>
  <si>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</si>
  <si>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</si>
  <si>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</si>
  <si>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</si>
  <si>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</si>
  <si>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% Diff from Actual (Total)</t>
  </si>
  <si>
    <t xml:space="preserve">% of </t>
  </si>
  <si>
    <t>TY Total</t>
  </si>
  <si>
    <t>Allocate System kWh Adjustment to Rate Schedules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</si>
  <si>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</si>
  <si>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</si>
  <si>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</si>
  <si>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</si>
  <si>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</si>
  <si>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</si>
  <si>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</si>
  <si>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</si>
  <si>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</si>
  <si>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</si>
  <si>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</si>
  <si>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</si>
  <si>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</si>
  <si>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</si>
  <si>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</si>
  <si>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</si>
  <si>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</si>
  <si>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</si>
  <si>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</si>
  <si>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</si>
  <si>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</si>
  <si>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</si>
  <si>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</si>
  <si>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</si>
  <si>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</si>
  <si>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</si>
  <si>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</si>
  <si>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</si>
  <si>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</si>
  <si>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</si>
  <si>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</si>
  <si>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</si>
  <si>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</si>
  <si>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</si>
  <si>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</si>
  <si>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</si>
  <si>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</si>
  <si>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</si>
  <si>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</si>
  <si>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</si>
  <si>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</si>
  <si>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</si>
  <si>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</si>
  <si>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</si>
  <si>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</si>
  <si>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</si>
  <si>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</si>
  <si>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</si>
  <si>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</si>
  <si>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</si>
  <si>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</si>
  <si>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</si>
  <si>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</si>
  <si>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</si>
  <si>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</si>
  <si>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</si>
  <si>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</si>
  <si>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</si>
  <si>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</si>
  <si>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</si>
  <si>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</si>
  <si>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</si>
  <si>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</si>
  <si>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</si>
  <si>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Actual</t>
  </si>
  <si>
    <t>Temp. Adj.</t>
  </si>
  <si>
    <t>Adj. (MWH)</t>
  </si>
  <si>
    <t>(4)=(3)-(2)</t>
  </si>
  <si>
    <t>(1)</t>
  </si>
  <si>
    <t>(2)</t>
  </si>
  <si>
    <t>(3)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</si>
  <si>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</si>
  <si>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</si>
  <si>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</si>
  <si>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</si>
  <si>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</si>
  <si>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</si>
  <si>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</si>
  <si>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</si>
  <si>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</si>
  <si>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</si>
  <si>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</si>
  <si>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</si>
  <si>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</si>
  <si>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</si>
  <si>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</si>
  <si>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</si>
  <si>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</si>
  <si>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</si>
  <si>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</si>
  <si>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</si>
  <si>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</si>
  <si>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</si>
  <si>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</si>
  <si>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</si>
  <si>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</si>
  <si>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</si>
  <si>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</si>
  <si>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</si>
  <si>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</si>
  <si>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</si>
  <si>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</si>
  <si>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</si>
  <si>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</si>
  <si>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</si>
  <si>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</si>
  <si>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</si>
  <si>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</si>
  <si>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</si>
  <si>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</si>
  <si>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</si>
  <si>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</si>
  <si>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</si>
  <si>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</si>
  <si>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</si>
  <si>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</si>
  <si>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</si>
  <si>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</si>
  <si>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</si>
  <si>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</si>
  <si>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</si>
  <si>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</si>
  <si>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</si>
  <si>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</si>
  <si>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</si>
  <si>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</si>
  <si>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</si>
  <si>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</si>
  <si>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</si>
  <si>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</si>
  <si>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</si>
  <si>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</si>
  <si>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</si>
  <si>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</si>
  <si>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MS-SC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</si>
  <si>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</si>
  <si>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</si>
  <si>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</si>
  <si>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</si>
  <si>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</si>
  <si>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</si>
  <si>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</si>
  <si>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Special Contract</t>
  </si>
  <si>
    <t>SC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</si>
  <si>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</si>
  <si>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</si>
  <si>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</si>
  <si>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</si>
  <si>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</si>
  <si>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</si>
  <si>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</si>
  <si>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</si>
  <si>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</si>
  <si>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</si>
  <si>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</si>
  <si>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</si>
  <si>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</si>
  <si>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</si>
  <si>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</si>
  <si>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</si>
  <si>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</si>
  <si>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</si>
  <si>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</si>
  <si>
    <t xml:space="preserve">kWh </t>
  </si>
  <si>
    <t>Table 3</t>
  </si>
  <si>
    <t xml:space="preserve"> (MWH)</t>
  </si>
  <si>
    <t>GPI KWH</t>
  </si>
  <si>
    <t>Revenue Adj</t>
  </si>
  <si>
    <t>Effective December 19, 2017 &amp; May 1, 2019 (they are identical)
Variable PCA Rates Only
(Decoupling Covers Fixed Production &amp; Margin Revenue)</t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</si>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</sst>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33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1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1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2" applyNumberFormat="0" applyAlignment="0" applyProtection="0"/>
    <xf numFmtId="0" fontId="67" fillId="67" borderId="32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7" fillId="67" borderId="32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2" applyNumberFormat="0" applyAlignment="0" applyProtection="0"/>
    <xf numFmtId="0" fontId="66" fillId="66" borderId="32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33" fillId="21" borderId="2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1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0">
      <alignment horizontal="center" vertical="center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0">
      <alignment horizontal="left"/>
      <protection locked="0"/>
    </xf>
    <xf numFmtId="166" fontId="58" fillId="0" borderId="0">
      <alignment horizontal="left" wrapText="1"/>
    </xf>
    <xf numFmtId="41" fontId="99" fillId="26" borderId="40">
      <alignment horizontal="left"/>
      <protection locked="0"/>
    </xf>
    <xf numFmtId="10" fontId="99" fillId="26" borderId="40">
      <alignment horizontal="right"/>
      <protection locked="0"/>
    </xf>
    <xf numFmtId="166" fontId="58" fillId="0" borderId="0">
      <alignment horizontal="left" wrapText="1"/>
    </xf>
    <xf numFmtId="10" fontId="99" fillId="26" borderId="40">
      <alignment horizontal="right"/>
      <protection locked="0"/>
    </xf>
    <xf numFmtId="166" fontId="58" fillId="0" borderId="0">
      <alignment horizontal="left" wrapText="1"/>
    </xf>
    <xf numFmtId="41" fontId="99" fillId="26" borderId="40">
      <alignment horizontal="left"/>
      <protection locked="0"/>
    </xf>
    <xf numFmtId="0" fontId="87" fillId="0" borderId="41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0" fontId="10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41" fontId="6" fillId="77" borderId="40"/>
    <xf numFmtId="41" fontId="6" fillId="77" borderId="40"/>
    <xf numFmtId="166" fontId="58" fillId="0" borderId="0">
      <alignment horizontal="left" wrapText="1"/>
    </xf>
    <xf numFmtId="0" fontId="5" fillId="0" borderId="0"/>
    <xf numFmtId="41" fontId="6" fillId="77" borderId="40"/>
    <xf numFmtId="41" fontId="6" fillId="77" borderId="40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0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1"/>
    <xf numFmtId="0" fontId="112" fillId="80" borderId="46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47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49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47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77" fillId="0" borderId="51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2" applyNumberFormat="0" applyFill="0" applyAlignment="0" applyProtection="0"/>
    <xf numFmtId="0" fontId="106" fillId="0" borderId="0"/>
    <xf numFmtId="0" fontId="5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41" fontId="11" fillId="23" borderId="0">
      <alignment horizontal="left"/>
    </xf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6" fillId="0" borderId="51" applyNumberFormat="0" applyFont="0" applyFill="0" applyAlignment="0" applyProtection="0"/>
    <xf numFmtId="0" fontId="6" fillId="0" borderId="51" applyNumberFormat="0" applyFon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132" fillId="0" borderId="50" applyNumberFormat="0" applyFill="0" applyAlignment="0" applyProtection="0"/>
    <xf numFmtId="0" fontId="75" fillId="0" borderId="53"/>
    <xf numFmtId="0" fontId="76" fillId="0" borderId="53"/>
    <xf numFmtId="0" fontId="76" fillId="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53"/>
    <xf numFmtId="0" fontId="76" fillId="0" borderId="53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54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2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2" applyNumberFormat="0" applyAlignment="0" applyProtection="0"/>
    <xf numFmtId="0" fontId="67" fillId="67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2" applyNumberFormat="0" applyAlignment="0" applyProtection="0"/>
    <xf numFmtId="41" fontId="6" fillId="23" borderId="0"/>
    <xf numFmtId="0" fontId="29" fillId="0" borderId="0"/>
    <xf numFmtId="0" fontId="67" fillId="67" borderId="32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2" applyNumberFormat="0" applyAlignment="0" applyProtection="0"/>
    <xf numFmtId="0" fontId="67" fillId="67" borderId="32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2" applyNumberFormat="0" applyAlignment="0" applyProtection="0"/>
    <xf numFmtId="0" fontId="29" fillId="0" borderId="0"/>
    <xf numFmtId="0" fontId="135" fillId="0" borderId="0"/>
    <xf numFmtId="0" fontId="66" fillId="66" borderId="32" applyNumberFormat="0" applyAlignment="0" applyProtection="0"/>
    <xf numFmtId="0" fontId="29" fillId="0" borderId="0"/>
    <xf numFmtId="0" fontId="66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33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33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55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33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56">
      <alignment vertical="top"/>
    </xf>
    <xf numFmtId="205" fontId="25" fillId="0" borderId="0" applyBorder="0">
      <alignment horizontal="right"/>
    </xf>
    <xf numFmtId="205" fontId="25" fillId="0" borderId="30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3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6" fillId="0" borderId="0"/>
    <xf numFmtId="0" fontId="163" fillId="0" borderId="35" applyNumberFormat="0" applyFill="0" applyAlignment="0" applyProtection="0"/>
    <xf numFmtId="0" fontId="9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163" fillId="0" borderId="35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34" applyNumberFormat="0" applyFill="0" applyAlignment="0" applyProtection="0"/>
    <xf numFmtId="0" fontId="29" fillId="0" borderId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29" fillId="0" borderId="0"/>
    <xf numFmtId="0" fontId="135" fillId="0" borderId="0"/>
    <xf numFmtId="0" fontId="163" fillId="0" borderId="35" applyNumberFormat="0" applyFill="0" applyAlignment="0" applyProtection="0"/>
    <xf numFmtId="0" fontId="89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34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37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37" applyNumberFormat="0" applyFill="0" applyAlignment="0" applyProtection="0"/>
    <xf numFmtId="0" fontId="6" fillId="0" borderId="0"/>
    <xf numFmtId="0" fontId="164" fillId="0" borderId="37" applyNumberFormat="0" applyFill="0" applyAlignment="0" applyProtection="0"/>
    <xf numFmtId="0" fontId="94" fillId="0" borderId="37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37" applyNumberFormat="0" applyFill="0" applyAlignment="0" applyProtection="0"/>
    <xf numFmtId="0" fontId="164" fillId="0" borderId="3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36" applyNumberFormat="0" applyFill="0" applyAlignment="0" applyProtection="0"/>
    <xf numFmtId="0" fontId="29" fillId="0" borderId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37" applyNumberFormat="0" applyFill="0" applyAlignment="0" applyProtection="0"/>
    <xf numFmtId="0" fontId="29" fillId="0" borderId="0"/>
    <xf numFmtId="0" fontId="135" fillId="0" borderId="0"/>
    <xf numFmtId="0" fontId="164" fillId="0" borderId="37" applyNumberFormat="0" applyFill="0" applyAlignment="0" applyProtection="0"/>
    <xf numFmtId="0" fontId="93" fillId="0" borderId="36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36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39" applyNumberFormat="0" applyFill="0" applyAlignment="0" applyProtection="0"/>
    <xf numFmtId="0" fontId="29" fillId="0" borderId="0"/>
    <xf numFmtId="0" fontId="6" fillId="0" borderId="0"/>
    <xf numFmtId="0" fontId="96" fillId="0" borderId="57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39" applyNumberFormat="0" applyFill="0" applyAlignment="0" applyProtection="0"/>
    <xf numFmtId="0" fontId="165" fillId="0" borderId="39" applyNumberFormat="0" applyFill="0" applyAlignment="0" applyProtection="0"/>
    <xf numFmtId="0" fontId="29" fillId="0" borderId="0"/>
    <xf numFmtId="0" fontId="6" fillId="0" borderId="0"/>
    <xf numFmtId="0" fontId="165" fillId="0" borderId="39" applyNumberFormat="0" applyFill="0" applyAlignment="0" applyProtection="0"/>
    <xf numFmtId="0" fontId="29" fillId="0" borderId="0"/>
    <xf numFmtId="0" fontId="96" fillId="0" borderId="39" applyNumberFormat="0" applyFill="0" applyAlignment="0" applyProtection="0"/>
    <xf numFmtId="0" fontId="29" fillId="0" borderId="0"/>
    <xf numFmtId="0" fontId="29" fillId="0" borderId="0"/>
    <xf numFmtId="0" fontId="96" fillId="0" borderId="39" applyNumberFormat="0" applyFill="0" applyAlignment="0" applyProtection="0"/>
    <xf numFmtId="0" fontId="165" fillId="0" borderId="39" applyNumberFormat="0" applyFill="0" applyAlignment="0" applyProtection="0"/>
    <xf numFmtId="0" fontId="38" fillId="0" borderId="5" applyNumberFormat="0" applyFill="0" applyAlignment="0" applyProtection="0"/>
    <xf numFmtId="0" fontId="166" fillId="0" borderId="58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38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38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2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2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2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2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2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170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41" fontId="99" fillId="26" borderId="40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0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43" applyNumberFormat="0" applyFill="0" applyAlignment="0" applyProtection="0"/>
    <xf numFmtId="0" fontId="29" fillId="0" borderId="0"/>
    <xf numFmtId="0" fontId="6" fillId="0" borderId="0"/>
    <xf numFmtId="0" fontId="101" fillId="0" borderId="42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43" applyNumberFormat="0" applyFill="0" applyAlignment="0" applyProtection="0"/>
    <xf numFmtId="0" fontId="171" fillId="0" borderId="43" applyNumberFormat="0" applyFill="0" applyAlignment="0" applyProtection="0"/>
    <xf numFmtId="0" fontId="29" fillId="0" borderId="0"/>
    <xf numFmtId="0" fontId="6" fillId="0" borderId="0"/>
    <xf numFmtId="0" fontId="171" fillId="0" borderId="43" applyNumberFormat="0" applyFill="0" applyAlignment="0" applyProtection="0"/>
    <xf numFmtId="0" fontId="29" fillId="0" borderId="0"/>
    <xf numFmtId="0" fontId="45" fillId="0" borderId="43" applyNumberFormat="0" applyFill="0" applyAlignment="0" applyProtection="0"/>
    <xf numFmtId="0" fontId="29" fillId="0" borderId="0"/>
    <xf numFmtId="0" fontId="29" fillId="0" borderId="0"/>
    <xf numFmtId="0" fontId="45" fillId="0" borderId="43" applyNumberFormat="0" applyFill="0" applyAlignment="0" applyProtection="0"/>
    <xf numFmtId="0" fontId="171" fillId="0" borderId="43" applyNumberFormat="0" applyFill="0" applyAlignment="0" applyProtection="0"/>
    <xf numFmtId="0" fontId="40" fillId="0" borderId="7" applyNumberFormat="0" applyFill="0" applyAlignment="0" applyProtection="0"/>
    <xf numFmtId="0" fontId="172" fillId="0" borderId="59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2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2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99" borderId="6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44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4" fillId="76" borderId="44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45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45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45" applyNumberFormat="0" applyAlignment="0" applyProtection="0"/>
    <xf numFmtId="0" fontId="107" fillId="67" borderId="45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1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45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45" applyNumberFormat="0" applyAlignment="0" applyProtection="0"/>
    <xf numFmtId="0" fontId="4" fillId="0" borderId="0"/>
    <xf numFmtId="0" fontId="107" fillId="66" borderId="45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29" fillId="0" borderId="0" applyFont="0" applyFill="0" applyBorder="0" applyAlignment="0" applyProtection="0"/>
    <xf numFmtId="0" fontId="6" fillId="0" borderId="0"/>
    <xf numFmtId="10" fontId="6" fillId="0" borderId="4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10" fontId="6" fillId="0" borderId="40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0"/>
    <xf numFmtId="10" fontId="6" fillId="0" borderId="4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0" fontId="6" fillId="0" borderId="0"/>
    <xf numFmtId="10" fontId="6" fillId="0" borderId="40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9" fontId="29" fillId="0" borderId="0" applyFont="0" applyFill="0" applyBorder="0" applyAlignment="0" applyProtection="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0" fontId="4" fillId="0" borderId="0"/>
    <xf numFmtId="0" fontId="47" fillId="0" borderId="30">
      <alignment horizontal="center"/>
    </xf>
    <xf numFmtId="0" fontId="47" fillId="0" borderId="30">
      <alignment horizontal="center"/>
    </xf>
    <xf numFmtId="0" fontId="47" fillId="0" borderId="30">
      <alignment horizontal="center"/>
    </xf>
    <xf numFmtId="0" fontId="6" fillId="0" borderId="0"/>
    <xf numFmtId="0" fontId="4" fillId="0" borderId="0"/>
    <xf numFmtId="0" fontId="47" fillId="0" borderId="30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1"/>
    <xf numFmtId="0" fontId="112" fillId="80" borderId="46"/>
    <xf numFmtId="0" fontId="112" fillId="80" borderId="46"/>
    <xf numFmtId="0" fontId="113" fillId="79" borderId="47"/>
    <xf numFmtId="0" fontId="113" fillId="79" borderId="47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2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3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64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64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0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65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77" fillId="0" borderId="51" applyNumberFormat="0" applyFont="0" applyFill="0" applyAlignment="0" applyProtection="0"/>
    <xf numFmtId="0" fontId="6" fillId="0" borderId="0"/>
    <xf numFmtId="0" fontId="4" fillId="0" borderId="0"/>
    <xf numFmtId="0" fontId="44" fillId="0" borderId="5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0" applyNumberFormat="0" applyFill="0" applyAlignment="0" applyProtection="0"/>
    <xf numFmtId="0" fontId="4" fillId="0" borderId="0"/>
    <xf numFmtId="0" fontId="132" fillId="0" borderId="50" applyNumberForma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0" applyNumberFormat="0" applyFill="0" applyAlignment="0" applyProtection="0"/>
    <xf numFmtId="0" fontId="6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6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6" fillId="0" borderId="0"/>
    <xf numFmtId="0" fontId="4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132" fillId="0" borderId="50" applyNumberFormat="0" applyFill="0" applyAlignment="0" applyProtection="0"/>
    <xf numFmtId="0" fontId="75" fillId="0" borderId="53"/>
    <xf numFmtId="0" fontId="76" fillId="0" borderId="53"/>
    <xf numFmtId="0" fontId="76" fillId="0" borderId="53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53"/>
    <xf numFmtId="0" fontId="4" fillId="0" borderId="0"/>
    <xf numFmtId="0" fontId="76" fillId="0" borderId="53"/>
    <xf numFmtId="205" fontId="25" fillId="0" borderId="66"/>
    <xf numFmtId="212" fontId="145" fillId="0" borderId="66" applyAlignment="0"/>
    <xf numFmtId="213" fontId="145" fillId="0" borderId="66" applyAlignment="0"/>
    <xf numFmtId="218" fontId="145" fillId="0" borderId="66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511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56" fillId="0" borderId="0" xfId="0" quotePrefix="1" applyFont="1" applyAlignment="1">
      <alignment horizontal="left"/>
    </xf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0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199" fillId="115" borderId="0" xfId="49" applyNumberFormat="1" applyFont="1" applyFill="1" applyBorder="1"/>
    <xf numFmtId="167" fontId="12" fillId="115" borderId="18" xfId="53" applyNumberFormat="1" applyFont="1" applyFill="1" applyBorder="1"/>
    <xf numFmtId="0" fontId="199" fillId="115" borderId="0" xfId="48" applyFont="1" applyFill="1" applyBorder="1"/>
    <xf numFmtId="0" fontId="12" fillId="115" borderId="0" xfId="48" applyFont="1" applyFill="1" applyBorder="1"/>
    <xf numFmtId="3" fontId="199" fillId="115" borderId="0" xfId="48" applyNumberFormat="1" applyFont="1" applyFill="1" applyBorder="1"/>
    <xf numFmtId="3" fontId="202" fillId="115" borderId="0" xfId="48" applyNumberFormat="1" applyFont="1" applyFill="1" applyBorder="1"/>
    <xf numFmtId="3" fontId="202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1" fillId="115" borderId="0" xfId="48" quotePrefix="1" applyFont="1" applyFill="1" applyBorder="1" applyAlignment="1"/>
    <xf numFmtId="0" fontId="201" fillId="115" borderId="0" xfId="48" applyFont="1" applyFill="1" applyBorder="1" applyAlignment="1">
      <alignment wrapText="1"/>
    </xf>
    <xf numFmtId="0" fontId="0" fillId="0" borderId="17" xfId="0" quotePrefix="1" applyFill="1" applyBorder="1" applyAlignment="1">
      <alignment horizontal="left"/>
    </xf>
    <xf numFmtId="167" fontId="17" fillId="0" borderId="0" xfId="0" applyNumberFormat="1" applyFont="1" applyFill="1" applyAlignment="1">
      <alignment horizontal="right"/>
    </xf>
    <xf numFmtId="0" fontId="11" fillId="0" borderId="0" xfId="0" applyFont="1" applyFill="1" applyAlignment="1" applyProtection="1">
      <alignment horizontal="centerContinuous"/>
      <protection locked="0"/>
    </xf>
    <xf numFmtId="0" fontId="11" fillId="0" borderId="0" xfId="0" applyFont="1" applyFill="1" applyAlignment="1">
      <alignment horizontal="centerContinuous"/>
    </xf>
    <xf numFmtId="0" fontId="11" fillId="0" borderId="0" xfId="0" applyFont="1" applyFill="1" applyAlignment="1" applyProtection="1">
      <alignment horizontal="center"/>
      <protection locked="0"/>
    </xf>
    <xf numFmtId="0" fontId="11" fillId="0" borderId="0" xfId="0" applyFont="1" applyFill="1" applyProtection="1">
      <protection locked="0"/>
    </xf>
    <xf numFmtId="0" fontId="11" fillId="0" borderId="20" xfId="0" applyFont="1" applyFill="1" applyBorder="1" applyAlignment="1" applyProtection="1">
      <alignment horizontal="center"/>
      <protection locked="0"/>
    </xf>
    <xf numFmtId="0" fontId="11" fillId="0" borderId="20" xfId="0" applyFont="1" applyFill="1" applyBorder="1"/>
    <xf numFmtId="0" fontId="6" fillId="0" borderId="20" xfId="0" applyFont="1" applyFill="1" applyBorder="1"/>
    <xf numFmtId="0" fontId="13" fillId="0" borderId="0" xfId="0" applyFont="1" applyFill="1" applyBorder="1"/>
    <xf numFmtId="0" fontId="12" fillId="0" borderId="0" xfId="0" applyFont="1" applyFill="1" applyBorder="1"/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 applyFill="1"/>
    <xf numFmtId="0" fontId="15" fillId="0" borderId="0" xfId="0" quotePrefix="1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37" fontId="15" fillId="0" borderId="0" xfId="0" applyNumberFormat="1" applyFont="1" applyFill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37" fontId="16" fillId="0" borderId="0" xfId="0" applyNumberFormat="1" applyFont="1" applyFill="1" applyBorder="1" applyAlignment="1">
      <alignment horizontal="center"/>
    </xf>
    <xf numFmtId="17" fontId="6" fillId="0" borderId="0" xfId="0" applyNumberFormat="1" applyFont="1" applyFill="1"/>
    <xf numFmtId="164" fontId="6" fillId="0" borderId="0" xfId="29" applyNumberFormat="1" applyFont="1" applyFill="1" applyBorder="1"/>
    <xf numFmtId="164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Border="1"/>
    <xf numFmtId="37" fontId="6" fillId="0" borderId="0" xfId="29" applyNumberFormat="1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quotePrefix="1" applyFont="1" applyFill="1" applyAlignment="1">
      <alignment horizontal="left"/>
    </xf>
    <xf numFmtId="164" fontId="6" fillId="0" borderId="20" xfId="0" applyNumberFormat="1" applyFont="1" applyFill="1" applyBorder="1" applyAlignment="1">
      <alignment horizontal="right"/>
    </xf>
    <xf numFmtId="0" fontId="8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left"/>
    </xf>
    <xf numFmtId="165" fontId="6" fillId="0" borderId="0" xfId="0" applyNumberFormat="1" applyFont="1" applyFill="1" applyBorder="1"/>
    <xf numFmtId="0" fontId="11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Alignment="1">
      <alignment horizontal="centerContinuous"/>
    </xf>
    <xf numFmtId="164" fontId="6" fillId="0" borderId="0" xfId="29" applyNumberFormat="1" applyFont="1" applyFill="1" applyAlignment="1">
      <alignment horizontal="centerContinuous"/>
    </xf>
    <xf numFmtId="0" fontId="6" fillId="0" borderId="0" xfId="0" applyFont="1" applyFill="1" applyAlignment="1">
      <alignment horizontal="right"/>
    </xf>
    <xf numFmtId="164" fontId="6" fillId="0" borderId="0" xfId="29" applyNumberFormat="1" applyFont="1" applyFill="1"/>
    <xf numFmtId="0" fontId="6" fillId="0" borderId="0" xfId="0" applyFont="1" applyFill="1" applyBorder="1" applyAlignment="1">
      <alignment horizontal="center" wrapText="1"/>
    </xf>
    <xf numFmtId="17" fontId="6" fillId="0" borderId="0" xfId="0" applyNumberFormat="1" applyFont="1" applyFill="1" applyBorder="1" applyAlignment="1">
      <alignment horizontal="center" wrapText="1"/>
    </xf>
    <xf numFmtId="0" fontId="6" fillId="0" borderId="67" xfId="0" applyFont="1" applyFill="1" applyBorder="1"/>
    <xf numFmtId="0" fontId="6" fillId="0" borderId="68" xfId="0" applyFont="1" applyFill="1" applyBorder="1"/>
    <xf numFmtId="0" fontId="6" fillId="0" borderId="69" xfId="0" applyFont="1" applyFill="1" applyBorder="1"/>
    <xf numFmtId="0" fontId="6" fillId="0" borderId="70" xfId="0" applyFont="1" applyFill="1" applyBorder="1"/>
    <xf numFmtId="164" fontId="6" fillId="0" borderId="0" xfId="0" applyNumberFormat="1" applyFont="1" applyFill="1" applyBorder="1"/>
    <xf numFmtId="164" fontId="6" fillId="0" borderId="71" xfId="0" applyNumberFormat="1" applyFont="1" applyFill="1" applyBorder="1"/>
    <xf numFmtId="0" fontId="6" fillId="0" borderId="70" xfId="0" quotePrefix="1" applyFont="1" applyFill="1" applyBorder="1" applyAlignment="1">
      <alignment horizontal="left" indent="2"/>
    </xf>
    <xf numFmtId="168" fontId="6" fillId="0" borderId="0" xfId="30" applyNumberFormat="1" applyFont="1" applyFill="1" applyBorder="1"/>
    <xf numFmtId="168" fontId="6" fillId="0" borderId="71" xfId="30" applyNumberFormat="1" applyFont="1" applyFill="1" applyBorder="1"/>
    <xf numFmtId="0" fontId="6" fillId="0" borderId="70" xfId="0" applyFont="1" applyFill="1" applyBorder="1" applyAlignment="1">
      <alignment horizontal="left" indent="2"/>
    </xf>
    <xf numFmtId="0" fontId="6" fillId="0" borderId="72" xfId="0" applyFont="1" applyFill="1" applyBorder="1"/>
    <xf numFmtId="168" fontId="6" fillId="0" borderId="30" xfId="30" applyNumberFormat="1" applyFont="1" applyFill="1" applyBorder="1"/>
    <xf numFmtId="168" fontId="6" fillId="0" borderId="73" xfId="30" applyNumberFormat="1" applyFont="1" applyFill="1" applyBorder="1"/>
    <xf numFmtId="0" fontId="6" fillId="0" borderId="67" xfId="0" applyFont="1" applyFill="1" applyBorder="1" applyAlignment="1">
      <alignment horizontal="center" wrapText="1"/>
    </xf>
    <xf numFmtId="0" fontId="6" fillId="0" borderId="68" xfId="0" quotePrefix="1" applyFont="1" applyFill="1" applyBorder="1" applyAlignment="1">
      <alignment horizontal="center" wrapText="1"/>
    </xf>
    <xf numFmtId="17" fontId="6" fillId="0" borderId="68" xfId="0" applyNumberFormat="1" applyFont="1" applyFill="1" applyBorder="1" applyAlignment="1">
      <alignment horizontal="center" wrapText="1"/>
    </xf>
    <xf numFmtId="17" fontId="6" fillId="0" borderId="69" xfId="0" applyNumberFormat="1" applyFont="1" applyFill="1" applyBorder="1" applyAlignment="1">
      <alignment horizontal="center" wrapText="1"/>
    </xf>
    <xf numFmtId="0" fontId="6" fillId="0" borderId="70" xfId="0" quotePrefix="1" applyFont="1" applyFill="1" applyBorder="1" applyAlignment="1">
      <alignment horizontal="left"/>
    </xf>
    <xf numFmtId="0" fontId="6" fillId="0" borderId="0" xfId="0" applyFont="1" applyFill="1" applyBorder="1"/>
    <xf numFmtId="0" fontId="6" fillId="0" borderId="71" xfId="0" applyFont="1" applyFill="1" applyBorder="1"/>
    <xf numFmtId="0" fontId="6" fillId="0" borderId="70" xfId="0" applyFont="1" applyFill="1" applyBorder="1" applyAlignment="1">
      <alignment horizontal="center" wrapText="1"/>
    </xf>
    <xf numFmtId="0" fontId="6" fillId="0" borderId="0" xfId="0" quotePrefix="1" applyFont="1" applyFill="1" applyBorder="1" applyAlignment="1">
      <alignment horizontal="center" wrapText="1"/>
    </xf>
    <xf numFmtId="17" fontId="6" fillId="0" borderId="71" xfId="0" applyNumberFormat="1" applyFont="1" applyFill="1" applyBorder="1" applyAlignment="1">
      <alignment horizontal="center" wrapText="1"/>
    </xf>
    <xf numFmtId="0" fontId="6" fillId="0" borderId="70" xfId="0" quotePrefix="1" applyFont="1" applyFill="1" applyBorder="1" applyAlignment="1">
      <alignment horizontal="left" wrapText="1"/>
    </xf>
    <xf numFmtId="169" fontId="6" fillId="0" borderId="0" xfId="30" applyNumberFormat="1" applyFont="1" applyFill="1" applyBorder="1"/>
    <xf numFmtId="169" fontId="6" fillId="0" borderId="71" xfId="30" applyNumberFormat="1" applyFont="1" applyFill="1" applyBorder="1"/>
    <xf numFmtId="0" fontId="6" fillId="0" borderId="30" xfId="0" applyFont="1" applyFill="1" applyBorder="1"/>
    <xf numFmtId="0" fontId="6" fillId="0" borderId="73" xfId="0" applyFont="1" applyFill="1" applyBorder="1"/>
    <xf numFmtId="168" fontId="0" fillId="0" borderId="0" xfId="30" applyNumberFormat="1" applyFont="1"/>
    <xf numFmtId="168" fontId="6" fillId="0" borderId="20" xfId="30" applyNumberFormat="1" applyFont="1" applyFill="1" applyBorder="1" applyAlignment="1">
      <alignment horizontal="right"/>
    </xf>
    <xf numFmtId="168" fontId="6" fillId="0" borderId="0" xfId="30" applyNumberFormat="1" applyFont="1" applyFill="1" applyAlignment="1">
      <alignment horizontal="right"/>
    </xf>
    <xf numFmtId="164" fontId="6" fillId="116" borderId="0" xfId="29" applyNumberFormat="1" applyFont="1" applyFill="1" applyBorder="1"/>
    <xf numFmtId="164" fontId="6" fillId="116" borderId="71" xfId="0" applyNumberFormat="1" applyFont="1" applyFill="1" applyBorder="1"/>
    <xf numFmtId="1" fontId="203" fillId="0" borderId="0" xfId="42570" applyNumberFormat="1" applyFont="1" applyFill="1" applyBorder="1" applyAlignment="1">
      <alignment horizontal="center"/>
    </xf>
    <xf numFmtId="0" fontId="203" fillId="0" borderId="0" xfId="42570" applyFont="1" applyFill="1" applyBorder="1"/>
    <xf numFmtId="0" fontId="203" fillId="0" borderId="0" xfId="42570" applyFont="1" applyFill="1" applyBorder="1" applyAlignment="1">
      <alignment horizontal="center"/>
    </xf>
    <xf numFmtId="3" fontId="203" fillId="0" borderId="0" xfId="42570" applyNumberFormat="1" applyFont="1" applyFill="1" applyBorder="1"/>
    <xf numFmtId="41" fontId="203" fillId="0" borderId="0" xfId="42570" applyNumberFormat="1" applyFont="1" applyFill="1" applyBorder="1"/>
    <xf numFmtId="0" fontId="204" fillId="0" borderId="0" xfId="42570" applyFont="1" applyFill="1" applyBorder="1"/>
    <xf numFmtId="0" fontId="206" fillId="0" borderId="0" xfId="42570" applyFont="1" applyFill="1" applyBorder="1" applyAlignment="1">
      <alignment horizontal="center"/>
    </xf>
    <xf numFmtId="0" fontId="206" fillId="0" borderId="0" xfId="42570" applyFont="1" applyFill="1" applyBorder="1" applyAlignment="1">
      <alignment horizontal="center" wrapText="1"/>
    </xf>
    <xf numFmtId="167" fontId="203" fillId="0" borderId="0" xfId="42570" applyNumberFormat="1" applyFont="1" applyFill="1" applyBorder="1"/>
    <xf numFmtId="167" fontId="6" fillId="0" borderId="0" xfId="42571" applyNumberFormat="1" applyFont="1" applyFill="1" applyBorder="1"/>
    <xf numFmtId="9" fontId="203" fillId="0" borderId="0" xfId="42570" applyNumberFormat="1" applyFont="1" applyFill="1" applyBorder="1"/>
    <xf numFmtId="0" fontId="205" fillId="0" borderId="0" xfId="42570" applyFont="1" applyFill="1" applyBorder="1" applyAlignment="1">
      <alignment horizontal="center"/>
    </xf>
    <xf numFmtId="0" fontId="6" fillId="0" borderId="67" xfId="0" quotePrefix="1" applyFont="1" applyFill="1" applyBorder="1" applyAlignment="1">
      <alignment horizontal="left"/>
    </xf>
    <xf numFmtId="0" fontId="6" fillId="0" borderId="68" xfId="0" quotePrefix="1" applyFont="1" applyFill="1" applyBorder="1" applyAlignment="1">
      <alignment horizontal="left"/>
    </xf>
    <xf numFmtId="0" fontId="6" fillId="0" borderId="69" xfId="0" quotePrefix="1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center" vertical="center" wrapText="1"/>
    </xf>
    <xf numFmtId="0" fontId="11" fillId="0" borderId="71" xfId="0" quotePrefix="1" applyFont="1" applyFill="1" applyBorder="1" applyAlignment="1">
      <alignment horizontal="center" vertical="center" wrapText="1"/>
    </xf>
    <xf numFmtId="0" fontId="201" fillId="115" borderId="13" xfId="48" applyFont="1" applyFill="1" applyBorder="1" applyAlignment="1">
      <alignment horizontal="left" wrapText="1"/>
    </xf>
    <xf numFmtId="0" fontId="199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199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1" fillId="115" borderId="17" xfId="48" applyFont="1" applyFill="1" applyBorder="1" applyAlignment="1">
      <alignment horizontal="left" wrapText="1"/>
    </xf>
    <xf numFmtId="0" fontId="201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4" fillId="0" borderId="0" xfId="42570" applyFont="1" applyFill="1" applyBorder="1" applyAlignment="1">
      <alignment horizontal="center"/>
    </xf>
    <xf numFmtId="0" fontId="205" fillId="0" borderId="0" xfId="42570" applyFont="1" applyFill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CCFF33"/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customXml" Target="../customXml/item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99/Electric/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9"/>
  <sheetViews>
    <sheetView tabSelected="1" workbookViewId="0">
      <selection activeCell="B24" sqref="B24"/>
    </sheetView>
  </sheetViews>
  <sheetFormatPr defaultRowHeight="12.75"/>
  <cols>
    <col min="1" max="1" width="5.140625" bestFit="1" customWidth="1"/>
    <col min="2" max="2" width="36.85546875" bestFit="1" customWidth="1"/>
    <col min="3" max="4" width="14.42578125" bestFit="1" customWidth="1"/>
    <col min="5" max="5" width="12.28515625" bestFit="1" customWidth="1"/>
    <col min="6" max="6" width="11.28515625" bestFit="1" customWidth="1"/>
  </cols>
  <sheetData>
    <row r="2" spans="1:6">
      <c r="A2" s="407" t="s">
        <v>136</v>
      </c>
      <c r="B2" s="407"/>
      <c r="C2" s="407"/>
      <c r="D2" s="407"/>
      <c r="E2" s="407"/>
    </row>
    <row r="3" spans="1:6">
      <c r="A3" s="407" t="s">
        <v>11</v>
      </c>
      <c r="B3" s="407"/>
      <c r="C3" s="407"/>
      <c r="D3" s="407"/>
      <c r="E3" s="407"/>
    </row>
    <row r="4" spans="1:6">
      <c r="A4" s="408" t="s">
        <v>165</v>
      </c>
      <c r="B4" s="408"/>
      <c r="C4" s="408"/>
      <c r="D4" s="408"/>
      <c r="E4" s="408"/>
    </row>
    <row r="5" spans="1:6">
      <c r="A5" s="407"/>
      <c r="B5" s="407"/>
      <c r="C5" s="407"/>
      <c r="D5" s="407"/>
      <c r="E5" s="407"/>
    </row>
    <row r="6" spans="1:6">
      <c r="A6" s="321"/>
      <c r="B6" s="318"/>
      <c r="C6" s="318"/>
      <c r="D6" s="318"/>
      <c r="E6" s="318"/>
    </row>
    <row r="7" spans="1:6">
      <c r="A7" s="409" t="s">
        <v>12</v>
      </c>
      <c r="B7" s="410"/>
      <c r="C7" s="410"/>
      <c r="D7" s="410"/>
      <c r="E7" s="318"/>
    </row>
    <row r="8" spans="1:6">
      <c r="A8" s="411" t="s">
        <v>13</v>
      </c>
      <c r="B8" s="412" t="s">
        <v>14</v>
      </c>
      <c r="C8" s="412"/>
      <c r="D8" s="412"/>
      <c r="E8" s="413"/>
    </row>
    <row r="9" spans="1:6">
      <c r="A9" s="321"/>
      <c r="B9" s="47"/>
      <c r="C9" s="414"/>
      <c r="D9" s="415"/>
      <c r="E9" s="47"/>
    </row>
    <row r="10" spans="1:6">
      <c r="A10" s="416">
        <v>1</v>
      </c>
      <c r="B10" s="417"/>
      <c r="C10" s="418" t="s">
        <v>15</v>
      </c>
      <c r="D10" s="419" t="s">
        <v>16</v>
      </c>
      <c r="E10" s="420" t="s">
        <v>137</v>
      </c>
      <c r="F10" s="420" t="s">
        <v>215</v>
      </c>
    </row>
    <row r="11" spans="1:6">
      <c r="A11" s="416">
        <f t="shared" ref="A11:A35" si="0">A10+1</f>
        <v>2</v>
      </c>
      <c r="B11" s="417"/>
      <c r="C11" s="421" t="s">
        <v>212</v>
      </c>
      <c r="D11" s="43" t="s">
        <v>212</v>
      </c>
      <c r="E11" s="422" t="s">
        <v>17</v>
      </c>
      <c r="F11" s="422" t="s">
        <v>17</v>
      </c>
    </row>
    <row r="12" spans="1:6">
      <c r="A12" s="416">
        <f t="shared" si="0"/>
        <v>3</v>
      </c>
      <c r="B12" s="423">
        <v>43101</v>
      </c>
      <c r="C12" s="424">
        <f>+'Summary Sheet_ Pre Migration'!C12</f>
        <v>2117768502.5340002</v>
      </c>
      <c r="D12" s="424">
        <f>+'Summary Sheet_ Pre Migration'!D12</f>
        <v>2211605012.7320209</v>
      </c>
      <c r="E12" s="424">
        <f>+'Summary Sheet_ Pre Migration'!E12</f>
        <v>93836510.198020697</v>
      </c>
    </row>
    <row r="13" spans="1:6">
      <c r="A13" s="416">
        <f t="shared" si="0"/>
        <v>4</v>
      </c>
      <c r="B13" s="423">
        <v>43132</v>
      </c>
      <c r="C13" s="424">
        <f>+'Summary Sheet_ Pre Migration'!C13</f>
        <v>1966820016.0199997</v>
      </c>
      <c r="D13" s="424">
        <f>+'Summary Sheet_ Pre Migration'!D13</f>
        <v>1910362641.9264953</v>
      </c>
      <c r="E13" s="424">
        <f>+'Summary Sheet_ Pre Migration'!E13</f>
        <v>-56457374.093504429</v>
      </c>
    </row>
    <row r="14" spans="1:6">
      <c r="A14" s="416">
        <f t="shared" si="0"/>
        <v>5</v>
      </c>
      <c r="B14" s="423">
        <v>43160</v>
      </c>
      <c r="C14" s="424">
        <f>+'Summary Sheet_ Pre Migration'!C14</f>
        <v>1943634196.267</v>
      </c>
      <c r="D14" s="424">
        <f>+'Summary Sheet_ Pre Migration'!D14</f>
        <v>1949460356.5087843</v>
      </c>
      <c r="E14" s="424">
        <f>+'Summary Sheet_ Pre Migration'!E14</f>
        <v>5826160.2417843342</v>
      </c>
    </row>
    <row r="15" spans="1:6">
      <c r="A15" s="416">
        <f t="shared" si="0"/>
        <v>6</v>
      </c>
      <c r="B15" s="423">
        <v>43191</v>
      </c>
      <c r="C15" s="424">
        <f>+'Summary Sheet_ Pre Migration'!C15</f>
        <v>1699164092.1280003</v>
      </c>
      <c r="D15" s="424">
        <f>+'Summary Sheet_ Pre Migration'!D15</f>
        <v>1718136018.0731821</v>
      </c>
      <c r="E15" s="424">
        <f>+'Summary Sheet_ Pre Migration'!E15</f>
        <v>18971925.945181847</v>
      </c>
    </row>
    <row r="16" spans="1:6">
      <c r="A16" s="416">
        <f t="shared" si="0"/>
        <v>7</v>
      </c>
      <c r="B16" s="423">
        <v>43221</v>
      </c>
      <c r="C16" s="424">
        <f>+'Summary Sheet_ Pre Migration'!C16</f>
        <v>1490892224.5599999</v>
      </c>
      <c r="D16" s="424">
        <f>+'Summary Sheet_ Pre Migration'!D16</f>
        <v>1542507070.3846564</v>
      </c>
      <c r="E16" s="424">
        <f>+'Summary Sheet_ Pre Migration'!E16</f>
        <v>51614845.824656487</v>
      </c>
    </row>
    <row r="17" spans="1:6">
      <c r="A17" s="416">
        <f t="shared" si="0"/>
        <v>8</v>
      </c>
      <c r="B17" s="423">
        <v>43252</v>
      </c>
      <c r="C17" s="424">
        <f>+'Summary Sheet_ Pre Migration'!C17</f>
        <v>1402796988.2709999</v>
      </c>
      <c r="D17" s="424">
        <f>+'Summary Sheet_ Pre Migration'!D17</f>
        <v>1393796264.7921755</v>
      </c>
      <c r="E17" s="424">
        <f>+'Summary Sheet_ Pre Migration'!E17</f>
        <v>-9000723.4788243771</v>
      </c>
    </row>
    <row r="18" spans="1:6">
      <c r="A18" s="416">
        <f t="shared" si="0"/>
        <v>9</v>
      </c>
      <c r="B18" s="423">
        <v>43282</v>
      </c>
      <c r="C18" s="424">
        <f>+'Summary Sheet_ Pre Migration'!C18</f>
        <v>1444305094.7399998</v>
      </c>
      <c r="D18" s="424">
        <f>+'Summary Sheet_ Pre Migration'!D18</f>
        <v>1366445615.4333427</v>
      </c>
      <c r="E18" s="424">
        <f>+'Summary Sheet_ Pre Migration'!E18</f>
        <v>-77859479.306657076</v>
      </c>
    </row>
    <row r="19" spans="1:6">
      <c r="A19" s="416">
        <f t="shared" si="0"/>
        <v>10</v>
      </c>
      <c r="B19" s="423">
        <v>43313</v>
      </c>
      <c r="C19" s="424">
        <f>+'Summary Sheet_ Pre Migration'!C19</f>
        <v>1582213550.2459996</v>
      </c>
      <c r="D19" s="424">
        <f>+'Summary Sheet_ Pre Migration'!D19</f>
        <v>1541279586.4041083</v>
      </c>
      <c r="E19" s="424">
        <f>+'Summary Sheet_ Pre Migration'!E19</f>
        <v>-40933963.841891289</v>
      </c>
    </row>
    <row r="20" spans="1:6">
      <c r="A20" s="416">
        <f t="shared" si="0"/>
        <v>11</v>
      </c>
      <c r="B20" s="423">
        <v>43344</v>
      </c>
      <c r="C20" s="424">
        <f>+'Summary Sheet_ Pre Migration'!C20</f>
        <v>1463713525.3280001</v>
      </c>
      <c r="D20" s="424">
        <f>+'Summary Sheet_ Pre Migration'!D20</f>
        <v>1469977742.6955874</v>
      </c>
      <c r="E20" s="424">
        <f>+'Summary Sheet_ Pre Migration'!E20</f>
        <v>6264217.367587328</v>
      </c>
    </row>
    <row r="21" spans="1:6">
      <c r="A21" s="416">
        <f t="shared" si="0"/>
        <v>12</v>
      </c>
      <c r="B21" s="423">
        <v>43374</v>
      </c>
      <c r="C21" s="424">
        <f>+'Summary Sheet_ Pre Migration'!C21</f>
        <v>1419110790.6479998</v>
      </c>
      <c r="D21" s="424">
        <f>+'Summary Sheet_ Pre Migration'!D21</f>
        <v>1431038051.7473032</v>
      </c>
      <c r="E21" s="424">
        <f>+'Summary Sheet_ Pre Migration'!E21</f>
        <v>11927261.099303484</v>
      </c>
    </row>
    <row r="22" spans="1:6">
      <c r="A22" s="416">
        <f t="shared" si="0"/>
        <v>13</v>
      </c>
      <c r="B22" s="423">
        <v>43405</v>
      </c>
      <c r="C22" s="424">
        <f>+'Summary Sheet_ Pre Migration'!C22</f>
        <v>1590358483.6039999</v>
      </c>
      <c r="D22" s="424">
        <f>+'Summary Sheet_ Pre Migration'!D22</f>
        <v>1659759618.1684327</v>
      </c>
      <c r="E22" s="424">
        <f>+'Summary Sheet_ Pre Migration'!E22</f>
        <v>69401134.564432859</v>
      </c>
    </row>
    <row r="23" spans="1:6">
      <c r="A23" s="416">
        <f t="shared" si="0"/>
        <v>14</v>
      </c>
      <c r="B23" s="423">
        <v>43435</v>
      </c>
      <c r="C23" s="424">
        <f>+'Summary Sheet_ Pre Migration'!C23</f>
        <v>1912905137.8720002</v>
      </c>
      <c r="D23" s="424">
        <f>+'Summary Sheet_ Pre Migration'!D23</f>
        <v>2006770858.5626192</v>
      </c>
      <c r="E23" s="424">
        <f>+'Summary Sheet_ Pre Migration'!E23</f>
        <v>93865720.690618992</v>
      </c>
    </row>
    <row r="24" spans="1:6">
      <c r="A24" s="416">
        <f t="shared" si="0"/>
        <v>15</v>
      </c>
      <c r="B24" s="318"/>
      <c r="C24" s="426">
        <f>SUM(C12:C23)</f>
        <v>20033682602.218002</v>
      </c>
      <c r="D24" s="189">
        <f>SUM(D12:D23)</f>
        <v>20201138837.428707</v>
      </c>
      <c r="E24" s="189">
        <f>SUM(E12:E23)</f>
        <v>167456235.21070886</v>
      </c>
    </row>
    <row r="25" spans="1:6">
      <c r="A25" s="416">
        <f t="shared" si="0"/>
        <v>16</v>
      </c>
      <c r="B25" s="47"/>
      <c r="C25" s="46"/>
      <c r="D25" s="46"/>
      <c r="E25" s="47"/>
    </row>
    <row r="26" spans="1:6">
      <c r="A26" s="416">
        <f t="shared" si="0"/>
        <v>17</v>
      </c>
      <c r="B26" s="318" t="s">
        <v>147</v>
      </c>
      <c r="C26" s="318" t="s">
        <v>0</v>
      </c>
      <c r="D26" s="427"/>
      <c r="E26" s="425">
        <f>+'Sales &amp; Revenue Adj.'!B22</f>
        <v>163135972.98435408</v>
      </c>
      <c r="F26" s="470">
        <f>+'Sales &amp; Revenue Adj.'!B8</f>
        <v>6412221</v>
      </c>
    </row>
    <row r="27" spans="1:6">
      <c r="A27" s="416">
        <f t="shared" si="0"/>
        <v>18</v>
      </c>
      <c r="B27" s="321" t="s">
        <v>148</v>
      </c>
      <c r="C27" s="318" t="s">
        <v>1</v>
      </c>
      <c r="D27" s="318"/>
      <c r="E27" s="425">
        <f>+'Sales &amp; Revenue Adj.'!B23</f>
        <v>9996659.2913328111</v>
      </c>
      <c r="F27" s="470">
        <f>+'Sales &amp; Revenue Adj.'!B9</f>
        <v>360861</v>
      </c>
    </row>
    <row r="28" spans="1:6">
      <c r="A28" s="416">
        <f t="shared" si="0"/>
        <v>19</v>
      </c>
      <c r="B28" s="318"/>
      <c r="C28" s="428" t="s">
        <v>2</v>
      </c>
      <c r="D28" s="52"/>
      <c r="E28" s="425">
        <f>+'Sales &amp; Revenue Adj.'!B24</f>
        <v>-735125.63373911753</v>
      </c>
      <c r="F28" s="470">
        <f>+'Sales &amp; Revenue Adj.'!B10</f>
        <v>-26171</v>
      </c>
    </row>
    <row r="29" spans="1:6">
      <c r="A29" s="416">
        <f t="shared" si="0"/>
        <v>20</v>
      </c>
      <c r="B29" s="429"/>
      <c r="C29" s="318" t="s">
        <v>3</v>
      </c>
      <c r="D29" s="428"/>
      <c r="E29" s="425">
        <f>+'Sales &amp; Revenue Adj.'!B25</f>
        <v>-6542110.0974097066</v>
      </c>
      <c r="F29" s="470">
        <f>+'Sales &amp; Revenue Adj.'!B11</f>
        <v>-227201</v>
      </c>
    </row>
    <row r="30" spans="1:6">
      <c r="A30" s="416">
        <f t="shared" si="0"/>
        <v>21</v>
      </c>
      <c r="B30" s="318"/>
      <c r="C30" s="428" t="s">
        <v>4</v>
      </c>
      <c r="D30" s="318"/>
      <c r="E30" s="425">
        <f>+'Sales &amp; Revenue Adj.'!B26</f>
        <v>0</v>
      </c>
      <c r="F30" s="470">
        <f>+'Sales &amp; Revenue Adj.'!B12</f>
        <v>0</v>
      </c>
    </row>
    <row r="31" spans="1:6">
      <c r="A31" s="416">
        <f t="shared" si="0"/>
        <v>22</v>
      </c>
      <c r="B31" s="318"/>
      <c r="C31" s="428" t="s">
        <v>5</v>
      </c>
      <c r="D31" s="318"/>
      <c r="E31" s="425">
        <f>+'Sales &amp; Revenue Adj.'!B27</f>
        <v>-734770.83322440018</v>
      </c>
      <c r="F31" s="470">
        <f>+'Sales &amp; Revenue Adj.'!B13</f>
        <v>-24832</v>
      </c>
    </row>
    <row r="32" spans="1:6">
      <c r="A32" s="416">
        <f t="shared" si="0"/>
        <v>23</v>
      </c>
      <c r="B32" s="318"/>
      <c r="C32" s="318" t="s">
        <v>7</v>
      </c>
      <c r="D32" s="318"/>
      <c r="E32" s="425">
        <f>+'Sales &amp; Revenue Adj.'!B29</f>
        <v>3404679.8765506782</v>
      </c>
      <c r="F32" s="470">
        <f>+'Sales &amp; Revenue Adj.'!B15</f>
        <v>91828</v>
      </c>
    </row>
    <row r="33" spans="1:6">
      <c r="A33" s="416">
        <f t="shared" si="0"/>
        <v>24</v>
      </c>
      <c r="B33" s="318"/>
      <c r="C33" s="430" t="s">
        <v>22</v>
      </c>
      <c r="D33" s="318"/>
      <c r="E33" s="425">
        <f>+'Sales &amp; Revenue Adj.'!B28</f>
        <v>-1182495.8614938441</v>
      </c>
      <c r="F33" s="470">
        <f>+'Sales &amp; Revenue Adj.'!B14</f>
        <v>-38871</v>
      </c>
    </row>
    <row r="34" spans="1:6">
      <c r="A34" s="416">
        <f t="shared" si="0"/>
        <v>25</v>
      </c>
      <c r="B34" s="318"/>
      <c r="C34" s="413" t="s">
        <v>8</v>
      </c>
      <c r="D34" s="413"/>
      <c r="E34" s="431">
        <f>+'Sales &amp; Revenue Adj.'!B30</f>
        <v>113425.48433827792</v>
      </c>
      <c r="F34" s="471">
        <f>+'Sales &amp; Revenue Adj.'!B16</f>
        <v>3986</v>
      </c>
    </row>
    <row r="35" spans="1:6">
      <c r="A35" s="416">
        <f t="shared" si="0"/>
        <v>26</v>
      </c>
      <c r="B35" s="318"/>
      <c r="C35" s="318" t="s">
        <v>19</v>
      </c>
      <c r="D35" s="318"/>
      <c r="E35" s="425">
        <f>SUM(E26:E34)</f>
        <v>167456235.2107088</v>
      </c>
      <c r="F35" s="472">
        <f>SUM(F26:F34)</f>
        <v>6551821</v>
      </c>
    </row>
    <row r="36" spans="1:6">
      <c r="A36" s="416"/>
      <c r="B36" s="318"/>
      <c r="C36" s="318"/>
      <c r="D36" s="318"/>
      <c r="E36" s="318"/>
    </row>
    <row r="37" spans="1:6">
      <c r="A37" s="432"/>
      <c r="B37" s="433"/>
      <c r="C37" s="433"/>
      <c r="D37" s="433"/>
      <c r="E37" s="434"/>
    </row>
    <row r="38" spans="1:6">
      <c r="A38" s="435"/>
      <c r="B38" s="433"/>
      <c r="C38" s="433"/>
      <c r="D38" s="433"/>
      <c r="E38" s="434"/>
    </row>
    <row r="39" spans="1:6">
      <c r="A39" s="435"/>
      <c r="B39" s="433"/>
      <c r="C39" s="433"/>
      <c r="D39" s="433"/>
      <c r="E39" s="43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15"/>
  <sheetViews>
    <sheetView topLeftCell="A16" workbookViewId="0">
      <selection activeCell="E24" sqref="E24"/>
    </sheetView>
  </sheetViews>
  <sheetFormatPr defaultRowHeight="12.75"/>
  <cols>
    <col min="1" max="1" width="28" customWidth="1"/>
    <col min="2" max="14" width="16" customWidth="1"/>
    <col min="15" max="15" width="12.28515625" style="97" customWidth="1"/>
    <col min="16" max="16" width="12.28515625" customWidth="1"/>
    <col min="17" max="20" width="12.7109375" customWidth="1"/>
  </cols>
  <sheetData>
    <row r="1" spans="1:28">
      <c r="A1" s="61" t="s">
        <v>45</v>
      </c>
    </row>
    <row r="2" spans="1:28">
      <c r="A2" s="61" t="s">
        <v>167</v>
      </c>
    </row>
    <row r="3" spans="1:28">
      <c r="A3" s="104"/>
    </row>
    <row r="4" spans="1:28">
      <c r="A4" s="61" t="s">
        <v>41</v>
      </c>
    </row>
    <row r="5" spans="1:28">
      <c r="A5" s="61" t="s">
        <v>40</v>
      </c>
    </row>
    <row r="6" spans="1:28">
      <c r="A6" s="81" t="s">
        <v>23</v>
      </c>
      <c r="O6" s="98" t="s">
        <v>43</v>
      </c>
    </row>
    <row r="7" spans="1:28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  <c r="O7" s="98" t="s">
        <v>44</v>
      </c>
    </row>
    <row r="8" spans="1:28">
      <c r="A8" s="91" t="s">
        <v>141</v>
      </c>
      <c r="B8" s="116">
        <f>($B38*I$41+$C38*I$45+$D38*I$49)*B65</f>
        <v>74793782.059039772</v>
      </c>
      <c r="C8" s="116">
        <f t="shared" ref="C8:D8" si="0">($B38*J$41+$C38*J$45+$D38*J$49)*C65</f>
        <v>-44869101.567900084</v>
      </c>
      <c r="D8" s="116">
        <f t="shared" si="0"/>
        <v>4394677.0337621355</v>
      </c>
      <c r="E8" s="116">
        <f>($B38*L$41+$C38*L$45+$D38*L$49)*E65</f>
        <v>16344914.743105689</v>
      </c>
      <c r="F8" s="4">
        <f>($B38*M$41+$C38*M$45+$D38*M$49+E$38*M$53+F$38*M$57)*F65</f>
        <v>49052692.87684124</v>
      </c>
      <c r="G8" s="322">
        <f>($E38*N$53+$F38*N$57)*G65</f>
        <v>-5826662.2558389846</v>
      </c>
      <c r="H8" s="4">
        <f>($E38*O$53+$F38*O$57)*H65</f>
        <v>-50428483.718085885</v>
      </c>
      <c r="I8" s="4">
        <f>($E38*P$53+$F38*P$57)*I65</f>
        <v>-26511573.558548819</v>
      </c>
      <c r="J8" s="322">
        <f>($E38*Q$53+$F38*Q$57)*J65</f>
        <v>4058904.9878357491</v>
      </c>
      <c r="K8" s="4">
        <f>($B38*R$41+$C38*R$45+$D38*R$49)*K65</f>
        <v>10084461.026951266</v>
      </c>
      <c r="L8" s="116">
        <f t="shared" ref="L8:M8" si="1">($B38*S$41+$C38*S$45+$D38*S$49)*L65</f>
        <v>57210928.578655943</v>
      </c>
      <c r="M8" s="116">
        <f t="shared" si="1"/>
        <v>74831432.778536066</v>
      </c>
      <c r="N8" s="216">
        <f t="shared" ref="N8:N9" si="2">SUM(B8:M8)</f>
        <v>163135972.98435408</v>
      </c>
    </row>
    <row r="9" spans="1:28">
      <c r="A9" s="84" t="s">
        <v>28</v>
      </c>
      <c r="B9" s="110">
        <f t="shared" ref="B9:G9" si="3">SUM(B8:B8)</f>
        <v>74793782.059039772</v>
      </c>
      <c r="C9" s="110">
        <f t="shared" si="3"/>
        <v>-44869101.567900084</v>
      </c>
      <c r="D9" s="110">
        <f t="shared" si="3"/>
        <v>4394677.0337621355</v>
      </c>
      <c r="E9" s="110">
        <f t="shared" si="3"/>
        <v>16344914.743105689</v>
      </c>
      <c r="F9" s="110">
        <f t="shared" ref="F9" si="4">SUM(F8:F8)</f>
        <v>49052692.87684124</v>
      </c>
      <c r="G9" s="110">
        <f t="shared" si="3"/>
        <v>-5826662.2558389846</v>
      </c>
      <c r="H9" s="110">
        <f t="shared" ref="H9:L9" si="5">SUM(H8:H8)</f>
        <v>-50428483.718085885</v>
      </c>
      <c r="I9" s="110">
        <f t="shared" si="5"/>
        <v>-26511573.558548819</v>
      </c>
      <c r="J9" s="110">
        <f t="shared" si="5"/>
        <v>4058904.9878357491</v>
      </c>
      <c r="K9" s="110">
        <f t="shared" si="5"/>
        <v>10084461.026951266</v>
      </c>
      <c r="L9" s="110">
        <f t="shared" si="5"/>
        <v>57210928.578655943</v>
      </c>
      <c r="M9" s="110">
        <f t="shared" ref="M9" si="6">SUM(M8:M8)</f>
        <v>74831432.778536066</v>
      </c>
      <c r="N9" s="217">
        <f t="shared" si="2"/>
        <v>163135972.98435408</v>
      </c>
      <c r="O9" s="119">
        <f>N9/N32</f>
        <v>0.97420064877895662</v>
      </c>
    </row>
    <row r="10" spans="1:28">
      <c r="A10" s="85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218"/>
      <c r="O10" s="95"/>
    </row>
    <row r="11" spans="1:28">
      <c r="A11" s="91" t="s">
        <v>34</v>
      </c>
      <c r="B11" s="116">
        <f>($B39*I$41+$C39*I$45+$D39*I$49)*B66</f>
        <v>1188359.1219696389</v>
      </c>
      <c r="C11" s="327">
        <f t="shared" ref="C11:E11" si="7">($B39*J$41+$C39*J$45+$D39*J$49)*C66</f>
        <v>-715119.34814999613</v>
      </c>
      <c r="D11" s="327">
        <f t="shared" si="7"/>
        <v>80467.044781668403</v>
      </c>
      <c r="E11" s="327">
        <f t="shared" si="7"/>
        <v>224250.7633208856</v>
      </c>
      <c r="F11" s="86">
        <f>($B39*M$41+$C39*M$45+$D39*M$49+E$39*M$53+F$39*M$57)*F66</f>
        <v>655354.97494244564</v>
      </c>
      <c r="G11" s="86">
        <f t="shared" ref="G11:J12" si="8">($E39*N$53+$F39*N$57)*G66</f>
        <v>-50046.506999522273</v>
      </c>
      <c r="H11" s="86">
        <f t="shared" si="8"/>
        <v>-433449.61560780962</v>
      </c>
      <c r="I11" s="86">
        <f t="shared" si="8"/>
        <v>-227856.82079217702</v>
      </c>
      <c r="J11" s="86">
        <f t="shared" si="8"/>
        <v>34818.647819511389</v>
      </c>
      <c r="K11" s="86">
        <f t="shared" ref="K11:K12" si="9">($B39*R$41+$C39*R$45+$D39*R$49)*K66</f>
        <v>135947.96782000127</v>
      </c>
      <c r="L11" s="327">
        <f t="shared" ref="L11:M11" si="10">($B39*S$41+$C39*S$45+$D39*S$49)*L66</f>
        <v>841587.3114651012</v>
      </c>
      <c r="M11" s="327">
        <f t="shared" si="10"/>
        <v>1177236.5029937795</v>
      </c>
      <c r="N11" s="216">
        <f>SUM(B11:M11)</f>
        <v>2911550.0435635271</v>
      </c>
      <c r="O11" s="115"/>
    </row>
    <row r="12" spans="1:28" s="82" customFormat="1">
      <c r="A12" s="91" t="s">
        <v>138</v>
      </c>
      <c r="B12" s="116">
        <f>($B40*I$41+$C40*I$45+$D40*I$49)*B67</f>
        <v>8459647.4159800634</v>
      </c>
      <c r="C12" s="116">
        <f t="shared" ref="C12" si="11">($B40*J$41+$C40*J$45+$D40*J$49)*C67</f>
        <v>-5139178.4104977604</v>
      </c>
      <c r="D12" s="116">
        <f t="shared" ref="D12" si="12">($B40*K$41+$C40*K$45+$D40*K$49)*D67</f>
        <v>683581.60423525644</v>
      </c>
      <c r="E12" s="116">
        <f t="shared" ref="E12" si="13">($B40*L$41+$C40*L$45+$D40*L$49)*E67</f>
        <v>1241600.1903617291</v>
      </c>
      <c r="F12" s="86">
        <f>($B40*M$41+$C40*M$45+$D40*M$49+E$40*M$53+F$40*M$57)*F67</f>
        <v>1939433.9176735063</v>
      </c>
      <c r="G12" s="116">
        <f t="shared" si="8"/>
        <v>-1079386.7629036442</v>
      </c>
      <c r="H12" s="116">
        <f t="shared" si="8"/>
        <v>-9345788.8619532175</v>
      </c>
      <c r="I12" s="116">
        <f t="shared" si="8"/>
        <v>-4914345.6186263869</v>
      </c>
      <c r="J12" s="116">
        <f t="shared" si="8"/>
        <v>752187.88551239483</v>
      </c>
      <c r="K12" s="116">
        <f t="shared" si="9"/>
        <v>731683.72620733897</v>
      </c>
      <c r="L12" s="116">
        <f t="shared" ref="L12" si="14">($B40*S$41+$C40*S$45+$D40*S$49)*L67</f>
        <v>5379582.0035226522</v>
      </c>
      <c r="M12" s="116">
        <f t="shared" ref="M12" si="15">($B40*T$41+$C40*T$45+$D40*T$49)*M67</f>
        <v>8376092.1582573503</v>
      </c>
      <c r="N12" s="216">
        <f>SUM(B12:M12)</f>
        <v>7085109.2477692841</v>
      </c>
      <c r="O12" s="115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10">
        <f t="shared" ref="B13:G13" si="16">SUM(B11:B12)</f>
        <v>9648006.5379497018</v>
      </c>
      <c r="C13" s="110">
        <f t="shared" si="16"/>
        <v>-5854297.7586477567</v>
      </c>
      <c r="D13" s="110">
        <f t="shared" si="16"/>
        <v>764048.6490169249</v>
      </c>
      <c r="E13" s="110">
        <f t="shared" si="16"/>
        <v>1465850.9536826147</v>
      </c>
      <c r="F13" s="110">
        <f t="shared" ref="F13" si="17">SUM(F11:F12)</f>
        <v>2594788.8926159521</v>
      </c>
      <c r="G13" s="110">
        <f t="shared" si="16"/>
        <v>-1129433.2699031665</v>
      </c>
      <c r="H13" s="110">
        <f t="shared" ref="H13:L13" si="18">SUM(H11:H12)</f>
        <v>-9779238.4775610268</v>
      </c>
      <c r="I13" s="110">
        <f t="shared" si="18"/>
        <v>-5142202.4394185636</v>
      </c>
      <c r="J13" s="110">
        <f t="shared" si="18"/>
        <v>787006.53333190619</v>
      </c>
      <c r="K13" s="110">
        <f t="shared" si="18"/>
        <v>867631.69402734027</v>
      </c>
      <c r="L13" s="110">
        <f t="shared" si="18"/>
        <v>6221169.3149877535</v>
      </c>
      <c r="M13" s="110">
        <f t="shared" ref="M13" si="19">SUM(M11:M12)</f>
        <v>9553328.6612511296</v>
      </c>
      <c r="N13" s="217">
        <f>SUM(B13:M13)</f>
        <v>9996659.2913328111</v>
      </c>
      <c r="O13" s="119">
        <f>N13/N32</f>
        <v>5.9697145816959861E-2</v>
      </c>
    </row>
    <row r="14" spans="1:28">
      <c r="A14" s="85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16"/>
      <c r="O14" s="115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116">
        <f>($B41*I$41+$C41*I$45+$D41*I$49)*B68</f>
        <v>554770.92922148865</v>
      </c>
      <c r="C15" s="116">
        <f t="shared" ref="C15:E15" si="20">($B41*J$41+$C41*J$45+$D41*J$49)*C68</f>
        <v>-336698.07186827582</v>
      </c>
      <c r="D15" s="116">
        <f t="shared" si="20"/>
        <v>42140.82523346581</v>
      </c>
      <c r="E15" s="116">
        <f t="shared" si="20"/>
        <v>88600.247313815489</v>
      </c>
      <c r="F15" s="116">
        <f>($B41*M$41+$C41*M$45+$D41*M$49+E41*M53+F41*M57)*F68</f>
        <v>189413.71774468102</v>
      </c>
      <c r="G15" s="116">
        <f t="shared" ref="G15:J16" si="21">($E41*N$53+$F41*N$57)*G68</f>
        <v>-49463.651770555611</v>
      </c>
      <c r="H15" s="116">
        <f t="shared" si="21"/>
        <v>-429320.36908599851</v>
      </c>
      <c r="I15" s="116">
        <f t="shared" si="21"/>
        <v>-225468.79686799928</v>
      </c>
      <c r="J15" s="116">
        <f t="shared" si="21"/>
        <v>34234.232156444712</v>
      </c>
      <c r="K15" s="116">
        <f t="shared" ref="K15:K16" si="22">($B41*R$41+$C41*R$45+$D41*R$49)*K68</f>
        <v>52129.312370486543</v>
      </c>
      <c r="L15" s="116">
        <f t="shared" ref="L15:M15" si="23">($B41*S$41+$C41*S$45+$D41*S$49)*L68</f>
        <v>358995.10558723228</v>
      </c>
      <c r="M15" s="116">
        <f t="shared" si="23"/>
        <v>537952.59987089189</v>
      </c>
      <c r="N15" s="216">
        <f>SUM(B15:M15)</f>
        <v>817286.07990567735</v>
      </c>
      <c r="O15" s="115"/>
    </row>
    <row r="16" spans="1:28" s="82" customFormat="1">
      <c r="A16" s="91" t="s">
        <v>139</v>
      </c>
      <c r="B16" s="116">
        <f>($B42*I$41+$C42*I$45+$D42*I$49)*B69</f>
        <v>5645877.3378442619</v>
      </c>
      <c r="C16" s="116">
        <f t="shared" ref="C16:E16" si="24">($B42*J$41+$C42*J$45+$D42*J$49)*C69</f>
        <v>-3503390.2481691209</v>
      </c>
      <c r="D16" s="116">
        <f t="shared" si="24"/>
        <v>568913.94951842469</v>
      </c>
      <c r="E16" s="116">
        <f t="shared" si="24"/>
        <v>535053.15833520528</v>
      </c>
      <c r="F16" s="116">
        <f>($B42*M$41+$C42*M$45+$D42*M$49+E42*M53+F42*M57)*F69</f>
        <v>-646999.07114145346</v>
      </c>
      <c r="G16" s="116">
        <f t="shared" si="21"/>
        <v>-996082.84852431342</v>
      </c>
      <c r="H16" s="116">
        <f t="shared" si="21"/>
        <v>-8580530.2334200945</v>
      </c>
      <c r="I16" s="116">
        <f t="shared" si="21"/>
        <v>-4506911.6433121096</v>
      </c>
      <c r="J16" s="116">
        <f t="shared" si="21"/>
        <v>689288.01992400538</v>
      </c>
      <c r="K16" s="116">
        <f t="shared" si="22"/>
        <v>284265.61610244529</v>
      </c>
      <c r="L16" s="116">
        <f t="shared" ref="L16:M16" si="25">($B42*S$41+$C42*S$45+$D42*S$49)*L69</f>
        <v>3155255.2899071267</v>
      </c>
      <c r="M16" s="116">
        <f t="shared" si="25"/>
        <v>5802848.9592908286</v>
      </c>
      <c r="N16" s="216">
        <f>SUM(B16:M16)</f>
        <v>-1552411.7136447942</v>
      </c>
      <c r="O16" s="115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10">
        <f t="shared" ref="B17:G17" si="26">SUM(B15:B16)</f>
        <v>6200648.2670657504</v>
      </c>
      <c r="C17" s="110">
        <f t="shared" si="26"/>
        <v>-3840088.3200373966</v>
      </c>
      <c r="D17" s="110">
        <f t="shared" si="26"/>
        <v>611054.77475189045</v>
      </c>
      <c r="E17" s="110">
        <f t="shared" si="26"/>
        <v>623653.4056490208</v>
      </c>
      <c r="F17" s="110">
        <f t="shared" ref="F17" si="27">SUM(F15:F16)</f>
        <v>-457585.35339677241</v>
      </c>
      <c r="G17" s="110">
        <f t="shared" si="26"/>
        <v>-1045546.5002948691</v>
      </c>
      <c r="H17" s="110">
        <f t="shared" ref="H17:L17" si="28">SUM(H15:H16)</f>
        <v>-9009850.6025060937</v>
      </c>
      <c r="I17" s="110">
        <f t="shared" si="28"/>
        <v>-4732380.4401801089</v>
      </c>
      <c r="J17" s="110">
        <f t="shared" si="28"/>
        <v>723522.25208045007</v>
      </c>
      <c r="K17" s="110">
        <f t="shared" si="28"/>
        <v>336394.92847293185</v>
      </c>
      <c r="L17" s="110">
        <f t="shared" si="28"/>
        <v>3514250.3954943591</v>
      </c>
      <c r="M17" s="110">
        <f t="shared" ref="M17" si="29">SUM(M15:M16)</f>
        <v>6340801.5591617208</v>
      </c>
      <c r="N17" s="217">
        <f>SUM(B17:M17)</f>
        <v>-735125.63373911753</v>
      </c>
      <c r="O17" s="119">
        <f>N17/N32</f>
        <v>-4.389956771774518E-3</v>
      </c>
    </row>
    <row r="18" spans="1:28">
      <c r="A18" s="85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16"/>
      <c r="O18" s="115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328">
        <f>($B43*I$41+$C43*I$45+$D43*I$49)*B70</f>
        <v>109080.74449783332</v>
      </c>
      <c r="C19" s="328">
        <f t="shared" ref="C19:E19" si="30">($B43*J$41+$C43*J$45+$D43*J$49)*C70</f>
        <v>-65714.965506666311</v>
      </c>
      <c r="D19" s="328">
        <f t="shared" si="30"/>
        <v>7492.443029500153</v>
      </c>
      <c r="E19" s="328">
        <f t="shared" si="30"/>
        <v>20196.219131110818</v>
      </c>
      <c r="F19" s="328">
        <f>($B43*M$41+$C43*M$45+$D43*M$49+E43*M53+F43*M57)*F70</f>
        <v>54334.711006694553</v>
      </c>
      <c r="G19" s="116">
        <f t="shared" ref="G19:J20" si="31">($E43*N$53+$F43*N$57)*G70</f>
        <v>-7581.7913161250081</v>
      </c>
      <c r="H19" s="116">
        <f t="shared" si="31"/>
        <v>-65591.197134124784</v>
      </c>
      <c r="I19" s="116">
        <f t="shared" si="31"/>
        <v>-37096.692846499878</v>
      </c>
      <c r="J19" s="116">
        <f t="shared" si="31"/>
        <v>5669.662159000045</v>
      </c>
      <c r="K19" s="116">
        <f t="shared" ref="K19:K20" si="32">($B43*R$41+$C43*R$45+$D43*R$49)*K70</f>
        <v>13110.566143889007</v>
      </c>
      <c r="L19" s="328">
        <f t="shared" ref="L19:M19" si="33">($B43*S$41+$C43*S$45+$D43*S$49)*L70</f>
        <v>82035.66284647194</v>
      </c>
      <c r="M19" s="328">
        <f t="shared" si="33"/>
        <v>115697.64954533348</v>
      </c>
      <c r="N19" s="216">
        <f>SUM(B19:M19)</f>
        <v>231633.01155641733</v>
      </c>
      <c r="O19" s="115"/>
    </row>
    <row r="20" spans="1:28" s="82" customFormat="1">
      <c r="A20" s="91" t="s">
        <v>140</v>
      </c>
      <c r="B20" s="328">
        <f>($B44*I$41+$C44*I$45+$D44*I$49)*B71</f>
        <v>570132.6215922517</v>
      </c>
      <c r="C20" s="116">
        <f t="shared" ref="C20:E20" si="34">($B44*J$41+$C44*J$45+$D44*J$49)*C71</f>
        <v>-332945.5934311208</v>
      </c>
      <c r="D20" s="116">
        <f t="shared" si="34"/>
        <v>-28024.483714598609</v>
      </c>
      <c r="E20" s="116">
        <f t="shared" si="34"/>
        <v>100452.05770574996</v>
      </c>
      <c r="F20" s="116">
        <f>($B44*M$41+$C44*M$45+$D44*M$49+E44*M53+F44*M57)*F71</f>
        <v>-391717.83650772448</v>
      </c>
      <c r="G20" s="116">
        <f t="shared" si="31"/>
        <v>-592471.03902644501</v>
      </c>
      <c r="H20" s="116">
        <f t="shared" si="31"/>
        <v>-5113465.9436742319</v>
      </c>
      <c r="I20" s="116">
        <f t="shared" si="31"/>
        <v>-2694993.0427855742</v>
      </c>
      <c r="J20" s="116">
        <f t="shared" si="31"/>
        <v>411888.4704001699</v>
      </c>
      <c r="K20" s="116">
        <f t="shared" si="32"/>
        <v>190087.42934169984</v>
      </c>
      <c r="L20" s="116">
        <f t="shared" ref="L20:M20" si="35">($B44*S$41+$C44*S$45+$D44*S$49)*L71</f>
        <v>524345.41580709442</v>
      </c>
      <c r="M20" s="116">
        <f t="shared" si="35"/>
        <v>582968.83532660431</v>
      </c>
      <c r="N20" s="216">
        <f>SUM(B20:M20)</f>
        <v>-6773743.1089661252</v>
      </c>
      <c r="O20" s="115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10">
        <f t="shared" ref="B21:G21" si="36">SUM(B19:B20)</f>
        <v>679213.36609008501</v>
      </c>
      <c r="C21" s="110">
        <f t="shared" si="36"/>
        <v>-398660.55893778708</v>
      </c>
      <c r="D21" s="110">
        <f t="shared" si="36"/>
        <v>-20532.040685098458</v>
      </c>
      <c r="E21" s="110">
        <f t="shared" si="36"/>
        <v>120648.27683686078</v>
      </c>
      <c r="F21" s="110">
        <f t="shared" ref="F21" si="37">SUM(F19:F20)</f>
        <v>-337383.12550102995</v>
      </c>
      <c r="G21" s="110">
        <f t="shared" si="36"/>
        <v>-600052.83034256997</v>
      </c>
      <c r="H21" s="110">
        <f t="shared" ref="H21:L21" si="38">SUM(H19:H20)</f>
        <v>-5179057.1408083569</v>
      </c>
      <c r="I21" s="110">
        <f t="shared" si="38"/>
        <v>-2732089.7356320741</v>
      </c>
      <c r="J21" s="110">
        <f t="shared" si="38"/>
        <v>417558.13255916996</v>
      </c>
      <c r="K21" s="110">
        <f t="shared" si="38"/>
        <v>203197.99548558885</v>
      </c>
      <c r="L21" s="110">
        <f t="shared" si="38"/>
        <v>606381.07865356631</v>
      </c>
      <c r="M21" s="110">
        <f t="shared" ref="M21" si="39">SUM(M19:M20)</f>
        <v>698666.48487193778</v>
      </c>
      <c r="N21" s="217">
        <f>SUM(B21:M21)</f>
        <v>-6542110.0974097066</v>
      </c>
      <c r="O21" s="119">
        <f>N21/N32</f>
        <v>-3.9067581384340952E-2</v>
      </c>
    </row>
    <row r="22" spans="1:28">
      <c r="A22" s="8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16"/>
      <c r="O22" s="115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116">
        <f>($B45*I$41+$C45*I$45+$D45*I$49)*B72</f>
        <v>145170.8904656111</v>
      </c>
      <c r="C23" s="116">
        <f>($B45*J$41+$C45*J$45+$D45*J$49)*C72</f>
        <v>-87408.142161527299</v>
      </c>
      <c r="D23" s="116">
        <f t="shared" ref="D23:E23" si="40">($B45*K$41+$C45*K$45+$D45*K$49)*D72</f>
        <v>9818.756082236323</v>
      </c>
      <c r="E23" s="116">
        <f t="shared" si="40"/>
        <v>27377.917784388486</v>
      </c>
      <c r="F23" s="116">
        <f>($B45*M$41+$C45*M$45+$D45*M$49+E45*M53+F45*M57)*F72</f>
        <v>70571.446410472374</v>
      </c>
      <c r="G23" s="116">
        <f t="shared" ref="G23:J24" si="41">($E45*N$53+$F45*N$57)*G72</f>
        <v>-13402.210314277792</v>
      </c>
      <c r="H23" s="116">
        <f t="shared" si="41"/>
        <v>-115944.50204494403</v>
      </c>
      <c r="I23" s="116">
        <f t="shared" si="41"/>
        <v>-60891.28134122202</v>
      </c>
      <c r="J23" s="116">
        <f t="shared" si="41"/>
        <v>9306.3011051111844</v>
      </c>
      <c r="K23" s="116">
        <f t="shared" ref="K23:K24" si="42">($B45*R$41+$C45*R$45+$D45*R$49)*K72</f>
        <v>16536.301193750151</v>
      </c>
      <c r="L23" s="116">
        <f t="shared" ref="L23:M23" si="43">($B45*S$41+$C45*S$45+$D45*S$49)*L72</f>
        <v>102260.14291611768</v>
      </c>
      <c r="M23" s="116">
        <f t="shared" si="43"/>
        <v>143026.08663813907</v>
      </c>
      <c r="N23" s="216">
        <f>SUM(B23:M23)</f>
        <v>246421.70673385522</v>
      </c>
      <c r="O23" s="115"/>
    </row>
    <row r="24" spans="1:28" s="82" customFormat="1">
      <c r="A24" s="91" t="s">
        <v>5</v>
      </c>
      <c r="B24" s="116">
        <f>($B46*I$41+$C46*I$45+$D46*I$49)*B73</f>
        <v>542520.52004266833</v>
      </c>
      <c r="C24" s="116">
        <f>($B46*J$41+$C46*J$45+$D46*J$49)*C73</f>
        <v>-317479.01348266267</v>
      </c>
      <c r="D24" s="116">
        <f t="shared" ref="D24" si="44">($B46*K$41+$C46*K$45+$D46*K$49)*D73</f>
        <v>-26745.791487998671</v>
      </c>
      <c r="E24" s="116">
        <f t="shared" ref="E24" si="45">($B46*L$41+$C46*L$45+$D46*L$49)*E73</f>
        <v>95790.872959999979</v>
      </c>
      <c r="F24" s="328">
        <f>($B46*M$41+$C46*M$45+$D46*M$49+E46*M53+F46*M57)*F73</f>
        <v>73630.378693861305</v>
      </c>
      <c r="G24" s="116">
        <f t="shared" si="41"/>
        <v>-188988.67453819467</v>
      </c>
      <c r="H24" s="116">
        <f t="shared" si="41"/>
        <v>-1634968.9527048555</v>
      </c>
      <c r="I24" s="116">
        <f t="shared" si="41"/>
        <v>-856819.70967152494</v>
      </c>
      <c r="J24" s="116">
        <f t="shared" si="41"/>
        <v>130672.57385000105</v>
      </c>
      <c r="K24" s="116">
        <f t="shared" si="42"/>
        <v>170928.50327466652</v>
      </c>
      <c r="L24" s="116">
        <f t="shared" ref="L24:M24" si="46">($B46*S$41+$C46*S$45+$D46*S$49)*L73</f>
        <v>489046.10388978035</v>
      </c>
      <c r="M24" s="116">
        <f t="shared" si="46"/>
        <v>541220.64921600395</v>
      </c>
      <c r="N24" s="216">
        <f>SUM(B24:M24)</f>
        <v>-981192.53995825443</v>
      </c>
      <c r="O24" s="115"/>
    </row>
    <row r="25" spans="1:28">
      <c r="A25" s="84" t="s">
        <v>32</v>
      </c>
      <c r="B25" s="110">
        <f t="shared" ref="B25:G25" si="47">SUM(B23:B24)</f>
        <v>687691.41050827946</v>
      </c>
      <c r="C25" s="110">
        <f t="shared" si="47"/>
        <v>-404887.15564418997</v>
      </c>
      <c r="D25" s="110">
        <f t="shared" si="47"/>
        <v>-16927.035405762348</v>
      </c>
      <c r="E25" s="110">
        <f t="shared" si="47"/>
        <v>123168.79074438846</v>
      </c>
      <c r="F25" s="110">
        <f t="shared" ref="F25" si="48">SUM(F23:F24)</f>
        <v>144201.82510433369</v>
      </c>
      <c r="G25" s="110">
        <f t="shared" si="47"/>
        <v>-202390.88485247246</v>
      </c>
      <c r="H25" s="110">
        <f t="shared" ref="H25:L25" si="49">SUM(H23:H24)</f>
        <v>-1750913.4547497996</v>
      </c>
      <c r="I25" s="110">
        <f t="shared" si="49"/>
        <v>-917710.99101274693</v>
      </c>
      <c r="J25" s="110">
        <f t="shared" si="49"/>
        <v>139978.87495511223</v>
      </c>
      <c r="K25" s="110">
        <f t="shared" si="49"/>
        <v>187464.80446841667</v>
      </c>
      <c r="L25" s="110">
        <f t="shared" si="49"/>
        <v>591306.24680589803</v>
      </c>
      <c r="M25" s="110">
        <f t="shared" ref="M25" si="50">SUM(M23:M24)</f>
        <v>684246.73585414304</v>
      </c>
      <c r="N25" s="217">
        <f t="shared" ref="N25" si="51">SUM(N23:N24)</f>
        <v>-734770.83322439925</v>
      </c>
      <c r="O25" s="119">
        <f>N25/N32</f>
        <v>-4.3878380061503422E-3</v>
      </c>
    </row>
    <row r="26" spans="1:28">
      <c r="A26" s="85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16"/>
      <c r="O26" s="115"/>
    </row>
    <row r="27" spans="1:28">
      <c r="A27" s="91" t="s">
        <v>4</v>
      </c>
      <c r="B27" s="116">
        <f t="shared" ref="B27:E30" si="52">($B47*I$41+$C47*I$45+$D47*I$49)*B74</f>
        <v>0</v>
      </c>
      <c r="C27" s="116">
        <f t="shared" si="52"/>
        <v>0</v>
      </c>
      <c r="D27" s="116">
        <f t="shared" si="52"/>
        <v>0</v>
      </c>
      <c r="E27" s="116">
        <f t="shared" si="52"/>
        <v>0</v>
      </c>
      <c r="F27" s="116">
        <f>($B47*M$41+$C47*M$45+$D47*M$49+E47*M53+F47*M57)*F74</f>
        <v>0</v>
      </c>
      <c r="G27" s="116">
        <f t="shared" ref="G27:J30" si="53">($E47*N$53+$F47*N$57)*G74</f>
        <v>0</v>
      </c>
      <c r="H27" s="116">
        <f t="shared" si="53"/>
        <v>0</v>
      </c>
      <c r="I27" s="116">
        <f t="shared" si="53"/>
        <v>0</v>
      </c>
      <c r="J27" s="116">
        <f t="shared" si="53"/>
        <v>0</v>
      </c>
      <c r="K27" s="116">
        <f t="shared" ref="K27:M30" si="54">($B47*R$41+$C47*R$45+$D47*R$49)*K74</f>
        <v>0</v>
      </c>
      <c r="L27" s="116">
        <f t="shared" si="54"/>
        <v>0</v>
      </c>
      <c r="M27" s="116">
        <f t="shared" si="54"/>
        <v>0</v>
      </c>
      <c r="N27" s="216">
        <f t="shared" ref="N27:N30" si="55">SUM(B27:M27)</f>
        <v>0</v>
      </c>
      <c r="O27" s="115">
        <f>N27/$N$32</f>
        <v>0</v>
      </c>
    </row>
    <row r="28" spans="1:28">
      <c r="A28" s="91" t="s">
        <v>22</v>
      </c>
      <c r="B28" s="116">
        <f t="shared" si="52"/>
        <v>361558.15991750103</v>
      </c>
      <c r="C28" s="116">
        <f t="shared" si="52"/>
        <v>-209218.26665599737</v>
      </c>
      <c r="D28" s="116">
        <f t="shared" si="52"/>
        <v>-17587.781418665792</v>
      </c>
      <c r="E28" s="116">
        <f t="shared" si="52"/>
        <v>62723.131295999978</v>
      </c>
      <c r="F28" s="116">
        <f>($B48*M$41+$C48*M$45+$D48*M$49+E48*M53+F48*M57)*F75</f>
        <v>2050.1309297779226</v>
      </c>
      <c r="G28" s="116">
        <f t="shared" si="53"/>
        <v>-159701.87547555572</v>
      </c>
      <c r="H28" s="116">
        <f t="shared" si="53"/>
        <v>-1392398.3112877035</v>
      </c>
      <c r="I28" s="116">
        <f t="shared" si="53"/>
        <v>-731254.31405791431</v>
      </c>
      <c r="J28" s="116">
        <f t="shared" si="53"/>
        <v>111761.03838083422</v>
      </c>
      <c r="K28" s="116">
        <f t="shared" si="54"/>
        <v>113037.5786032499</v>
      </c>
      <c r="L28" s="116">
        <f t="shared" si="54"/>
        <v>323413.51120487665</v>
      </c>
      <c r="M28" s="116">
        <f t="shared" si="54"/>
        <v>353121.13706975261</v>
      </c>
      <c r="N28" s="216">
        <f t="shared" si="55"/>
        <v>-1182495.8614938441</v>
      </c>
      <c r="O28" s="115">
        <f>N28/$N$32</f>
        <v>-7.0615218358750231E-3</v>
      </c>
    </row>
    <row r="29" spans="1:28" s="93" customFormat="1">
      <c r="A29" s="92" t="s">
        <v>7</v>
      </c>
      <c r="B29" s="117">
        <f t="shared" si="52"/>
        <v>1430325.4399795551</v>
      </c>
      <c r="C29" s="117">
        <f t="shared" si="52"/>
        <v>-860065.66908166162</v>
      </c>
      <c r="D29" s="117">
        <f t="shared" si="52"/>
        <v>109632.22081716802</v>
      </c>
      <c r="E29" s="117">
        <f t="shared" si="52"/>
        <v>222373.77016638598</v>
      </c>
      <c r="F29" s="117">
        <f>($B49*M$41+$C49*M$45+$D49*M$49+E49*M53+F49*M57)*F76</f>
        <v>585897.70629708446</v>
      </c>
      <c r="G29" s="117">
        <f t="shared" si="53"/>
        <v>-36201.708834166704</v>
      </c>
      <c r="H29" s="117">
        <f t="shared" si="53"/>
        <v>-313186.33311416558</v>
      </c>
      <c r="I29" s="117">
        <f t="shared" si="53"/>
        <v>-163416.82860066614</v>
      </c>
      <c r="J29" s="117">
        <f t="shared" si="53"/>
        <v>24975.763017333527</v>
      </c>
      <c r="K29" s="117">
        <f t="shared" si="54"/>
        <v>129756.72991875105</v>
      </c>
      <c r="L29" s="117">
        <f t="shared" si="54"/>
        <v>905413.00129230996</v>
      </c>
      <c r="M29" s="117">
        <f t="shared" si="54"/>
        <v>1369175.7846927503</v>
      </c>
      <c r="N29" s="219">
        <f t="shared" si="55"/>
        <v>3404679.8765506782</v>
      </c>
      <c r="O29" s="115">
        <f>N29/$N$32</f>
        <v>2.0331759353520624E-2</v>
      </c>
    </row>
    <row r="30" spans="1:28">
      <c r="A30" s="220" t="s">
        <v>50</v>
      </c>
      <c r="B30" s="116">
        <f t="shared" si="52"/>
        <v>35284.957470111127</v>
      </c>
      <c r="C30" s="116">
        <f t="shared" si="52"/>
        <v>-21054.796599444351</v>
      </c>
      <c r="D30" s="116">
        <f t="shared" si="52"/>
        <v>1794.4209459445283</v>
      </c>
      <c r="E30" s="116">
        <f t="shared" si="52"/>
        <v>8592.8737011109679</v>
      </c>
      <c r="F30" s="116">
        <f>($B50*M$41+$C50*M$45+$D50*M$49+E50*M53+F50*M57)*F77</f>
        <v>30182.871765666721</v>
      </c>
      <c r="G30" s="116">
        <f t="shared" si="53"/>
        <v>-734.15328272222303</v>
      </c>
      <c r="H30" s="116">
        <f t="shared" si="53"/>
        <v>-6351.2685440555333</v>
      </c>
      <c r="I30" s="116">
        <f t="shared" si="53"/>
        <v>-3335.5344407777666</v>
      </c>
      <c r="J30" s="116">
        <f t="shared" si="53"/>
        <v>509.78542688889291</v>
      </c>
      <c r="K30" s="116">
        <f t="shared" si="54"/>
        <v>5316.3413755556103</v>
      </c>
      <c r="L30" s="116">
        <f t="shared" si="54"/>
        <v>28272.437338110976</v>
      </c>
      <c r="M30" s="116">
        <f t="shared" si="54"/>
        <v>34947.549181888993</v>
      </c>
      <c r="N30" s="216">
        <f t="shared" si="55"/>
        <v>113425.48433827792</v>
      </c>
      <c r="O30" s="115">
        <f>N30/$N$32</f>
        <v>6.773440487035647E-4</v>
      </c>
    </row>
    <row r="31" spans="1:28">
      <c r="A31" s="85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218"/>
      <c r="O31" s="115"/>
    </row>
    <row r="32" spans="1:28" s="85" customFormat="1">
      <c r="A32" s="90" t="s">
        <v>19</v>
      </c>
      <c r="B32" s="154">
        <f t="shared" ref="B32:O32" si="56">SUM(B9,B13,B17,B21,B25,B27:B30)</f>
        <v>93836510.198020741</v>
      </c>
      <c r="C32" s="154">
        <f t="shared" si="56"/>
        <v>-56457374.093504317</v>
      </c>
      <c r="D32" s="154">
        <f t="shared" si="56"/>
        <v>5826160.2417845363</v>
      </c>
      <c r="E32" s="154">
        <f t="shared" si="56"/>
        <v>18971925.94518207</v>
      </c>
      <c r="F32" s="154">
        <f t="shared" si="56"/>
        <v>51614845.824656248</v>
      </c>
      <c r="G32" s="154">
        <f t="shared" si="56"/>
        <v>-9000723.4788245074</v>
      </c>
      <c r="H32" s="154">
        <f t="shared" si="56"/>
        <v>-77859479.306657091</v>
      </c>
      <c r="I32" s="154">
        <f t="shared" si="56"/>
        <v>-40933963.841891676</v>
      </c>
      <c r="J32" s="154">
        <f t="shared" si="56"/>
        <v>6264217.3675874434</v>
      </c>
      <c r="K32" s="154">
        <f t="shared" si="56"/>
        <v>11927261.099303102</v>
      </c>
      <c r="L32" s="154">
        <f t="shared" si="56"/>
        <v>69401134.564432815</v>
      </c>
      <c r="M32" s="154">
        <f t="shared" si="56"/>
        <v>93865720.690619394</v>
      </c>
      <c r="N32" s="221">
        <f t="shared" si="56"/>
        <v>167456235.2107088</v>
      </c>
      <c r="O32" s="156">
        <f t="shared" si="56"/>
        <v>0.99999999999999978</v>
      </c>
    </row>
    <row r="33" spans="1:20" s="85" customFormat="1">
      <c r="A33" s="90" t="s">
        <v>75</v>
      </c>
      <c r="B33" s="155">
        <f>IF('Actual Total Usage'!B32=0,0,B32/'Actual Total Usage'!B32)</f>
        <v>4.4303508724958265E-2</v>
      </c>
      <c r="C33" s="155">
        <f>IF('Actual Total Usage'!C32=0,0,C32/'Actual Total Usage'!C32)</f>
        <v>-2.8700871594628429E-2</v>
      </c>
      <c r="D33" s="155">
        <f>IF('Actual Total Usage'!D32=0,0,D32/'Actual Total Usage'!D32)</f>
        <v>2.9971270496128325E-3</v>
      </c>
      <c r="E33" s="155">
        <f>IF('Actual Total Usage'!E32=0,0,E32/'Actual Total Usage'!E32)</f>
        <v>1.1163694392083746E-2</v>
      </c>
      <c r="F33" s="155">
        <f>IF('Actual Total Usage'!F32=0,0,F32/'Actual Total Usage'!F32)</f>
        <v>3.4603656125186393E-2</v>
      </c>
      <c r="G33" s="155">
        <f>IF('Actual Total Usage'!G32=0,0,G32/'Actual Total Usage'!G32)</f>
        <v>-6.4076883673134764E-3</v>
      </c>
      <c r="H33" s="155">
        <f>IF('Actual Total Usage'!H32=0,0,H32/'Actual Total Usage'!H32)</f>
        <v>-5.3779551699276777E-2</v>
      </c>
      <c r="I33" s="155">
        <f>IF('Actual Total Usage'!I32=0,0,I32/'Actual Total Usage'!I32)</f>
        <v>-2.579749337247678E-2</v>
      </c>
      <c r="J33" s="155">
        <f>IF('Actual Total Usage'!J32=0,0,J32/'Actual Total Usage'!J32)</f>
        <v>4.2696520143206233E-3</v>
      </c>
      <c r="K33" s="155">
        <f>IF('Actual Total Usage'!K32=0,0,K32/'Actual Total Usage'!K32)</f>
        <v>8.3982316227510598E-3</v>
      </c>
      <c r="L33" s="155">
        <f>IF('Actual Total Usage'!L32=0,0,L32/'Actual Total Usage'!L32)</f>
        <v>4.3630172583813714E-2</v>
      </c>
      <c r="M33" s="155">
        <f>IF('Actual Total Usage'!M32=0,0,M32/'Actual Total Usage'!M32)</f>
        <v>4.9063972998541663E-2</v>
      </c>
      <c r="N33" s="155">
        <f>N32/'Actual Total Usage'!N32</f>
        <v>8.351761670461446E-3</v>
      </c>
      <c r="O33" s="157"/>
    </row>
    <row r="34" spans="1:20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24"/>
      <c r="O34" s="115"/>
    </row>
    <row r="36" spans="1:20" ht="15.75">
      <c r="A36" s="177" t="s">
        <v>166</v>
      </c>
      <c r="H36" s="177" t="s">
        <v>95</v>
      </c>
      <c r="O36"/>
      <c r="P36" s="97"/>
    </row>
    <row r="37" spans="1:20">
      <c r="A37" s="134" t="s">
        <v>94</v>
      </c>
      <c r="B37" s="147" t="s">
        <v>67</v>
      </c>
      <c r="C37" s="147" t="s">
        <v>149</v>
      </c>
      <c r="D37" s="147" t="s">
        <v>68</v>
      </c>
      <c r="E37" s="147" t="s">
        <v>69</v>
      </c>
      <c r="F37" s="147" t="s">
        <v>70</v>
      </c>
      <c r="O37"/>
      <c r="P37" s="97"/>
    </row>
    <row r="38" spans="1:20">
      <c r="A38" s="179" t="s">
        <v>141</v>
      </c>
      <c r="B38" s="345">
        <v>0.45007799999999998</v>
      </c>
      <c r="C38" s="346"/>
      <c r="D38" s="345">
        <v>0.38681100000000002</v>
      </c>
      <c r="E38" s="347"/>
      <c r="F38" s="345">
        <v>0.38304700000000003</v>
      </c>
      <c r="I38" s="57">
        <f t="shared" ref="I38:T38" si="57">B7</f>
        <v>43101</v>
      </c>
      <c r="J38" s="57">
        <f t="shared" si="57"/>
        <v>43132</v>
      </c>
      <c r="K38" s="57">
        <f t="shared" si="57"/>
        <v>43160</v>
      </c>
      <c r="L38" s="57">
        <f t="shared" si="57"/>
        <v>43191</v>
      </c>
      <c r="M38" s="57">
        <f t="shared" si="57"/>
        <v>43221</v>
      </c>
      <c r="N38" s="57">
        <f t="shared" si="57"/>
        <v>43252</v>
      </c>
      <c r="O38" s="57">
        <f t="shared" si="57"/>
        <v>43282</v>
      </c>
      <c r="P38" s="57">
        <f t="shared" si="57"/>
        <v>43313</v>
      </c>
      <c r="Q38" s="57">
        <f t="shared" si="57"/>
        <v>43344</v>
      </c>
      <c r="R38" s="57">
        <f t="shared" si="57"/>
        <v>43374</v>
      </c>
      <c r="S38" s="57">
        <f t="shared" si="57"/>
        <v>43405</v>
      </c>
      <c r="T38" s="57">
        <f t="shared" si="57"/>
        <v>43435</v>
      </c>
    </row>
    <row r="39" spans="1:20">
      <c r="A39" s="179" t="s">
        <v>34</v>
      </c>
      <c r="B39" s="345">
        <v>0.19203000000000001</v>
      </c>
      <c r="C39" s="348"/>
      <c r="D39" s="345">
        <v>0.26062000000000002</v>
      </c>
      <c r="E39" s="345"/>
      <c r="F39" s="345">
        <v>0.110552</v>
      </c>
      <c r="H39" s="24" t="s">
        <v>97</v>
      </c>
      <c r="I39" s="185">
        <f>'System Model '!C$4</f>
        <v>723.21388888888896</v>
      </c>
      <c r="J39" s="185">
        <f>'System Model '!C$5</f>
        <v>616.98611111111097</v>
      </c>
      <c r="K39" s="185">
        <f>'System Model '!C$6</f>
        <v>592.16805555555595</v>
      </c>
      <c r="L39" s="185">
        <f>'System Model '!C$7</f>
        <v>450.14722222222201</v>
      </c>
      <c r="M39" s="185">
        <f>'System Model '!C$8</f>
        <v>296.66111111111098</v>
      </c>
      <c r="N39" s="185">
        <f>'System Model '!C$9</f>
        <v>162.50833333333301</v>
      </c>
      <c r="O39" s="185">
        <f>'System Model '!C$10</f>
        <v>57.0138888888889</v>
      </c>
      <c r="P39" s="185">
        <f>'System Model '!C$11</f>
        <v>47.509722222222202</v>
      </c>
      <c r="Q39" s="185">
        <f>'System Model '!C$12</f>
        <v>136.759722222222</v>
      </c>
      <c r="R39" s="185">
        <f>'System Model '!C$13</f>
        <v>386.027777777778</v>
      </c>
      <c r="S39" s="185">
        <f>'System Model '!C$14</f>
        <v>583.59097222222204</v>
      </c>
      <c r="T39" s="185">
        <f>'System Model '!C$15</f>
        <v>747.57777777777801</v>
      </c>
    </row>
    <row r="40" spans="1:20">
      <c r="A40" s="179" t="s">
        <v>144</v>
      </c>
      <c r="B40" s="345">
        <v>0.290464</v>
      </c>
      <c r="C40" s="348"/>
      <c r="D40" s="345">
        <v>0.79522599999999999</v>
      </c>
      <c r="E40" s="345"/>
      <c r="F40" s="345">
        <v>0.782663</v>
      </c>
      <c r="H40" s="33" t="s">
        <v>98</v>
      </c>
      <c r="I40" s="187">
        <f>'System Model '!E$4</f>
        <v>628.70833333333326</v>
      </c>
      <c r="J40" s="187">
        <f>'System Model '!E$5</f>
        <v>672.58333333333303</v>
      </c>
      <c r="K40" s="187">
        <f>'System Model '!E$6</f>
        <v>589.83333333333337</v>
      </c>
      <c r="L40" s="187">
        <f>'System Model '!E$7</f>
        <v>419.04166666666703</v>
      </c>
      <c r="M40" s="187">
        <f>'System Model '!E$8</f>
        <v>172.458333333333</v>
      </c>
      <c r="N40" s="187">
        <f>'System Model '!E$9</f>
        <v>124.833333333333</v>
      </c>
      <c r="O40" s="187">
        <f>'System Model '!E$10</f>
        <v>16.5833333333333</v>
      </c>
      <c r="P40" s="188">
        <f>'System Model '!E$11</f>
        <v>25.0833333333333</v>
      </c>
      <c r="Q40" s="187">
        <f>'System Model '!E$12</f>
        <v>116.666666666667</v>
      </c>
      <c r="R40" s="187">
        <f>'System Model '!E$13</f>
        <v>366.375</v>
      </c>
      <c r="S40" s="187">
        <f>'System Model '!E$14</f>
        <v>493.60416666666703</v>
      </c>
      <c r="T40" s="187">
        <f>'System Model '!E$15</f>
        <v>653.20833333333303</v>
      </c>
    </row>
    <row r="41" spans="1:20">
      <c r="A41" s="179" t="s">
        <v>35</v>
      </c>
      <c r="B41" s="345">
        <v>6.6323090000000002</v>
      </c>
      <c r="C41" s="348"/>
      <c r="D41" s="345">
        <v>14.319699999999999</v>
      </c>
      <c r="E41" s="345"/>
      <c r="F41" s="345">
        <v>10.76488</v>
      </c>
      <c r="H41" s="24" t="s">
        <v>96</v>
      </c>
      <c r="I41" s="185">
        <f>I39-I40</f>
        <v>94.505555555555702</v>
      </c>
      <c r="J41" s="185">
        <f t="shared" ref="J41:T41" si="58">J39-J40</f>
        <v>-55.597222222222058</v>
      </c>
      <c r="K41" s="185">
        <f t="shared" si="58"/>
        <v>2.334722222222581</v>
      </c>
      <c r="L41" s="185">
        <f t="shared" si="58"/>
        <v>31.105555555554986</v>
      </c>
      <c r="M41" s="185">
        <f t="shared" si="58"/>
        <v>124.20277777777798</v>
      </c>
      <c r="N41" s="185">
        <f t="shared" si="58"/>
        <v>37.675000000000011</v>
      </c>
      <c r="O41" s="185">
        <f t="shared" si="58"/>
        <v>40.4305555555556</v>
      </c>
      <c r="P41" s="185">
        <f t="shared" si="58"/>
        <v>22.426388888888901</v>
      </c>
      <c r="Q41" s="185">
        <f t="shared" si="58"/>
        <v>20.093055555554997</v>
      </c>
      <c r="R41" s="185">
        <f t="shared" si="58"/>
        <v>19.652777777777999</v>
      </c>
      <c r="S41" s="185">
        <f t="shared" si="58"/>
        <v>89.986805555555009</v>
      </c>
      <c r="T41" s="185">
        <f t="shared" si="58"/>
        <v>94.36944444444498</v>
      </c>
    </row>
    <row r="42" spans="1:20">
      <c r="A42" s="179" t="s">
        <v>2</v>
      </c>
      <c r="B42" s="345">
        <v>0.682006</v>
      </c>
      <c r="C42" s="345"/>
      <c r="D42" s="345">
        <v>9.0357529999999997</v>
      </c>
      <c r="E42" s="345"/>
      <c r="F42" s="345">
        <v>9.0908549999999995</v>
      </c>
      <c r="I42" s="60"/>
      <c r="J42" s="60"/>
      <c r="K42" s="60"/>
      <c r="L42" s="60"/>
      <c r="M42" s="60"/>
      <c r="N42" s="60"/>
      <c r="O42" s="60"/>
      <c r="P42" s="184"/>
      <c r="Q42" s="60"/>
      <c r="R42" s="60"/>
      <c r="S42" s="60"/>
      <c r="T42" s="60"/>
    </row>
    <row r="43" spans="1:20">
      <c r="A43" s="179" t="s">
        <v>36</v>
      </c>
      <c r="B43" s="345">
        <v>39.504219999999997</v>
      </c>
      <c r="C43" s="348"/>
      <c r="D43" s="345">
        <v>56.506360000000001</v>
      </c>
      <c r="E43" s="345"/>
      <c r="F43" s="345">
        <v>38.712510000000002</v>
      </c>
      <c r="H43" s="85" t="s">
        <v>150</v>
      </c>
      <c r="I43" s="185">
        <f>'System Model '!Q$4</f>
        <v>413.27916666666698</v>
      </c>
      <c r="J43" s="185">
        <f>'System Model '!Q$5</f>
        <v>337.004166666667</v>
      </c>
      <c r="K43" s="185">
        <f>'System Model '!Q$6</f>
        <v>283.70277777777801</v>
      </c>
      <c r="L43" s="185">
        <f>'System Model '!Q$7</f>
        <v>166.16249999999999</v>
      </c>
      <c r="M43" s="185">
        <f>'System Model '!Q$8</f>
        <v>58.012500000000003</v>
      </c>
      <c r="N43" s="185">
        <f>'System Model '!Q$9</f>
        <v>7.9180555555555596</v>
      </c>
      <c r="O43" s="185">
        <f>'System Model '!Q$10</f>
        <v>0.11944444444444501</v>
      </c>
      <c r="P43" s="185">
        <f>'System Model '!Q$11</f>
        <v>0</v>
      </c>
      <c r="Q43" s="185">
        <f>'System Model '!Q$12</f>
        <v>4.0513888888888898</v>
      </c>
      <c r="R43" s="185">
        <f>'System Model '!Q$13</f>
        <v>99.504166666666606</v>
      </c>
      <c r="S43" s="185">
        <f>'System Model '!Q$14</f>
        <v>285.20763888888899</v>
      </c>
      <c r="T43" s="185">
        <f>'System Model '!Q$15</f>
        <v>437.754166666667</v>
      </c>
    </row>
    <row r="44" spans="1:20">
      <c r="A44" s="179" t="s">
        <v>3</v>
      </c>
      <c r="B44" s="345"/>
      <c r="C44" s="348">
        <v>7.6311780000000002</v>
      </c>
      <c r="D44" s="345"/>
      <c r="E44" s="345"/>
      <c r="F44" s="345">
        <v>46.376089999999998</v>
      </c>
      <c r="H44" s="323" t="s">
        <v>151</v>
      </c>
      <c r="I44" s="187">
        <f>'System Model '!R$4</f>
        <v>318.70833333333337</v>
      </c>
      <c r="J44" s="187">
        <f>'System Model '!R$5</f>
        <v>392.58333333333297</v>
      </c>
      <c r="K44" s="187">
        <f>'System Model '!R$6</f>
        <v>288.375</v>
      </c>
      <c r="L44" s="187">
        <f>'System Model '!R$7</f>
        <v>149.5</v>
      </c>
      <c r="M44" s="187">
        <f>'System Model '!R$8</f>
        <v>2.875</v>
      </c>
      <c r="N44" s="187">
        <f>'System Model '!R$9</f>
        <v>2.125</v>
      </c>
      <c r="O44" s="187">
        <f>'System Model '!R$10</f>
        <v>0</v>
      </c>
      <c r="P44" s="188">
        <f>'System Model '!R$11</f>
        <v>0</v>
      </c>
      <c r="Q44" s="187">
        <f>'System Model '!R$12</f>
        <v>0</v>
      </c>
      <c r="R44" s="187">
        <f>'System Model '!R$13</f>
        <v>69.7083333333333</v>
      </c>
      <c r="S44" s="187">
        <f>'System Model '!R$14</f>
        <v>199.958333333333</v>
      </c>
      <c r="T44" s="187">
        <f>'System Model '!R$15</f>
        <v>343.20833333333297</v>
      </c>
    </row>
    <row r="45" spans="1:20">
      <c r="A45" s="179" t="s">
        <v>37</v>
      </c>
      <c r="B45" s="345">
        <v>54.14217</v>
      </c>
      <c r="C45" s="348"/>
      <c r="D45" s="345">
        <v>73.404399999999995</v>
      </c>
      <c r="E45" s="345"/>
      <c r="F45" s="345">
        <v>68.431479999999993</v>
      </c>
      <c r="H45" s="24" t="s">
        <v>96</v>
      </c>
      <c r="I45" s="185">
        <f>I43-I44</f>
        <v>94.57083333333361</v>
      </c>
      <c r="J45" s="185">
        <f t="shared" ref="J45:T45" si="59">J43-J44</f>
        <v>-55.579166666665969</v>
      </c>
      <c r="K45" s="185">
        <f t="shared" si="59"/>
        <v>-4.6722222222219898</v>
      </c>
      <c r="L45" s="185">
        <f t="shared" si="59"/>
        <v>16.662499999999994</v>
      </c>
      <c r="M45" s="185">
        <f t="shared" si="59"/>
        <v>55.137500000000003</v>
      </c>
      <c r="N45" s="185">
        <f t="shared" si="59"/>
        <v>5.7930555555555596</v>
      </c>
      <c r="O45" s="185">
        <f t="shared" si="59"/>
        <v>0.11944444444444501</v>
      </c>
      <c r="P45" s="185">
        <f t="shared" si="59"/>
        <v>0</v>
      </c>
      <c r="Q45" s="185">
        <f t="shared" si="59"/>
        <v>4.0513888888888898</v>
      </c>
      <c r="R45" s="185">
        <f t="shared" si="59"/>
        <v>29.795833333333306</v>
      </c>
      <c r="S45" s="185">
        <f t="shared" si="59"/>
        <v>85.249305555555992</v>
      </c>
      <c r="T45" s="185">
        <f t="shared" si="59"/>
        <v>94.545833333334031</v>
      </c>
    </row>
    <row r="46" spans="1:20">
      <c r="A46" s="179" t="s">
        <v>5</v>
      </c>
      <c r="B46" s="348"/>
      <c r="C46" s="348">
        <v>12.231680000000001</v>
      </c>
      <c r="D46" s="348"/>
      <c r="E46" s="348"/>
      <c r="F46" s="348">
        <v>26.690750000000001</v>
      </c>
    </row>
    <row r="47" spans="1:20">
      <c r="A47" s="179"/>
      <c r="B47" s="348"/>
      <c r="C47" s="348"/>
      <c r="D47" s="348"/>
      <c r="E47" s="348"/>
      <c r="F47" s="348"/>
      <c r="H47" s="24" t="s">
        <v>99</v>
      </c>
      <c r="I47" s="185">
        <f>'System Model '!G$4</f>
        <v>131.923611111111</v>
      </c>
      <c r="J47" s="185">
        <f>'System Model '!G$5</f>
        <v>89.9930555555556</v>
      </c>
      <c r="K47" s="185">
        <f>'System Model '!G$6</f>
        <v>42.775694444444397</v>
      </c>
      <c r="L47" s="185">
        <f>'System Model '!G$7</f>
        <v>8.6638888888888896</v>
      </c>
      <c r="M47" s="185">
        <f>'System Model '!G$8</f>
        <v>0.41666666666666702</v>
      </c>
      <c r="N47" s="185">
        <f>'System Model '!G$9</f>
        <v>0</v>
      </c>
      <c r="O47" s="185">
        <f>'System Model '!G$10</f>
        <v>0</v>
      </c>
      <c r="P47" s="186">
        <f>'System Model '!G$11</f>
        <v>0</v>
      </c>
      <c r="Q47" s="185">
        <f>'System Model '!G$12</f>
        <v>0</v>
      </c>
      <c r="R47" s="185">
        <f>'System Model '!G$13</f>
        <v>2.8333333333333299</v>
      </c>
      <c r="S47" s="185">
        <f>'System Model '!G$14</f>
        <v>54.622222222222199</v>
      </c>
      <c r="T47" s="185">
        <f>'System Model '!G$15</f>
        <v>148.73472222222199</v>
      </c>
    </row>
    <row r="48" spans="1:20">
      <c r="A48" s="179" t="s">
        <v>22</v>
      </c>
      <c r="B48" s="348"/>
      <c r="C48" s="348">
        <v>29.408819999999999</v>
      </c>
      <c r="D48" s="348"/>
      <c r="E48" s="348"/>
      <c r="F48" s="348">
        <v>82.81765</v>
      </c>
      <c r="H48" s="33" t="s">
        <v>100</v>
      </c>
      <c r="I48" s="187">
        <f>'System Model '!H$4</f>
        <v>49.499999999999993</v>
      </c>
      <c r="J48" s="187">
        <f>'System Model '!H$5</f>
        <v>140.583333333333</v>
      </c>
      <c r="K48" s="187">
        <f>'System Model '!H$6</f>
        <v>34.208333333333329</v>
      </c>
      <c r="L48" s="187">
        <f>'System Model '!H$7</f>
        <v>2.9166666666666701</v>
      </c>
      <c r="M48" s="187">
        <f>'System Model '!H$8</f>
        <v>0</v>
      </c>
      <c r="N48" s="187">
        <f>'System Model '!H$9</f>
        <v>0</v>
      </c>
      <c r="O48" s="187">
        <f>'System Model '!H$10</f>
        <v>0</v>
      </c>
      <c r="P48" s="188">
        <f>'System Model '!H$11</f>
        <v>0</v>
      </c>
      <c r="Q48" s="187">
        <f>'System Model '!H$12</f>
        <v>0</v>
      </c>
      <c r="R48" s="187">
        <f>'System Model '!H$13</f>
        <v>0</v>
      </c>
      <c r="S48" s="187">
        <f>'System Model '!H$14</f>
        <v>13.8333333333333</v>
      </c>
      <c r="T48" s="187">
        <f>'System Model '!H$15</f>
        <v>68.4583333333333</v>
      </c>
    </row>
    <row r="49" spans="1:20">
      <c r="A49" s="180" t="s">
        <v>7</v>
      </c>
      <c r="B49" s="348">
        <v>32.608409999999999</v>
      </c>
      <c r="C49" s="348"/>
      <c r="D49" s="348">
        <v>73.142600000000002</v>
      </c>
      <c r="E49" s="348"/>
      <c r="F49" s="348">
        <v>15.503159999999999</v>
      </c>
      <c r="H49" s="24" t="s">
        <v>96</v>
      </c>
      <c r="I49" s="185">
        <f>I47-I48</f>
        <v>82.423611111111001</v>
      </c>
      <c r="J49" s="185">
        <f t="shared" ref="J49" si="60">J47-J48</f>
        <v>-50.590277777777402</v>
      </c>
      <c r="K49" s="185">
        <f t="shared" ref="K49" si="61">K47-K48</f>
        <v>8.5673611111110688</v>
      </c>
      <c r="L49" s="185">
        <f t="shared" ref="L49" si="62">L47-L48</f>
        <v>5.74722222222222</v>
      </c>
      <c r="M49" s="185">
        <f t="shared" ref="M49" si="63">M47-M48</f>
        <v>0.41666666666666702</v>
      </c>
      <c r="N49" s="185">
        <f t="shared" ref="N49" si="64">N47-N48</f>
        <v>0</v>
      </c>
      <c r="O49" s="185">
        <f t="shared" ref="O49" si="65">O47-O48</f>
        <v>0</v>
      </c>
      <c r="P49" s="185">
        <f t="shared" ref="P49" si="66">P47-P48</f>
        <v>0</v>
      </c>
      <c r="Q49" s="185">
        <f t="shared" ref="Q49" si="67">Q47-Q48</f>
        <v>0</v>
      </c>
      <c r="R49" s="185">
        <f t="shared" ref="R49" si="68">R47-R48</f>
        <v>2.8333333333333299</v>
      </c>
      <c r="S49" s="185">
        <f t="shared" ref="S49" si="69">S47-S48</f>
        <v>40.788888888888899</v>
      </c>
      <c r="T49" s="185">
        <f t="shared" ref="T49" si="70">T47-T48</f>
        <v>80.27638888888869</v>
      </c>
    </row>
    <row r="50" spans="1:20">
      <c r="A50" s="181" t="s">
        <v>50</v>
      </c>
      <c r="B50" s="349">
        <v>31.268139999999999</v>
      </c>
      <c r="C50" s="349"/>
      <c r="D50" s="349">
        <v>17.660070000000001</v>
      </c>
      <c r="E50" s="349"/>
      <c r="F50" s="349">
        <v>6.0914349999999997</v>
      </c>
      <c r="I50" s="60"/>
      <c r="J50" s="60"/>
      <c r="K50" s="60"/>
      <c r="L50" s="60"/>
      <c r="M50" s="60"/>
      <c r="N50" s="60"/>
      <c r="O50" s="60"/>
      <c r="P50" s="184"/>
      <c r="Q50" s="60"/>
      <c r="R50" s="60"/>
      <c r="S50" s="60"/>
      <c r="T50" s="60"/>
    </row>
    <row r="51" spans="1:20">
      <c r="H51" s="24" t="s">
        <v>101</v>
      </c>
      <c r="I51" s="185">
        <f>'System Model '!D$4</f>
        <v>0</v>
      </c>
      <c r="J51" s="185">
        <f>'System Model '!D$5</f>
        <v>0</v>
      </c>
      <c r="K51" s="185">
        <f>'System Model '!D$6</f>
        <v>0</v>
      </c>
      <c r="L51" s="185">
        <f>'System Model '!D$7</f>
        <v>0.68472222222222301</v>
      </c>
      <c r="M51" s="185">
        <f>'System Model '!D$8</f>
        <v>6.1736111111111098</v>
      </c>
      <c r="N51" s="185">
        <f>'System Model '!D$9</f>
        <v>25.720833333333299</v>
      </c>
      <c r="O51" s="185">
        <f>'System Model '!D$10</f>
        <v>73.7916666666667</v>
      </c>
      <c r="P51" s="186">
        <f>'System Model '!D$11</f>
        <v>66.988888888888894</v>
      </c>
      <c r="Q51" s="185">
        <f>'System Model '!D$12</f>
        <v>18.197222222222202</v>
      </c>
      <c r="R51" s="185">
        <f>'System Model '!D$13</f>
        <v>0</v>
      </c>
      <c r="S51" s="185">
        <f>'System Model '!D$14</f>
        <v>0</v>
      </c>
      <c r="T51" s="185">
        <f>'System Model '!D$15</f>
        <v>0</v>
      </c>
    </row>
    <row r="52" spans="1:20">
      <c r="H52" s="33" t="s">
        <v>102</v>
      </c>
      <c r="I52" s="187">
        <f>'System Model '!F$4</f>
        <v>0</v>
      </c>
      <c r="J52" s="187">
        <f>'System Model '!F$5</f>
        <v>0</v>
      </c>
      <c r="K52" s="187">
        <f>'System Model '!F$6</f>
        <v>0</v>
      </c>
      <c r="L52" s="187">
        <f>'System Model '!F$7</f>
        <v>1.2083333333333299</v>
      </c>
      <c r="M52" s="187">
        <f>'System Model '!F$8</f>
        <v>13.2083333333333</v>
      </c>
      <c r="N52" s="187">
        <f>'System Model '!F$9</f>
        <v>31.9166666666667</v>
      </c>
      <c r="O52" s="187">
        <f>'System Model '!F$10</f>
        <v>171.208333333333</v>
      </c>
      <c r="P52" s="188">
        <f>'System Model '!F$11</f>
        <v>114.916666666667</v>
      </c>
      <c r="Q52" s="187">
        <f>'System Model '!F$12</f>
        <v>8.5416666666666607</v>
      </c>
      <c r="R52" s="187">
        <f>'System Model '!F$13</f>
        <v>0</v>
      </c>
      <c r="S52" s="187">
        <f>'System Model '!F$14</f>
        <v>0</v>
      </c>
      <c r="T52" s="187">
        <f>'System Model '!F$15</f>
        <v>0</v>
      </c>
    </row>
    <row r="53" spans="1:20">
      <c r="A53" s="30"/>
      <c r="B53" s="335"/>
      <c r="C53" s="335"/>
      <c r="D53" s="335"/>
      <c r="E53" s="335"/>
      <c r="F53" s="335"/>
      <c r="H53" s="24" t="s">
        <v>96</v>
      </c>
      <c r="I53" s="185">
        <f>I51-I52</f>
        <v>0</v>
      </c>
      <c r="J53" s="185">
        <f t="shared" ref="J53" si="71">J51-J52</f>
        <v>0</v>
      </c>
      <c r="K53" s="185">
        <f t="shared" ref="K53" si="72">K51-K52</f>
        <v>0</v>
      </c>
      <c r="L53" s="185">
        <f t="shared" ref="L53" si="73">L51-L52</f>
        <v>-0.52361111111110692</v>
      </c>
      <c r="M53" s="185">
        <f t="shared" ref="M53" si="74">M51-M52</f>
        <v>-7.0347222222221903</v>
      </c>
      <c r="N53" s="185">
        <f t="shared" ref="N53" si="75">N51-N52</f>
        <v>-6.1958333333334004</v>
      </c>
      <c r="O53" s="185">
        <f t="shared" ref="O53" si="76">O51-O52</f>
        <v>-97.416666666666302</v>
      </c>
      <c r="P53" s="185">
        <f t="shared" ref="P53" si="77">P51-P52</f>
        <v>-47.927777777778104</v>
      </c>
      <c r="Q53" s="185">
        <f t="shared" ref="Q53" si="78">Q51-Q52</f>
        <v>9.6555555555555408</v>
      </c>
      <c r="R53" s="185">
        <f t="shared" ref="R53" si="79">R51-R52</f>
        <v>0</v>
      </c>
      <c r="S53" s="185">
        <f t="shared" ref="S53" si="80">S51-S52</f>
        <v>0</v>
      </c>
      <c r="T53" s="185">
        <f t="shared" ref="T53" si="81">T51-T52</f>
        <v>0</v>
      </c>
    </row>
    <row r="54" spans="1:20">
      <c r="I54" s="60"/>
      <c r="J54" s="60"/>
      <c r="K54" s="60"/>
      <c r="L54" s="60"/>
      <c r="M54" s="60"/>
      <c r="N54" s="60"/>
      <c r="O54" s="60"/>
      <c r="P54" s="184"/>
      <c r="Q54" s="60"/>
      <c r="R54" s="60"/>
      <c r="S54" s="60"/>
      <c r="T54" s="60"/>
    </row>
    <row r="55" spans="1:20">
      <c r="H55" s="24" t="s">
        <v>103</v>
      </c>
      <c r="I55" s="185">
        <f>'System Model '!I$4</f>
        <v>0</v>
      </c>
      <c r="J55" s="185">
        <f>'System Model '!I$5</f>
        <v>0</v>
      </c>
      <c r="K55" s="185">
        <f>'System Model '!I$6</f>
        <v>0.102777777777778</v>
      </c>
      <c r="L55" s="185">
        <f>'System Model '!I$7</f>
        <v>3.7069444444444501</v>
      </c>
      <c r="M55" s="185">
        <f>'System Model '!I$8</f>
        <v>26.405555555555601</v>
      </c>
      <c r="N55" s="185">
        <f>'System Model '!I$9</f>
        <v>70.143055555555506</v>
      </c>
      <c r="O55" s="185">
        <f>'System Model '!I$10</f>
        <v>179.29305555555601</v>
      </c>
      <c r="P55" s="186">
        <f>'System Model '!I$11</f>
        <v>178.052777777778</v>
      </c>
      <c r="Q55" s="185">
        <f>'System Model '!I$12</f>
        <v>72.752777777777794</v>
      </c>
      <c r="R55" s="185">
        <f>'System Model '!I$13</f>
        <v>1.8902777777777799</v>
      </c>
      <c r="S55" s="185">
        <f>'System Model '!I$14</f>
        <v>2.9166666666666698E-2</v>
      </c>
      <c r="T55" s="185">
        <f>'System Model '!I$15</f>
        <v>0</v>
      </c>
    </row>
    <row r="56" spans="1:20">
      <c r="H56" s="33" t="s">
        <v>104</v>
      </c>
      <c r="I56" s="187">
        <f>'System Model '!J$4</f>
        <v>0</v>
      </c>
      <c r="J56" s="187">
        <f>'System Model '!J$5</f>
        <v>0</v>
      </c>
      <c r="K56" s="187">
        <f>'System Model '!J$6</f>
        <v>0</v>
      </c>
      <c r="L56" s="187">
        <f>'System Model '!J$7</f>
        <v>13.0833333333333</v>
      </c>
      <c r="M56" s="187">
        <f>'System Model '!J$8</f>
        <v>45.7916666666667</v>
      </c>
      <c r="N56" s="187">
        <f>'System Model '!J$9</f>
        <v>85.2083333333333</v>
      </c>
      <c r="O56" s="187">
        <f>'System Model '!J$10</f>
        <v>309.625</v>
      </c>
      <c r="P56" s="188">
        <f>'System Model '!J$11</f>
        <v>246.5</v>
      </c>
      <c r="Q56" s="187">
        <f>'System Model '!J$12</f>
        <v>62.2916666666666</v>
      </c>
      <c r="R56" s="187">
        <f>'System Model '!J$13</f>
        <v>4.1666666666664298E-2</v>
      </c>
      <c r="S56" s="187">
        <f>'System Model '!J$14</f>
        <v>0</v>
      </c>
      <c r="T56" s="187">
        <f>'System Model '!J$15</f>
        <v>0</v>
      </c>
    </row>
    <row r="57" spans="1:20">
      <c r="H57" s="24" t="s">
        <v>96</v>
      </c>
      <c r="I57" s="185">
        <f>I55-I56</f>
        <v>0</v>
      </c>
      <c r="J57" s="185">
        <f t="shared" ref="J57" si="82">J55-J56</f>
        <v>0</v>
      </c>
      <c r="K57" s="185">
        <f t="shared" ref="K57" si="83">K55-K56</f>
        <v>0.102777777777778</v>
      </c>
      <c r="L57" s="185">
        <f t="shared" ref="L57" si="84">L55-L56</f>
        <v>-9.3763888888888509</v>
      </c>
      <c r="M57" s="185">
        <f t="shared" ref="M57" si="85">M55-M56</f>
        <v>-19.386111111111099</v>
      </c>
      <c r="N57" s="185">
        <f t="shared" ref="N57" si="86">N55-N56</f>
        <v>-15.065277777777794</v>
      </c>
      <c r="O57" s="185">
        <f t="shared" ref="O57" si="87">O55-O56</f>
        <v>-130.33194444444399</v>
      </c>
      <c r="P57" s="185">
        <f t="shared" ref="P57" si="88">P55-P56</f>
        <v>-68.447222222221995</v>
      </c>
      <c r="Q57" s="185">
        <f t="shared" ref="Q57" si="89">Q55-Q56</f>
        <v>10.461111111111194</v>
      </c>
      <c r="R57" s="185">
        <f t="shared" ref="R57" si="90">R55-R56</f>
        <v>1.8486111111111156</v>
      </c>
      <c r="S57" s="185">
        <f t="shared" ref="S57" si="91">S55-S56</f>
        <v>2.9166666666666698E-2</v>
      </c>
      <c r="T57" s="185">
        <f t="shared" ref="T57" si="92">T55-T56</f>
        <v>0</v>
      </c>
    </row>
    <row r="62" spans="1:20" ht="15.75">
      <c r="A62" s="177" t="s">
        <v>168</v>
      </c>
    </row>
    <row r="64" spans="1:20">
      <c r="A64" s="182" t="s">
        <v>94</v>
      </c>
      <c r="B64" s="183">
        <f>B7</f>
        <v>43101</v>
      </c>
      <c r="C64" s="183">
        <f t="shared" ref="C64:M64" si="93">C7</f>
        <v>43132</v>
      </c>
      <c r="D64" s="183">
        <f t="shared" si="93"/>
        <v>43160</v>
      </c>
      <c r="E64" s="183">
        <f t="shared" si="93"/>
        <v>43191</v>
      </c>
      <c r="F64" s="183">
        <f t="shared" si="93"/>
        <v>43221</v>
      </c>
      <c r="G64" s="183">
        <f t="shared" si="93"/>
        <v>43252</v>
      </c>
      <c r="H64" s="183">
        <f t="shared" si="93"/>
        <v>43282</v>
      </c>
      <c r="I64" s="183">
        <f t="shared" si="93"/>
        <v>43313</v>
      </c>
      <c r="J64" s="183">
        <f t="shared" si="93"/>
        <v>43344</v>
      </c>
      <c r="K64" s="183">
        <f t="shared" si="93"/>
        <v>43374</v>
      </c>
      <c r="L64" s="183">
        <f t="shared" si="93"/>
        <v>43405</v>
      </c>
      <c r="M64" s="183">
        <f t="shared" si="93"/>
        <v>43435</v>
      </c>
    </row>
    <row r="65" spans="1:13">
      <c r="A65" s="178" t="s">
        <v>141</v>
      </c>
      <c r="B65" s="278">
        <f>'SAP BW Actual Usage'!C33</f>
        <v>1005060</v>
      </c>
      <c r="C65" s="278">
        <f>'SAP BW Actual Usage'!D33</f>
        <v>1006215</v>
      </c>
      <c r="D65" s="278">
        <f>'SAP BW Actual Usage'!E33</f>
        <v>1006855</v>
      </c>
      <c r="E65" s="278">
        <f>'SAP BW Actual Usage'!F33</f>
        <v>1007514</v>
      </c>
      <c r="F65" s="278">
        <f>'SAP BW Actual Usage'!G33</f>
        <v>1008561</v>
      </c>
      <c r="G65" s="278">
        <f>'SAP BW Actual Usage'!H33</f>
        <v>1009696</v>
      </c>
      <c r="H65" s="278">
        <f>'SAP BW Actual Usage'!I33</f>
        <v>1010120</v>
      </c>
      <c r="I65" s="278">
        <f>'SAP BW Actual Usage'!J33</f>
        <v>1011178</v>
      </c>
      <c r="J65" s="278">
        <f>'SAP BW Actual Usage'!K33</f>
        <v>1012929</v>
      </c>
      <c r="K65" s="278">
        <f>'SAP BW Actual Usage'!L33</f>
        <v>1014406</v>
      </c>
      <c r="L65" s="278">
        <f>'SAP BW Actual Usage'!M33</f>
        <v>1016565</v>
      </c>
      <c r="M65" s="278">
        <f>'SAP BW Actual Usage'!N33</f>
        <v>1017763</v>
      </c>
    </row>
    <row r="66" spans="1:13">
      <c r="A66" s="179" t="s">
        <v>34</v>
      </c>
      <c r="B66" s="278">
        <f>'SAP BW Actual Usage'!C34</f>
        <v>29987</v>
      </c>
      <c r="C66" s="278">
        <f>'SAP BW Actual Usage'!D34</f>
        <v>29970</v>
      </c>
      <c r="D66" s="278">
        <f>'SAP BW Actual Usage'!E34</f>
        <v>30012</v>
      </c>
      <c r="E66" s="278">
        <f>'SAP BW Actual Usage'!F34</f>
        <v>30016</v>
      </c>
      <c r="F66" s="278">
        <f>'SAP BW Actual Usage'!G34</f>
        <v>30040</v>
      </c>
      <c r="G66" s="278">
        <f>'SAP BW Actual Usage'!H34</f>
        <v>30049</v>
      </c>
      <c r="H66" s="278">
        <f>'SAP BW Actual Usage'!I34</f>
        <v>30083</v>
      </c>
      <c r="I66" s="278">
        <f>'SAP BW Actual Usage'!J34</f>
        <v>30112</v>
      </c>
      <c r="J66" s="278">
        <f>'SAP BW Actual Usage'!K34</f>
        <v>30107</v>
      </c>
      <c r="K66" s="278">
        <f>'SAP BW Actual Usage'!L34</f>
        <v>30128</v>
      </c>
      <c r="L66" s="278">
        <f>'SAP BW Actual Usage'!M34</f>
        <v>30153</v>
      </c>
      <c r="M66" s="278">
        <f>'SAP BW Actual Usage'!N34</f>
        <v>30152</v>
      </c>
    </row>
    <row r="67" spans="1:13">
      <c r="A67" s="179" t="s">
        <v>138</v>
      </c>
      <c r="B67" s="278">
        <f>'SAP BW Actual Usage'!C38</f>
        <v>90968</v>
      </c>
      <c r="C67" s="278">
        <f>'SAP BW Actual Usage'!D38</f>
        <v>91153</v>
      </c>
      <c r="D67" s="278">
        <f>'SAP BW Actual Usage'!E38</f>
        <v>91252</v>
      </c>
      <c r="E67" s="278">
        <f>'SAP BW Actual Usage'!F38</f>
        <v>91258</v>
      </c>
      <c r="F67" s="278">
        <f>'SAP BW Actual Usage'!G38</f>
        <v>91332</v>
      </c>
      <c r="G67" s="278">
        <f>'SAP BW Actual Usage'!H38</f>
        <v>91543</v>
      </c>
      <c r="H67" s="278">
        <f>'SAP BW Actual Usage'!I38</f>
        <v>91620</v>
      </c>
      <c r="I67" s="278">
        <f>'SAP BW Actual Usage'!J38</f>
        <v>91735</v>
      </c>
      <c r="J67" s="278">
        <f>'SAP BW Actual Usage'!K38</f>
        <v>91870</v>
      </c>
      <c r="K67" s="278">
        <f>'SAP BW Actual Usage'!L38</f>
        <v>91902</v>
      </c>
      <c r="L67" s="278">
        <f>'SAP BW Actual Usage'!M38</f>
        <v>91842</v>
      </c>
      <c r="M67" s="278">
        <f>'SAP BW Actual Usage'!N38</f>
        <v>91794</v>
      </c>
    </row>
    <row r="68" spans="1:13">
      <c r="A68" s="179" t="s">
        <v>35</v>
      </c>
      <c r="B68" s="278">
        <f>'SAP BW Actual Usage'!C36</f>
        <v>307</v>
      </c>
      <c r="C68" s="278">
        <f>'SAP BW Actual Usage'!D36</f>
        <v>308</v>
      </c>
      <c r="D68" s="278">
        <f>'SAP BW Actual Usage'!E36</f>
        <v>305</v>
      </c>
      <c r="E68" s="278">
        <f>'SAP BW Actual Usage'!F36</f>
        <v>307</v>
      </c>
      <c r="F68" s="278">
        <f>'SAP BW Actual Usage'!G36</f>
        <v>305</v>
      </c>
      <c r="G68" s="278">
        <f>'SAP BW Actual Usage'!H36</f>
        <v>305</v>
      </c>
      <c r="H68" s="278">
        <f>'SAP BW Actual Usage'!I36</f>
        <v>306</v>
      </c>
      <c r="I68" s="278">
        <f>'SAP BW Actual Usage'!J36</f>
        <v>306</v>
      </c>
      <c r="J68" s="278">
        <f>'SAP BW Actual Usage'!K36</f>
        <v>304</v>
      </c>
      <c r="K68" s="278">
        <f>'SAP BW Actual Usage'!L36</f>
        <v>305</v>
      </c>
      <c r="L68" s="278">
        <f>'SAP BW Actual Usage'!M36</f>
        <v>304</v>
      </c>
      <c r="M68" s="278">
        <f>'SAP BW Actual Usage'!N36</f>
        <v>303</v>
      </c>
    </row>
    <row r="69" spans="1:13">
      <c r="A69" s="179" t="s">
        <v>139</v>
      </c>
      <c r="B69" s="278">
        <f>'SAP BW Actual Usage'!C39</f>
        <v>6977</v>
      </c>
      <c r="C69" s="278">
        <f>'SAP BW Actual Usage'!D39</f>
        <v>7077</v>
      </c>
      <c r="D69" s="278">
        <f>'SAP BW Actual Usage'!E39</f>
        <v>7201</v>
      </c>
      <c r="E69" s="278">
        <f>'SAP BW Actual Usage'!F39</f>
        <v>7315</v>
      </c>
      <c r="F69" s="278">
        <f>'SAP BW Actual Usage'!G39</f>
        <v>7372</v>
      </c>
      <c r="G69" s="278">
        <f>'SAP BW Actual Usage'!H39</f>
        <v>7273</v>
      </c>
      <c r="H69" s="278">
        <f>'SAP BW Actual Usage'!I39</f>
        <v>7242</v>
      </c>
      <c r="I69" s="278">
        <f>'SAP BW Actual Usage'!J39</f>
        <v>7243</v>
      </c>
      <c r="J69" s="278">
        <f>'SAP BW Actual Usage'!K39</f>
        <v>7248</v>
      </c>
      <c r="K69" s="278">
        <f>'SAP BW Actual Usage'!L39</f>
        <v>7288</v>
      </c>
      <c r="L69" s="278">
        <f>'SAP BW Actual Usage'!M39</f>
        <v>7339</v>
      </c>
      <c r="M69" s="278">
        <f>'SAP BW Actual Usage'!N39</f>
        <v>7348</v>
      </c>
    </row>
    <row r="70" spans="1:13">
      <c r="A70" s="179" t="s">
        <v>36</v>
      </c>
      <c r="B70" s="278">
        <f>'SAP BW Actual Usage'!C37</f>
        <v>13</v>
      </c>
      <c r="C70" s="278">
        <f>'SAP BW Actual Usage'!D37</f>
        <v>13</v>
      </c>
      <c r="D70" s="278">
        <f>'SAP BW Actual Usage'!E37</f>
        <v>13</v>
      </c>
      <c r="E70" s="278">
        <f>'SAP BW Actual Usage'!F37</f>
        <v>13</v>
      </c>
      <c r="F70" s="278">
        <f>'SAP BW Actual Usage'!G37</f>
        <v>13</v>
      </c>
      <c r="G70" s="278">
        <f>'SAP BW Actual Usage'!H37</f>
        <v>13</v>
      </c>
      <c r="H70" s="278">
        <f>'SAP BW Actual Usage'!I37</f>
        <v>13</v>
      </c>
      <c r="I70" s="278">
        <f>'SAP BW Actual Usage'!J37</f>
        <v>14</v>
      </c>
      <c r="J70" s="278">
        <f>'SAP BW Actual Usage'!K37</f>
        <v>14</v>
      </c>
      <c r="K70" s="278">
        <f>'SAP BW Actual Usage'!L37</f>
        <v>14</v>
      </c>
      <c r="L70" s="278">
        <f>'SAP BW Actual Usage'!M37</f>
        <v>14</v>
      </c>
      <c r="M70" s="278">
        <f>'SAP BW Actual Usage'!N37</f>
        <v>14</v>
      </c>
    </row>
    <row r="71" spans="1:13">
      <c r="A71" s="179" t="s">
        <v>140</v>
      </c>
      <c r="B71" s="278">
        <f>'SAP BW Actual Usage'!C40</f>
        <v>790</v>
      </c>
      <c r="C71" s="278">
        <f>'SAP BW Actual Usage'!D40</f>
        <v>785</v>
      </c>
      <c r="D71" s="278">
        <f>'SAP BW Actual Usage'!E40</f>
        <v>786</v>
      </c>
      <c r="E71" s="278">
        <f>'SAP BW Actual Usage'!F40</f>
        <v>790</v>
      </c>
      <c r="F71" s="278">
        <f>'SAP BW Actual Usage'!G40</f>
        <v>819</v>
      </c>
      <c r="G71" s="278">
        <f>'SAP BW Actual Usage'!H40</f>
        <v>848</v>
      </c>
      <c r="H71" s="278">
        <f>'SAP BW Actual Usage'!I40</f>
        <v>846</v>
      </c>
      <c r="I71" s="278">
        <f>'SAP BW Actual Usage'!J40</f>
        <v>849</v>
      </c>
      <c r="J71" s="278">
        <f>'SAP BW Actual Usage'!K40</f>
        <v>849</v>
      </c>
      <c r="K71" s="278">
        <f>'SAP BW Actual Usage'!L40</f>
        <v>836</v>
      </c>
      <c r="L71" s="278">
        <f>'SAP BW Actual Usage'!M40</f>
        <v>806</v>
      </c>
      <c r="M71" s="278">
        <f>'SAP BW Actual Usage'!N40</f>
        <v>808</v>
      </c>
    </row>
    <row r="72" spans="1:13">
      <c r="A72" s="179" t="s">
        <v>37</v>
      </c>
      <c r="B72" s="278">
        <f>'SAP BW Actual Usage'!C35</f>
        <v>13</v>
      </c>
      <c r="C72" s="278">
        <f>'SAP BW Actual Usage'!D35</f>
        <v>13</v>
      </c>
      <c r="D72" s="278">
        <f>'SAP BW Actual Usage'!E35</f>
        <v>13</v>
      </c>
      <c r="E72" s="278">
        <f>'SAP BW Actual Usage'!F35</f>
        <v>13</v>
      </c>
      <c r="F72" s="278">
        <f>'SAP BW Actual Usage'!G35</f>
        <v>13</v>
      </c>
      <c r="G72" s="278">
        <f>'SAP BW Actual Usage'!H35</f>
        <v>13</v>
      </c>
      <c r="H72" s="278">
        <f>'SAP BW Actual Usage'!I35</f>
        <v>13</v>
      </c>
      <c r="I72" s="278">
        <f>'SAP BW Actual Usage'!J35</f>
        <v>13</v>
      </c>
      <c r="J72" s="278">
        <f>'SAP BW Actual Usage'!K35</f>
        <v>13</v>
      </c>
      <c r="K72" s="278">
        <f>'SAP BW Actual Usage'!L35</f>
        <v>13</v>
      </c>
      <c r="L72" s="278">
        <f>'SAP BW Actual Usage'!M35</f>
        <v>13</v>
      </c>
      <c r="M72" s="278">
        <f>'SAP BW Actual Usage'!N35</f>
        <v>13</v>
      </c>
    </row>
    <row r="73" spans="1:13">
      <c r="A73" s="179" t="s">
        <v>5</v>
      </c>
      <c r="B73" s="278">
        <f>'SAP BW Actual Usage'!C42</f>
        <v>469</v>
      </c>
      <c r="C73" s="278">
        <f>'SAP BW Actual Usage'!D42</f>
        <v>467</v>
      </c>
      <c r="D73" s="278">
        <f>'SAP BW Actual Usage'!E42</f>
        <v>468</v>
      </c>
      <c r="E73" s="278">
        <f>'SAP BW Actual Usage'!F42</f>
        <v>470</v>
      </c>
      <c r="F73" s="278">
        <f>'SAP BW Actual Usage'!G42</f>
        <v>469</v>
      </c>
      <c r="G73" s="278">
        <f>'SAP BW Actual Usage'!H42</f>
        <v>470</v>
      </c>
      <c r="H73" s="278">
        <f>'SAP BW Actual Usage'!I42</f>
        <v>470</v>
      </c>
      <c r="I73" s="278">
        <f>'SAP BW Actual Usage'!J42</f>
        <v>469</v>
      </c>
      <c r="J73" s="278">
        <f>'SAP BW Actual Usage'!K42</f>
        <v>468</v>
      </c>
      <c r="K73" s="278">
        <f>'SAP BW Actual Usage'!L42</f>
        <v>469</v>
      </c>
      <c r="L73" s="278">
        <f>'SAP BW Actual Usage'!M42</f>
        <v>469</v>
      </c>
      <c r="M73" s="278">
        <f>'SAP BW Actual Usage'!N42</f>
        <v>468</v>
      </c>
    </row>
    <row r="74" spans="1:13">
      <c r="A74" s="179" t="s">
        <v>4</v>
      </c>
      <c r="B74" s="278">
        <f>'SAP BW Actual Usage'!C41</f>
        <v>533</v>
      </c>
      <c r="C74" s="278">
        <f>'SAP BW Actual Usage'!D41</f>
        <v>521</v>
      </c>
      <c r="D74" s="278">
        <f>'SAP BW Actual Usage'!E41</f>
        <v>529</v>
      </c>
      <c r="E74" s="278">
        <f>'SAP BW Actual Usage'!F41</f>
        <v>564</v>
      </c>
      <c r="F74" s="278">
        <f>'SAP BW Actual Usage'!G41</f>
        <v>629</v>
      </c>
      <c r="G74" s="278">
        <f>'SAP BW Actual Usage'!H41</f>
        <v>665</v>
      </c>
      <c r="H74" s="278">
        <f>'SAP BW Actual Usage'!I41</f>
        <v>687</v>
      </c>
      <c r="I74" s="278">
        <f>'SAP BW Actual Usage'!J41</f>
        <v>695</v>
      </c>
      <c r="J74" s="278">
        <f>'SAP BW Actual Usage'!K41</f>
        <v>683</v>
      </c>
      <c r="K74" s="278">
        <f>'SAP BW Actual Usage'!L41</f>
        <v>633</v>
      </c>
      <c r="L74" s="278">
        <f>'SAP BW Actual Usage'!M41</f>
        <v>554</v>
      </c>
      <c r="M74" s="278">
        <f>'SAP BW Actual Usage'!N41</f>
        <v>539</v>
      </c>
    </row>
    <row r="75" spans="1:13">
      <c r="A75" s="179" t="s">
        <v>22</v>
      </c>
      <c r="B75" s="278">
        <f>'SAP BW Actual Usage'!C44</f>
        <v>130</v>
      </c>
      <c r="C75" s="278">
        <f>'SAP BW Actual Usage'!D44</f>
        <v>128</v>
      </c>
      <c r="D75" s="278">
        <f>'SAP BW Actual Usage'!E44</f>
        <v>128</v>
      </c>
      <c r="E75" s="278">
        <f>'SAP BW Actual Usage'!F44</f>
        <v>128</v>
      </c>
      <c r="F75" s="278">
        <f>'SAP BW Actual Usage'!G44</f>
        <v>128</v>
      </c>
      <c r="G75" s="278">
        <f>'SAP BW Actual Usage'!H44</f>
        <v>128</v>
      </c>
      <c r="H75" s="278">
        <f>'SAP BW Actual Usage'!I44</f>
        <v>129</v>
      </c>
      <c r="I75" s="278">
        <f>'SAP BW Actual Usage'!J44</f>
        <v>129</v>
      </c>
      <c r="J75" s="278">
        <f>'SAP BW Actual Usage'!K44</f>
        <v>129</v>
      </c>
      <c r="K75" s="278">
        <f>'SAP BW Actual Usage'!L44</f>
        <v>129</v>
      </c>
      <c r="L75" s="278">
        <f>'SAP BW Actual Usage'!M44</f>
        <v>129</v>
      </c>
      <c r="M75" s="278">
        <f>'SAP BW Actual Usage'!N44</f>
        <v>127</v>
      </c>
    </row>
    <row r="76" spans="1:13">
      <c r="A76" s="180" t="s">
        <v>7</v>
      </c>
      <c r="B76" s="278">
        <f>'SAP BW Actual Usage'!C45</f>
        <v>157</v>
      </c>
      <c r="C76" s="278">
        <f>'SAP BW Actual Usage'!D45</f>
        <v>156</v>
      </c>
      <c r="D76" s="278">
        <f>'SAP BW Actual Usage'!E45</f>
        <v>156</v>
      </c>
      <c r="E76" s="278">
        <f>'SAP BW Actual Usage'!F45</f>
        <v>155</v>
      </c>
      <c r="F76" s="278">
        <f>'SAP BW Actual Usage'!G45</f>
        <v>155</v>
      </c>
      <c r="G76" s="278">
        <f>'SAP BW Actual Usage'!H45</f>
        <v>155</v>
      </c>
      <c r="H76" s="278">
        <f>'SAP BW Actual Usage'!I45</f>
        <v>155</v>
      </c>
      <c r="I76" s="278">
        <f>'SAP BW Actual Usage'!J45</f>
        <v>154</v>
      </c>
      <c r="J76" s="278">
        <f>'SAP BW Actual Usage'!K45</f>
        <v>154</v>
      </c>
      <c r="K76" s="278">
        <f>'SAP BW Actual Usage'!L45</f>
        <v>153</v>
      </c>
      <c r="L76" s="278">
        <f>'SAP BW Actual Usage'!M45</f>
        <v>153</v>
      </c>
      <c r="M76" s="278">
        <f>'SAP BW Actual Usage'!N45</f>
        <v>153</v>
      </c>
    </row>
    <row r="77" spans="1:13">
      <c r="A77" s="280" t="s">
        <v>25</v>
      </c>
      <c r="B77" s="278">
        <f>'SAP BW Actual Usage'!C32</f>
        <v>8</v>
      </c>
      <c r="C77" s="278">
        <f>'SAP BW Actual Usage'!D32</f>
        <v>8</v>
      </c>
      <c r="D77" s="278">
        <f>'SAP BW Actual Usage'!E32</f>
        <v>8</v>
      </c>
      <c r="E77" s="278">
        <f>'SAP BW Actual Usage'!F32</f>
        <v>8</v>
      </c>
      <c r="F77" s="278">
        <f>'SAP BW Actual Usage'!G32</f>
        <v>8</v>
      </c>
      <c r="G77" s="278">
        <f>'SAP BW Actual Usage'!H32</f>
        <v>8</v>
      </c>
      <c r="H77" s="278">
        <f>'SAP BW Actual Usage'!I32</f>
        <v>8</v>
      </c>
      <c r="I77" s="278">
        <f>'SAP BW Actual Usage'!J32</f>
        <v>8</v>
      </c>
      <c r="J77" s="278">
        <f>'SAP BW Actual Usage'!K32</f>
        <v>8</v>
      </c>
      <c r="K77" s="278">
        <f>'SAP BW Actual Usage'!L32</f>
        <v>8</v>
      </c>
      <c r="L77" s="278">
        <f>'SAP BW Actual Usage'!M32</f>
        <v>8</v>
      </c>
      <c r="M77" s="278">
        <f>'SAP BW Actual Usage'!N32</f>
        <v>8</v>
      </c>
    </row>
    <row r="78" spans="1:13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</row>
    <row r="79" spans="1:13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</row>
    <row r="80" spans="1:13">
      <c r="A80" s="317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1:13">
      <c r="A81" s="317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1:13">
      <c r="A82" s="317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1:13">
      <c r="A83" s="317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1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1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1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1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1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1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1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1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1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1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1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1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  <row r="108" spans="2:13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</row>
    <row r="109" spans="2:13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</row>
    <row r="110" spans="2:13"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</row>
    <row r="111" spans="2:13"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</row>
    <row r="112" spans="2:13"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</row>
    <row r="113" spans="2:13"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</row>
    <row r="114" spans="2:13"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</row>
    <row r="115" spans="2:13"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topLeftCell="A4" workbookViewId="0">
      <selection activeCell="D23" sqref="D23"/>
    </sheetView>
  </sheetViews>
  <sheetFormatPr defaultRowHeight="12.75"/>
  <cols>
    <col min="1" max="1" width="27.7109375" customWidth="1"/>
    <col min="2" max="14" width="16" customWidth="1"/>
  </cols>
  <sheetData>
    <row r="1" spans="1:26">
      <c r="A1" s="61" t="s">
        <v>39</v>
      </c>
    </row>
    <row r="2" spans="1:26">
      <c r="A2" s="61" t="s">
        <v>26</v>
      </c>
    </row>
    <row r="3" spans="1:26">
      <c r="A3" s="24"/>
    </row>
    <row r="4" spans="1:26">
      <c r="A4" s="104"/>
    </row>
    <row r="5" spans="1:2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6">
      <c r="A6" s="81" t="s">
        <v>23</v>
      </c>
    </row>
    <row r="7" spans="1:26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</row>
    <row r="8" spans="1:26">
      <c r="A8" s="91" t="s">
        <v>141</v>
      </c>
      <c r="B8" s="4">
        <f>'Actual Total Usage'!B8+'Temp Adj. by Schedule'!B8</f>
        <v>1320394279.1770399</v>
      </c>
      <c r="C8" s="4">
        <f>'Actual Total Usage'!C8+'Temp Adj. by Schedule'!C8</f>
        <v>1078333728.7120998</v>
      </c>
      <c r="D8" s="4">
        <f>'Actual Total Usage'!D8+'Temp Adj. by Schedule'!D8</f>
        <v>1124218304.0027621</v>
      </c>
      <c r="E8" s="4">
        <f>'Actual Total Usage'!E8+'Temp Adj. by Schedule'!E8</f>
        <v>940942939.63610566</v>
      </c>
      <c r="F8" s="4">
        <f>'Actual Total Usage'!F8+'Temp Adj. by Schedule'!F8</f>
        <v>790422195.92384124</v>
      </c>
      <c r="G8" s="4">
        <f>'Actual Total Usage'!G8+'Temp Adj. by Schedule'!G8</f>
        <v>657526523.12316096</v>
      </c>
      <c r="H8" s="4">
        <f>'Actual Total Usage'!H8+'Temp Adj. by Schedule'!H8</f>
        <v>619908539.63391411</v>
      </c>
      <c r="I8" s="4">
        <f>'Actual Total Usage'!I8+'Temp Adj. by Schedule'!I8</f>
        <v>708817121.99245119</v>
      </c>
      <c r="J8" s="4">
        <f>'Actual Total Usage'!J8+'Temp Adj. by Schedule'!J8</f>
        <v>684422400.77883577</v>
      </c>
      <c r="K8" s="4">
        <f>'Actual Total Usage'!K8+'Temp Adj. by Schedule'!K8</f>
        <v>697805194.90895128</v>
      </c>
      <c r="L8" s="4">
        <f>'Actual Total Usage'!L8+'Temp Adj. by Schedule'!L8</f>
        <v>899431999.71165597</v>
      </c>
      <c r="M8" s="4">
        <f>'Actual Total Usage'!M8+'Temp Adj. by Schedule'!M8</f>
        <v>1160576044.4485362</v>
      </c>
      <c r="N8" s="216">
        <f>SUM(B8:M8)</f>
        <v>10682799272.049355</v>
      </c>
    </row>
    <row r="9" spans="1:26">
      <c r="A9" s="84" t="s">
        <v>28</v>
      </c>
      <c r="B9" s="113">
        <f t="shared" ref="B9" si="0">SUM(B8:B8)</f>
        <v>1320394279.1770399</v>
      </c>
      <c r="C9" s="113">
        <f t="shared" ref="C9:M9" si="1">SUM(C8:C8)</f>
        <v>1078333728.7120998</v>
      </c>
      <c r="D9" s="113">
        <f t="shared" si="1"/>
        <v>1124218304.0027621</v>
      </c>
      <c r="E9" s="113">
        <f t="shared" si="1"/>
        <v>940942939.63610566</v>
      </c>
      <c r="F9" s="113">
        <f t="shared" si="1"/>
        <v>790422195.92384124</v>
      </c>
      <c r="G9" s="113">
        <f t="shared" si="1"/>
        <v>657526523.12316096</v>
      </c>
      <c r="H9" s="113">
        <f t="shared" si="1"/>
        <v>619908539.63391411</v>
      </c>
      <c r="I9" s="113">
        <f t="shared" si="1"/>
        <v>708817121.99245119</v>
      </c>
      <c r="J9" s="113">
        <f t="shared" si="1"/>
        <v>684422400.77883577</v>
      </c>
      <c r="K9" s="113">
        <f t="shared" si="1"/>
        <v>697805194.90895128</v>
      </c>
      <c r="L9" s="113">
        <f t="shared" si="1"/>
        <v>899431999.71165597</v>
      </c>
      <c r="M9" s="113">
        <f t="shared" si="1"/>
        <v>1160576044.4485362</v>
      </c>
      <c r="N9" s="217">
        <f>SUM(B9:M9)</f>
        <v>10682799272.049355</v>
      </c>
    </row>
    <row r="10" spans="1:26">
      <c r="A10" s="8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18"/>
    </row>
    <row r="11" spans="1:26">
      <c r="A11" s="91" t="s">
        <v>34</v>
      </c>
      <c r="B11" s="4">
        <f>'Actual Total Usage'!B11+'Temp Adj. by Schedule'!B11</f>
        <v>28780668.33896964</v>
      </c>
      <c r="C11" s="4">
        <f>'Actual Total Usage'!C11+'Temp Adj. by Schedule'!C11</f>
        <v>25028171.855850004</v>
      </c>
      <c r="D11" s="4">
        <f>'Actual Total Usage'!D11+'Temp Adj. by Schedule'!D11</f>
        <v>25228814.299781669</v>
      </c>
      <c r="E11" s="4">
        <f>'Actual Total Usage'!E11+'Temp Adj. by Schedule'!E11</f>
        <v>22036468.903320886</v>
      </c>
      <c r="F11" s="4">
        <f>'Actual Total Usage'!F11+'Temp Adj. by Schedule'!F11</f>
        <v>18711605.235942446</v>
      </c>
      <c r="G11" s="4">
        <f>'Actual Total Usage'!G11+'Temp Adj. by Schedule'!G11</f>
        <v>17641429.547000479</v>
      </c>
      <c r="H11" s="4">
        <f>'Actual Total Usage'!H11+'Temp Adj. by Schedule'!H11</f>
        <v>17075820.719392192</v>
      </c>
      <c r="I11" s="4">
        <f>'Actual Total Usage'!I11+'Temp Adj. by Schedule'!I11</f>
        <v>18435477.188207824</v>
      </c>
      <c r="J11" s="4">
        <f>'Actual Total Usage'!J11+'Temp Adj. by Schedule'!J11</f>
        <v>18062700.579819512</v>
      </c>
      <c r="K11" s="4">
        <f>'Actual Total Usage'!K11+'Temp Adj. by Schedule'!K11</f>
        <v>17571743.984820001</v>
      </c>
      <c r="L11" s="4">
        <f>'Actual Total Usage'!L11+'Temp Adj. by Schedule'!L11</f>
        <v>20125490.959465098</v>
      </c>
      <c r="M11" s="4">
        <f>'Actual Total Usage'!M11+'Temp Adj. by Schedule'!M11</f>
        <v>25415945.150993779</v>
      </c>
      <c r="N11" s="216">
        <f>SUM(B11:M11)</f>
        <v>254114336.76356351</v>
      </c>
    </row>
    <row r="12" spans="1:26" s="82" customFormat="1">
      <c r="A12" s="91" t="s">
        <v>138</v>
      </c>
      <c r="B12" s="114">
        <f>'Actual Total Usage'!B12+'Temp Adj. by Schedule'!B12</f>
        <v>250919598.64698005</v>
      </c>
      <c r="C12" s="114">
        <f>'Actual Total Usage'!C12+'Temp Adj. by Schedule'!C12</f>
        <v>219727932.76650223</v>
      </c>
      <c r="D12" s="114">
        <f>'Actual Total Usage'!D12+'Temp Adj. by Schedule'!D12</f>
        <v>225329966.42823523</v>
      </c>
      <c r="E12" s="114">
        <f>'Actual Total Usage'!E12+'Temp Adj. by Schedule'!E12</f>
        <v>201822273.12136173</v>
      </c>
      <c r="F12" s="114">
        <f>'Actual Total Usage'!F12+'Temp Adj. by Schedule'!F12</f>
        <v>187587536.31867349</v>
      </c>
      <c r="G12" s="114">
        <f>'Actual Total Usage'!G12+'Temp Adj. by Schedule'!G12</f>
        <v>183055452.84409633</v>
      </c>
      <c r="H12" s="114">
        <f>'Actual Total Usage'!H12+'Temp Adj. by Schedule'!H12</f>
        <v>182867539.07704678</v>
      </c>
      <c r="I12" s="114">
        <f>'Actual Total Usage'!I12+'Temp Adj. by Schedule'!I12</f>
        <v>203083532.66137359</v>
      </c>
      <c r="J12" s="114">
        <f>'Actual Total Usage'!J12+'Temp Adj. by Schedule'!J12</f>
        <v>196847147.45751238</v>
      </c>
      <c r="K12" s="114">
        <f>'Actual Total Usage'!K12+'Temp Adj. by Schedule'!K12</f>
        <v>182706409.68020734</v>
      </c>
      <c r="L12" s="114">
        <f>'Actual Total Usage'!L12+'Temp Adj. by Schedule'!L12</f>
        <v>196691908.60052264</v>
      </c>
      <c r="M12" s="114">
        <f>'Actual Total Usage'!M12+'Temp Adj. by Schedule'!M12</f>
        <v>223412585.28925735</v>
      </c>
      <c r="N12" s="88">
        <f>SUM(B12:M12)</f>
        <v>2454051882.8917694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84" t="s">
        <v>29</v>
      </c>
      <c r="B13" s="113">
        <f t="shared" ref="B13" si="2">SUM(B11:B12)</f>
        <v>279700266.9859497</v>
      </c>
      <c r="C13" s="113">
        <f t="shared" ref="C13:M13" si="3">SUM(C11:C12)</f>
        <v>244756104.62235224</v>
      </c>
      <c r="D13" s="113">
        <f t="shared" si="3"/>
        <v>250558780.72801691</v>
      </c>
      <c r="E13" s="113">
        <f t="shared" si="3"/>
        <v>223858742.02468261</v>
      </c>
      <c r="F13" s="113">
        <f t="shared" si="3"/>
        <v>206299141.55461594</v>
      </c>
      <c r="G13" s="113">
        <f t="shared" si="3"/>
        <v>200696882.3910968</v>
      </c>
      <c r="H13" s="113">
        <f t="shared" si="3"/>
        <v>199943359.79643896</v>
      </c>
      <c r="I13" s="113">
        <f t="shared" si="3"/>
        <v>221519009.84958142</v>
      </c>
      <c r="J13" s="113">
        <f t="shared" si="3"/>
        <v>214909848.03733188</v>
      </c>
      <c r="K13" s="113">
        <f t="shared" si="3"/>
        <v>200278153.66502735</v>
      </c>
      <c r="L13" s="113">
        <f t="shared" si="3"/>
        <v>216817399.55998772</v>
      </c>
      <c r="M13" s="113">
        <f t="shared" si="3"/>
        <v>248828530.44025111</v>
      </c>
      <c r="N13" s="217">
        <f>SUM(B13:M13)</f>
        <v>2708166219.6553326</v>
      </c>
    </row>
    <row r="14" spans="1:26">
      <c r="A14" s="8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16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>
      <c r="A15" s="91" t="s">
        <v>35</v>
      </c>
      <c r="B15" s="4">
        <f>'Actual Total Usage'!B15+'Temp Adj. by Schedule'!B15</f>
        <v>15529199.198221488</v>
      </c>
      <c r="C15" s="4">
        <f>'Actual Total Usage'!C15+'Temp Adj. by Schedule'!C15</f>
        <v>13165710.389131723</v>
      </c>
      <c r="D15" s="4">
        <f>'Actual Total Usage'!D15+'Temp Adj. by Schedule'!D15</f>
        <v>13738287.158233466</v>
      </c>
      <c r="E15" s="4">
        <f>'Actual Total Usage'!E15+'Temp Adj. by Schedule'!E15</f>
        <v>11988042.987313816</v>
      </c>
      <c r="F15" s="4">
        <f>'Actual Total Usage'!F15+'Temp Adj. by Schedule'!F15</f>
        <v>10864912.028744681</v>
      </c>
      <c r="G15" s="4">
        <f>'Actual Total Usage'!G15+'Temp Adj. by Schedule'!G15</f>
        <v>10165907.708229443</v>
      </c>
      <c r="H15" s="4">
        <f>'Actual Total Usage'!H15+'Temp Adj. by Schedule'!H15</f>
        <v>9874498.0019140001</v>
      </c>
      <c r="I15" s="4">
        <f>'Actual Total Usage'!I15+'Temp Adj. by Schedule'!I15</f>
        <v>12189317.846131999</v>
      </c>
      <c r="J15" s="4">
        <f>'Actual Total Usage'!J15+'Temp Adj. by Schedule'!J15</f>
        <v>10933338.289156444</v>
      </c>
      <c r="K15" s="4">
        <f>'Actual Total Usage'!K15+'Temp Adj. by Schedule'!K15</f>
        <v>10744885.295370486</v>
      </c>
      <c r="L15" s="4">
        <f>'Actual Total Usage'!L15+'Temp Adj. by Schedule'!L15</f>
        <v>11888392.145587232</v>
      </c>
      <c r="M15" s="4">
        <f>'Actual Total Usage'!M15+'Temp Adj. by Schedule'!M15</f>
        <v>14014436.330870893</v>
      </c>
      <c r="N15" s="216">
        <f>SUM(B15:M15)</f>
        <v>145096927.37890568</v>
      </c>
    </row>
    <row r="16" spans="1:26" s="82" customFormat="1">
      <c r="A16" s="91" t="s">
        <v>139</v>
      </c>
      <c r="B16" s="114">
        <f>'Actual Total Usage'!B16+'Temp Adj. by Schedule'!B16</f>
        <v>258824353.70384425</v>
      </c>
      <c r="C16" s="114">
        <f>'Actual Total Usage'!C16+'Temp Adj. by Schedule'!C16</f>
        <v>243709037.92383087</v>
      </c>
      <c r="D16" s="114">
        <f>'Actual Total Usage'!D16+'Temp Adj. by Schedule'!D16</f>
        <v>248847658.84751841</v>
      </c>
      <c r="E16" s="114">
        <f>'Actual Total Usage'!E16+'Temp Adj. by Schedule'!E16</f>
        <v>231943366.50533521</v>
      </c>
      <c r="F16" s="114">
        <f>'Actual Total Usage'!F16+'Temp Adj. by Schedule'!F16</f>
        <v>226633429.34085855</v>
      </c>
      <c r="G16" s="114">
        <f>'Actual Total Usage'!G16+'Temp Adj. by Schedule'!G16</f>
        <v>221575406.2924757</v>
      </c>
      <c r="H16" s="114">
        <f>'Actual Total Usage'!H16+'Temp Adj. by Schedule'!H16</f>
        <v>217732615.7825799</v>
      </c>
      <c r="I16" s="114">
        <f>'Actual Total Usage'!I16+'Temp Adj. by Schedule'!I16</f>
        <v>250657068.86068791</v>
      </c>
      <c r="J16" s="114">
        <f>'Actual Total Usage'!J16+'Temp Adj. by Schedule'!J16</f>
        <v>231511903.20892403</v>
      </c>
      <c r="K16" s="114">
        <f>'Actual Total Usage'!K16+'Temp Adj. by Schedule'!K16</f>
        <v>219347760.66610247</v>
      </c>
      <c r="L16" s="114">
        <f>'Actual Total Usage'!L16+'Temp Adj. by Schedule'!L16</f>
        <v>227836588.74990714</v>
      </c>
      <c r="M16" s="114">
        <f>'Actual Total Usage'!M16+'Temp Adj. by Schedule'!M16</f>
        <v>252944720.33329085</v>
      </c>
      <c r="N16" s="88">
        <f>SUM(B16:M16)</f>
        <v>2831563910.2153554</v>
      </c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4" t="s">
        <v>30</v>
      </c>
      <c r="B17" s="113">
        <f t="shared" ref="B17" si="4">SUM(B15:B16)</f>
        <v>274353552.90206575</v>
      </c>
      <c r="C17" s="113">
        <f t="shared" ref="C17:M17" si="5">SUM(C15:C16)</f>
        <v>256874748.31296259</v>
      </c>
      <c r="D17" s="113">
        <f t="shared" si="5"/>
        <v>262585946.00575188</v>
      </c>
      <c r="E17" s="113">
        <f t="shared" si="5"/>
        <v>243931409.49264902</v>
      </c>
      <c r="F17" s="113">
        <f t="shared" si="5"/>
        <v>237498341.36960322</v>
      </c>
      <c r="G17" s="113">
        <f t="shared" si="5"/>
        <v>231741314.00070515</v>
      </c>
      <c r="H17" s="113">
        <f t="shared" si="5"/>
        <v>227607113.78449389</v>
      </c>
      <c r="I17" s="113">
        <f t="shared" si="5"/>
        <v>262846386.70681992</v>
      </c>
      <c r="J17" s="113">
        <f t="shared" si="5"/>
        <v>242445241.49808046</v>
      </c>
      <c r="K17" s="113">
        <f t="shared" si="5"/>
        <v>230092645.96147296</v>
      </c>
      <c r="L17" s="113">
        <f t="shared" si="5"/>
        <v>239724980.89549437</v>
      </c>
      <c r="M17" s="113">
        <f t="shared" si="5"/>
        <v>266959156.66416174</v>
      </c>
      <c r="N17" s="217">
        <f>SUM(B17:M17)</f>
        <v>2976660837.5942612</v>
      </c>
    </row>
    <row r="18" spans="1:26">
      <c r="A18" s="85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16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>
      <c r="A19" s="91" t="s">
        <v>36</v>
      </c>
      <c r="B19" s="4">
        <f>'Actual Total Usage'!B19+'Temp Adj. by Schedule'!B19</f>
        <v>1756120.7444978333</v>
      </c>
      <c r="C19" s="4">
        <f>'Actual Total Usage'!C19+'Temp Adj. by Schedule'!C19</f>
        <v>1367185.0344933337</v>
      </c>
      <c r="D19" s="4">
        <f>'Actual Total Usage'!D19+'Temp Adj. by Schedule'!D19</f>
        <v>1534372.4430295001</v>
      </c>
      <c r="E19" s="4">
        <f>'Actual Total Usage'!E19+'Temp Adj. by Schedule'!E19</f>
        <v>1468096.2191311107</v>
      </c>
      <c r="F19" s="4">
        <f>'Actual Total Usage'!F19+'Temp Adj. by Schedule'!F19</f>
        <v>1176994.7110066945</v>
      </c>
      <c r="G19" s="4">
        <f>'Actual Total Usage'!G19+'Temp Adj. by Schedule'!G19</f>
        <v>958678.20868387504</v>
      </c>
      <c r="H19" s="4">
        <f>'Actual Total Usage'!H19+'Temp Adj. by Schedule'!H19</f>
        <v>1040528.8028658752</v>
      </c>
      <c r="I19" s="4">
        <f>'Actual Total Usage'!I19+'Temp Adj. by Schedule'!I19</f>
        <v>2151603.3071535002</v>
      </c>
      <c r="J19" s="4">
        <f>'Actual Total Usage'!J19+'Temp Adj. by Schedule'!J19</f>
        <v>1454109.6621590001</v>
      </c>
      <c r="K19" s="4">
        <f>'Actual Total Usage'!K19+'Temp Adj. by Schedule'!K19</f>
        <v>1205090.566143889</v>
      </c>
      <c r="L19" s="4">
        <f>'Actual Total Usage'!L19+'Temp Adj. by Schedule'!L19</f>
        <v>1325995.762846472</v>
      </c>
      <c r="M19" s="4">
        <f>'Actual Total Usage'!M19+'Temp Adj. by Schedule'!M19</f>
        <v>1552737.5495453335</v>
      </c>
      <c r="N19" s="216">
        <f>SUM(B19:M19)</f>
        <v>16991513.011556417</v>
      </c>
    </row>
    <row r="20" spans="1:26" s="82" customFormat="1">
      <c r="A20" s="91" t="s">
        <v>140</v>
      </c>
      <c r="B20" s="114">
        <f>'Actual Total Usage'!B20+'Temp Adj. by Schedule'!B20</f>
        <v>157045711.53359225</v>
      </c>
      <c r="C20" s="114">
        <f>'Actual Total Usage'!C20+'Temp Adj. by Schedule'!C20</f>
        <v>157288511.29756889</v>
      </c>
      <c r="D20" s="114">
        <f>'Actual Total Usage'!D20+'Temp Adj. by Schedule'!D20</f>
        <v>146458115.70528537</v>
      </c>
      <c r="E20" s="114">
        <f>'Actual Total Usage'!E20+'Temp Adj. by Schedule'!E20</f>
        <v>143320902.25470576</v>
      </c>
      <c r="F20" s="114">
        <f>'Actual Total Usage'!F20+'Temp Adj. by Schedule'!F20</f>
        <v>148661014.77249226</v>
      </c>
      <c r="G20" s="114">
        <f>'Actual Total Usage'!G20+'Temp Adj. by Schedule'!G20</f>
        <v>154809578.36397356</v>
      </c>
      <c r="H20" s="114">
        <f>'Actual Total Usage'!H20+'Temp Adj. by Schedule'!H20</f>
        <v>156652712.70632577</v>
      </c>
      <c r="I20" s="114">
        <f>'Actual Total Usage'!I20+'Temp Adj. by Schedule'!I20</f>
        <v>180920109.32521442</v>
      </c>
      <c r="J20" s="114">
        <f>'Actual Total Usage'!J20+'Temp Adj. by Schedule'!J20</f>
        <v>165911547.51740018</v>
      </c>
      <c r="K20" s="114">
        <f>'Actual Total Usage'!K20+'Temp Adj. by Schedule'!K20</f>
        <v>154886584.48134169</v>
      </c>
      <c r="L20" s="114">
        <f>'Actual Total Usage'!L20+'Temp Adj. by Schedule'!L20</f>
        <v>145892776.8348071</v>
      </c>
      <c r="M20" s="114">
        <f>'Actual Total Usage'!M20+'Temp Adj. by Schedule'!M20</f>
        <v>159398954.62732661</v>
      </c>
      <c r="N20" s="88">
        <f>SUM(B20:M20)</f>
        <v>1871246519.4200339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4" t="s">
        <v>31</v>
      </c>
      <c r="B21" s="113">
        <f t="shared" ref="B21" si="6">SUM(B19:B20)</f>
        <v>158801832.27809009</v>
      </c>
      <c r="C21" s="113">
        <f t="shared" ref="C21:M21" si="7">SUM(C19:C20)</f>
        <v>158655696.33206221</v>
      </c>
      <c r="D21" s="113">
        <f t="shared" si="7"/>
        <v>147992488.14831486</v>
      </c>
      <c r="E21" s="113">
        <f t="shared" si="7"/>
        <v>144788998.47383687</v>
      </c>
      <c r="F21" s="113">
        <f t="shared" si="7"/>
        <v>149838009.48349896</v>
      </c>
      <c r="G21" s="113">
        <f t="shared" si="7"/>
        <v>155768256.57265744</v>
      </c>
      <c r="H21" s="113">
        <f t="shared" si="7"/>
        <v>157693241.50919163</v>
      </c>
      <c r="I21" s="113">
        <f t="shared" si="7"/>
        <v>183071712.63236791</v>
      </c>
      <c r="J21" s="113">
        <f t="shared" si="7"/>
        <v>167365657.17955917</v>
      </c>
      <c r="K21" s="113">
        <f t="shared" si="7"/>
        <v>156091675.04748559</v>
      </c>
      <c r="L21" s="113">
        <f t="shared" si="7"/>
        <v>147218772.59765357</v>
      </c>
      <c r="M21" s="113">
        <f t="shared" si="7"/>
        <v>160951692.17687196</v>
      </c>
      <c r="N21" s="217">
        <f>SUM(B21:M21)</f>
        <v>1888238032.4315906</v>
      </c>
    </row>
    <row r="22" spans="1:26">
      <c r="A22" s="8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16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>
      <c r="A23" s="91" t="s">
        <v>37</v>
      </c>
      <c r="B23" s="4">
        <f>'Actual Total Usage'!B23+'Temp Adj. by Schedule'!B23</f>
        <v>3243210.8904656111</v>
      </c>
      <c r="C23" s="4">
        <f>'Actual Total Usage'!C23+'Temp Adj. by Schedule'!C23</f>
        <v>2526611.8578384728</v>
      </c>
      <c r="D23" s="4">
        <f>'Actual Total Usage'!D23+'Temp Adj. by Schedule'!D23</f>
        <v>2846258.7560822363</v>
      </c>
      <c r="E23" s="4">
        <f>'Actual Total Usage'!E23+'Temp Adj. by Schedule'!E23</f>
        <v>2513657.9177843886</v>
      </c>
      <c r="F23" s="4">
        <f>'Actual Total Usage'!F23+'Temp Adj. by Schedule'!F23</f>
        <v>2342711.4464104725</v>
      </c>
      <c r="G23" s="4">
        <f>'Actual Total Usage'!G23+'Temp Adj. by Schedule'!G23</f>
        <v>2295757.7896857224</v>
      </c>
      <c r="H23" s="4">
        <f>'Actual Total Usage'!H23+'Temp Adj. by Schedule'!H23</f>
        <v>2151455.4979550559</v>
      </c>
      <c r="I23" s="4">
        <f>'Actual Total Usage'!I23+'Temp Adj. by Schedule'!I23</f>
        <v>2295749.1186587778</v>
      </c>
      <c r="J23" s="4">
        <f>'Actual Total Usage'!J23+'Temp Adj. by Schedule'!J23</f>
        <v>2436107.4011051115</v>
      </c>
      <c r="K23" s="4">
        <f>'Actual Total Usage'!K23+'Temp Adj. by Schedule'!K23</f>
        <v>2307808.5011937502</v>
      </c>
      <c r="L23" s="4">
        <f>'Actual Total Usage'!L23+'Temp Adj. by Schedule'!L23</f>
        <v>1793600.1429161178</v>
      </c>
      <c r="M23" s="4">
        <f>'Actual Total Usage'!M23+'Temp Adj. by Schedule'!M23</f>
        <v>3447352.3866381389</v>
      </c>
      <c r="N23" s="216">
        <f>SUM(B23:M23)</f>
        <v>30200281.706733856</v>
      </c>
    </row>
    <row r="24" spans="1:26" s="82" customFormat="1">
      <c r="A24" s="91" t="s">
        <v>5</v>
      </c>
      <c r="B24" s="114">
        <f>'Actual Total Usage'!B24+'Temp Adj. by Schedule'!B24</f>
        <v>111835949.45404266</v>
      </c>
      <c r="C24" s="114">
        <f>'Actual Total Usage'!C24+'Temp Adj. by Schedule'!C24</f>
        <v>112130850.68851733</v>
      </c>
      <c r="D24" s="114">
        <f>'Actual Total Usage'!D24+'Temp Adj. by Schedule'!D24</f>
        <v>100943714.31451201</v>
      </c>
      <c r="E24" s="114">
        <f>'Actual Total Usage'!E24+'Temp Adj. by Schedule'!E24</f>
        <v>106310991.46796</v>
      </c>
      <c r="F24" s="114">
        <f>'Actual Total Usage'!F24+'Temp Adj. by Schedule'!F24</f>
        <v>103271054.85369386</v>
      </c>
      <c r="G24" s="114">
        <f>'Actual Total Usage'!G24+'Temp Adj. by Schedule'!G24</f>
        <v>100914089.2054618</v>
      </c>
      <c r="H24" s="114">
        <f>'Actual Total Usage'!H24+'Temp Adj. by Schedule'!H24</f>
        <v>105486880.00529514</v>
      </c>
      <c r="I24" s="114">
        <f>'Actual Total Usage'!I24+'Temp Adj. by Schedule'!I24</f>
        <v>111081220.92732847</v>
      </c>
      <c r="J24" s="114">
        <f>'Actual Total Usage'!J24+'Temp Adj. by Schedule'!J24</f>
        <v>108837105.78285001</v>
      </c>
      <c r="K24" s="114">
        <f>'Actual Total Usage'!K24+'Temp Adj. by Schedule'!K24</f>
        <v>100819429.34427465</v>
      </c>
      <c r="L24" s="114">
        <f>'Actual Total Usage'!L24+'Temp Adj. by Schedule'!L24</f>
        <v>96649777.52388978</v>
      </c>
      <c r="M24" s="114">
        <f>'Actual Total Usage'!M24+'Temp Adj. by Schedule'!M24</f>
        <v>108641851.72921602</v>
      </c>
      <c r="N24" s="88">
        <f>SUM(B24:M24)</f>
        <v>1266922915.2970419</v>
      </c>
    </row>
    <row r="25" spans="1:26">
      <c r="A25" s="84" t="s">
        <v>32</v>
      </c>
      <c r="B25" s="113">
        <f t="shared" ref="B25" si="8">SUM(B23:B24)</f>
        <v>115079160.34450828</v>
      </c>
      <c r="C25" s="113">
        <f t="shared" ref="C25:M25" si="9">SUM(C23:C24)</f>
        <v>114657462.5463558</v>
      </c>
      <c r="D25" s="113">
        <f t="shared" si="9"/>
        <v>103789973.07059425</v>
      </c>
      <c r="E25" s="113">
        <f t="shared" si="9"/>
        <v>108824649.38574439</v>
      </c>
      <c r="F25" s="113">
        <f t="shared" si="9"/>
        <v>105613766.30010433</v>
      </c>
      <c r="G25" s="113">
        <f t="shared" si="9"/>
        <v>103209846.99514753</v>
      </c>
      <c r="H25" s="113">
        <f t="shared" si="9"/>
        <v>107638335.5032502</v>
      </c>
      <c r="I25" s="113">
        <f t="shared" si="9"/>
        <v>113376970.04598725</v>
      </c>
      <c r="J25" s="113">
        <f t="shared" si="9"/>
        <v>111273213.18395512</v>
      </c>
      <c r="K25" s="113">
        <f t="shared" si="9"/>
        <v>103127237.8454684</v>
      </c>
      <c r="L25" s="113">
        <f t="shared" si="9"/>
        <v>98443377.666805893</v>
      </c>
      <c r="M25" s="113">
        <f t="shared" si="9"/>
        <v>112089204.11585416</v>
      </c>
      <c r="N25" s="217">
        <f>SUM(N23:N24)</f>
        <v>1297123197.0037758</v>
      </c>
    </row>
    <row r="26" spans="1:26">
      <c r="A26" s="8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16"/>
    </row>
    <row r="27" spans="1:26">
      <c r="A27" s="84" t="s">
        <v>4</v>
      </c>
      <c r="B27" s="4">
        <f>'Actual Total Usage'!B27+'Temp Adj. by Schedule'!B27</f>
        <v>269388.78899999999</v>
      </c>
      <c r="C27" s="4">
        <f>'Actual Total Usage'!C27+'Temp Adj. by Schedule'!C27</f>
        <v>276136.7</v>
      </c>
      <c r="D27" s="4">
        <f>'Actual Total Usage'!D27+'Temp Adj. by Schedule'!D27</f>
        <v>280808.11599999998</v>
      </c>
      <c r="E27" s="4">
        <f>'Actual Total Usage'!E27+'Temp Adj. by Schedule'!E27</f>
        <v>266694.74800000002</v>
      </c>
      <c r="F27" s="4">
        <f>'Actual Total Usage'!F27+'Temp Adj. by Schedule'!F27</f>
        <v>708710.26399999997</v>
      </c>
      <c r="G27" s="4">
        <f>'Actual Total Usage'!G27+'Temp Adj. by Schedule'!G27</f>
        <v>1878608.1170000001</v>
      </c>
      <c r="H27" s="4">
        <f>'Actual Total Usage'!H27+'Temp Adj. by Schedule'!H27</f>
        <v>3447384.53</v>
      </c>
      <c r="I27" s="4">
        <f>'Actual Total Usage'!I27+'Temp Adj. by Schedule'!I27</f>
        <v>4528357.2280000001</v>
      </c>
      <c r="J27" s="4">
        <f>'Actual Total Usage'!J27+'Temp Adj. by Schedule'!J27</f>
        <v>3435869.1839999999</v>
      </c>
      <c r="K27" s="4">
        <f>'Actual Total Usage'!K27+'Temp Adj. by Schedule'!K27</f>
        <v>1100229.371</v>
      </c>
      <c r="L27" s="4">
        <f>'Actual Total Usage'!L27+'Temp Adj. by Schedule'!L27</f>
        <v>309864.799</v>
      </c>
      <c r="M27" s="4">
        <f>'Actual Total Usage'!M27+'Temp Adj. by Schedule'!M27</f>
        <v>224088.198</v>
      </c>
      <c r="N27" s="216">
        <f t="shared" ref="N27:N30" si="10">SUM(B27:M27)</f>
        <v>16726140.044000002</v>
      </c>
    </row>
    <row r="28" spans="1:26">
      <c r="A28" s="84" t="s">
        <v>22</v>
      </c>
      <c r="B28" s="4">
        <f>'Actual Total Usage'!B28+'Temp Adj. by Schedule'!B28</f>
        <v>46107288.461917505</v>
      </c>
      <c r="C28" s="4">
        <f>'Actual Total Usage'!C28+'Temp Adj. by Schedule'!C28</f>
        <v>43720612.311344005</v>
      </c>
      <c r="D28" s="4">
        <f>'Actual Total Usage'!D28+'Temp Adj. by Schedule'!D28</f>
        <v>44485677.91158133</v>
      </c>
      <c r="E28" s="4">
        <f>'Actual Total Usage'!E28+'Temp Adj. by Schedule'!E28</f>
        <v>42613773.536296003</v>
      </c>
      <c r="F28" s="4">
        <f>'Actual Total Usage'!F28+'Temp Adj. by Schedule'!F28</f>
        <v>42100069.489929773</v>
      </c>
      <c r="G28" s="4">
        <f>'Actual Total Usage'!G28+'Temp Adj. by Schedule'!G28</f>
        <v>36294692.301524445</v>
      </c>
      <c r="H28" s="4">
        <f>'Actual Total Usage'!H28+'Temp Adj. by Schedule'!H28</f>
        <v>47324977.0127123</v>
      </c>
      <c r="I28" s="4">
        <f>'Actual Total Usage'!I28+'Temp Adj. by Schedule'!I28</f>
        <v>45964898.204942085</v>
      </c>
      <c r="J28" s="4">
        <f>'Actual Total Usage'!J28+'Temp Adj. by Schedule'!J28</f>
        <v>43491156.829380833</v>
      </c>
      <c r="K28" s="4">
        <f>'Actual Total Usage'!K28+'Temp Adj. by Schedule'!K28</f>
        <v>35159125.522603251</v>
      </c>
      <c r="L28" s="4">
        <f>'Actual Total Usage'!L28+'Temp Adj. by Schedule'!L28</f>
        <v>47479767.463204876</v>
      </c>
      <c r="M28" s="4">
        <f>'Actual Total Usage'!M28+'Temp Adj. by Schedule'!M28</f>
        <v>42620914.338069752</v>
      </c>
      <c r="N28" s="216">
        <f t="shared" si="10"/>
        <v>517362953.38350618</v>
      </c>
    </row>
    <row r="29" spans="1:26" s="93" customFormat="1">
      <c r="A29" s="96" t="s">
        <v>7</v>
      </c>
      <c r="B29" s="4">
        <f>'Actual Total Usage'!B29+'Temp Adj. by Schedule'!B29</f>
        <v>16135887.624979556</v>
      </c>
      <c r="C29" s="4">
        <f>'Actual Total Usage'!C29+'Temp Adj. by Schedule'!C29</f>
        <v>12488203.885918338</v>
      </c>
      <c r="D29" s="4">
        <f>'Actual Total Usage'!D29+'Temp Adj. by Schedule'!D29</f>
        <v>14883732.220817167</v>
      </c>
      <c r="E29" s="4">
        <f>'Actual Total Usage'!E29+'Temp Adj. by Schedule'!E29</f>
        <v>12390292.650166387</v>
      </c>
      <c r="F29" s="4">
        <f>'Actual Total Usage'!F29+'Temp Adj. by Schedule'!F29</f>
        <v>10114283.391297085</v>
      </c>
      <c r="G29" s="4">
        <f>'Actual Total Usage'!G29+'Temp Adj. by Schedule'!G29</f>
        <v>8171763.5611658329</v>
      </c>
      <c r="H29" s="4">
        <f>'Actual Total Usage'!H29+'Temp Adj. by Schedule'!H29</f>
        <v>6020139.4618858341</v>
      </c>
      <c r="I29" s="4">
        <f>'Actual Total Usage'!I29+'Temp Adj. by Schedule'!I29</f>
        <v>5401682.5063993335</v>
      </c>
      <c r="J29" s="4">
        <f>'Actual Total Usage'!J29+'Temp Adj. by Schedule'!J29</f>
        <v>5771455.4030173328</v>
      </c>
      <c r="K29" s="4">
        <f>'Actual Total Usage'!K29+'Temp Adj. by Schedule'!K29</f>
        <v>8125262.4549187506</v>
      </c>
      <c r="L29" s="4">
        <f>'Actual Total Usage'!L29+'Temp Adj. by Schedule'!L29</f>
        <v>10099571.836292312</v>
      </c>
      <c r="M29" s="4">
        <f>'Actual Total Usage'!M29+'Temp Adj. by Schedule'!M29</f>
        <v>13941744.829692751</v>
      </c>
      <c r="N29" s="219">
        <f t="shared" si="10"/>
        <v>123544019.82655069</v>
      </c>
    </row>
    <row r="30" spans="1:26">
      <c r="A30" s="90" t="s">
        <v>50</v>
      </c>
      <c r="B30" s="4">
        <f>'Actual Total Usage'!B30+'Temp Adj. by Schedule'!B30</f>
        <v>1032744.9574701111</v>
      </c>
      <c r="C30" s="4">
        <f>'Actual Total Usage'!C30+'Temp Adj. by Schedule'!C30</f>
        <v>876085.20340055565</v>
      </c>
      <c r="D30" s="4">
        <f>'Actual Total Usage'!D30+'Temp Adj. by Schedule'!D30</f>
        <v>945454.4209459445</v>
      </c>
      <c r="E30" s="4">
        <f>'Actual Total Usage'!E30+'Temp Adj. by Schedule'!E30</f>
        <v>785212.87370111095</v>
      </c>
      <c r="F30" s="4">
        <f>'Actual Total Usage'!F30+'Temp Adj. by Schedule'!F30</f>
        <v>621262.87176566676</v>
      </c>
      <c r="G30" s="4">
        <f>'Actual Total Usage'!G30+'Temp Adj. by Schedule'!G30</f>
        <v>386985.84671727777</v>
      </c>
      <c r="H30" s="4">
        <f>'Actual Total Usage'!H30+'Temp Adj. by Schedule'!H30</f>
        <v>309908.73145594448</v>
      </c>
      <c r="I30" s="4">
        <f>'Actual Total Usage'!I30+'Temp Adj. by Schedule'!I30</f>
        <v>281804.46555922221</v>
      </c>
      <c r="J30" s="4">
        <f>'Actual Total Usage'!J30+'Temp Adj. by Schedule'!J30</f>
        <v>298769.78542688891</v>
      </c>
      <c r="K30" s="4">
        <f>'Actual Total Usage'!K30+'Temp Adj. by Schedule'!K30</f>
        <v>358756.34137555561</v>
      </c>
      <c r="L30" s="4">
        <f>'Actual Total Usage'!L30+'Temp Adj. by Schedule'!L30</f>
        <v>543748.43733811099</v>
      </c>
      <c r="M30" s="4">
        <f>'Actual Total Usage'!M30+'Temp Adj. by Schedule'!M30</f>
        <v>803571.54918188904</v>
      </c>
      <c r="N30" s="216">
        <f t="shared" si="10"/>
        <v>7244305.484338277</v>
      </c>
    </row>
    <row r="31" spans="1:26">
      <c r="A31" s="8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18"/>
    </row>
    <row r="32" spans="1:26" s="85" customFormat="1">
      <c r="A32" s="90" t="s">
        <v>19</v>
      </c>
      <c r="B32" s="113">
        <f t="shared" ref="B32:N32" si="11">SUM(B9,B13,B17,B21,B25,B27:B30)</f>
        <v>2211874401.5210204</v>
      </c>
      <c r="C32" s="113">
        <f t="shared" si="11"/>
        <v>1910638778.6264956</v>
      </c>
      <c r="D32" s="113">
        <f t="shared" si="11"/>
        <v>1949741164.6247842</v>
      </c>
      <c r="E32" s="113">
        <f t="shared" si="11"/>
        <v>1718402712.8211818</v>
      </c>
      <c r="F32" s="113">
        <f t="shared" si="11"/>
        <v>1543215780.6486561</v>
      </c>
      <c r="G32" s="113">
        <f t="shared" si="11"/>
        <v>1395674872.9091754</v>
      </c>
      <c r="H32" s="113">
        <f t="shared" si="11"/>
        <v>1369892999.9633429</v>
      </c>
      <c r="I32" s="113">
        <f t="shared" si="11"/>
        <v>1545807943.6321082</v>
      </c>
      <c r="J32" s="113">
        <f t="shared" si="11"/>
        <v>1473413611.8795874</v>
      </c>
      <c r="K32" s="113">
        <f t="shared" si="11"/>
        <v>1432138281.1183035</v>
      </c>
      <c r="L32" s="113">
        <f t="shared" si="11"/>
        <v>1660069482.967433</v>
      </c>
      <c r="M32" s="113">
        <f t="shared" si="11"/>
        <v>2006994946.7606196</v>
      </c>
      <c r="N32" s="217">
        <f t="shared" si="11"/>
        <v>20217864977.472706</v>
      </c>
      <c r="O32" s="86"/>
    </row>
    <row r="33" spans="1:15" s="85" customFormat="1">
      <c r="A33" s="90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</row>
    <row r="34" spans="1:15">
      <c r="A34" t="s">
        <v>42</v>
      </c>
      <c r="B34" s="79">
        <f>IF(B32=0,0,B32/'Actual Total Usage'!B32-1)</f>
        <v>4.4303508724958141E-2</v>
      </c>
      <c r="C34" s="79">
        <f>IF(C32=0,0,C32/'Actual Total Usage'!C32-1)</f>
        <v>-2.870087159462853E-2</v>
      </c>
      <c r="D34" s="79">
        <f>IF(D32=0,0,D32/'Actual Total Usage'!D32-1)</f>
        <v>2.9971270496127467E-3</v>
      </c>
      <c r="E34" s="79">
        <f>IF(E32=0,0,E32/'Actual Total Usage'!E32-1)</f>
        <v>1.1163694392083423E-2</v>
      </c>
      <c r="F34" s="79">
        <f>IF(F32=0,0,F32/'Actual Total Usage'!F32-1)</f>
        <v>3.4603656125186344E-2</v>
      </c>
      <c r="G34" s="79">
        <f>IF(G32=0,0,G32/'Actual Total Usage'!G32-1)</f>
        <v>-6.4076883673135354E-3</v>
      </c>
      <c r="H34" s="79">
        <f>IF(H32=0,0,H32/'Actual Total Usage'!H32-1)</f>
        <v>-5.3779551699276729E-2</v>
      </c>
      <c r="I34" s="79">
        <f>IF(I32=0,0,I32/'Actual Total Usage'!I32-1)</f>
        <v>-2.5797493372476832E-2</v>
      </c>
      <c r="J34" s="79">
        <f>IF(J32=0,0,J32/'Actual Total Usage'!J32-1)</f>
        <v>4.2696520143206129E-3</v>
      </c>
      <c r="K34" s="79">
        <f>IF(K32=0,0,K32/'Actual Total Usage'!K32-1)</f>
        <v>8.3982316227515508E-3</v>
      </c>
      <c r="L34" s="79">
        <f>IF(L32=0,0,L32/'Actual Total Usage'!L32-1)</f>
        <v>4.3630172583813742E-2</v>
      </c>
      <c r="M34" s="79">
        <f>IF(M32=0,0,M32/'Actual Total Usage'!M32-1)</f>
        <v>4.9063972998541594E-2</v>
      </c>
      <c r="N34" s="79">
        <f>N32/'Actual Total Usage'!N32-1</f>
        <v>8.3517616704615882E-3</v>
      </c>
    </row>
    <row r="35" spans="1:1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5">
      <c r="A36" s="81" t="s">
        <v>33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5">
      <c r="A37" s="61" t="s">
        <v>24</v>
      </c>
      <c r="B37" s="57">
        <f t="shared" ref="B37:M37" si="12">B7</f>
        <v>43101</v>
      </c>
      <c r="C37" s="57">
        <f t="shared" si="12"/>
        <v>43132</v>
      </c>
      <c r="D37" s="57">
        <f t="shared" si="12"/>
        <v>43160</v>
      </c>
      <c r="E37" s="57">
        <f t="shared" si="12"/>
        <v>43191</v>
      </c>
      <c r="F37" s="57">
        <f t="shared" si="12"/>
        <v>43221</v>
      </c>
      <c r="G37" s="57">
        <f t="shared" si="12"/>
        <v>43252</v>
      </c>
      <c r="H37" s="57">
        <f t="shared" si="12"/>
        <v>43282</v>
      </c>
      <c r="I37" s="57">
        <f t="shared" si="12"/>
        <v>43313</v>
      </c>
      <c r="J37" s="57">
        <f t="shared" si="12"/>
        <v>43344</v>
      </c>
      <c r="K37" s="57">
        <f t="shared" si="12"/>
        <v>43374</v>
      </c>
      <c r="L37" s="57">
        <f t="shared" si="12"/>
        <v>43405</v>
      </c>
      <c r="M37" s="57">
        <f t="shared" si="12"/>
        <v>43435</v>
      </c>
      <c r="N37" s="80" t="s">
        <v>18</v>
      </c>
    </row>
    <row r="38" spans="1:15">
      <c r="A38" s="62" t="s">
        <v>20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5">
      <c r="A39" s="62" t="s">
        <v>38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5">
      <c r="A40" s="62" t="s">
        <v>6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5">
      <c r="A41" s="6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5">
      <c r="A42" s="90" t="s">
        <v>19</v>
      </c>
      <c r="B42" s="113">
        <f t="shared" ref="B42:N42" si="13">SUM(B38:B40)</f>
        <v>57763059.387000002</v>
      </c>
      <c r="C42" s="113">
        <f t="shared" si="13"/>
        <v>89753589.912</v>
      </c>
      <c r="D42" s="113">
        <f t="shared" si="13"/>
        <v>22183369.438000001</v>
      </c>
      <c r="E42" s="113">
        <f t="shared" si="13"/>
        <v>58640071.186999999</v>
      </c>
      <c r="F42" s="113">
        <f t="shared" si="13"/>
        <v>57444231.626999997</v>
      </c>
      <c r="G42" s="113">
        <f t="shared" si="13"/>
        <v>60327916.325000003</v>
      </c>
      <c r="H42" s="113">
        <f t="shared" si="13"/>
        <v>60674303.888999991</v>
      </c>
      <c r="I42" s="113">
        <f t="shared" si="13"/>
        <v>57761000.374000005</v>
      </c>
      <c r="J42" s="113">
        <f t="shared" si="13"/>
        <v>66111695.027000003</v>
      </c>
      <c r="K42" s="113">
        <f t="shared" si="13"/>
        <v>57822383.287</v>
      </c>
      <c r="L42" s="113">
        <f t="shared" si="13"/>
        <v>58238820.746000007</v>
      </c>
      <c r="M42" s="113">
        <f t="shared" si="13"/>
        <v>45603155.259000003</v>
      </c>
      <c r="N42" s="113">
        <f t="shared" si="13"/>
        <v>692323596.45799994</v>
      </c>
    </row>
    <row r="43" spans="1:15">
      <c r="A43" s="2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5">
      <c r="A44" s="2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5" s="89" customFormat="1" ht="13.5" thickBot="1">
      <c r="A45" s="87" t="s">
        <v>21</v>
      </c>
      <c r="B45" s="112">
        <f t="shared" ref="B45:N45" si="14">B42+B32</f>
        <v>2269637460.9080205</v>
      </c>
      <c r="C45" s="112">
        <f t="shared" si="14"/>
        <v>2000392368.5384955</v>
      </c>
      <c r="D45" s="112">
        <f t="shared" si="14"/>
        <v>1971924534.0627842</v>
      </c>
      <c r="E45" s="112">
        <f t="shared" si="14"/>
        <v>1777042784.0081818</v>
      </c>
      <c r="F45" s="112">
        <f t="shared" si="14"/>
        <v>1600660012.2756562</v>
      </c>
      <c r="G45" s="112">
        <f t="shared" si="14"/>
        <v>1456002789.2341754</v>
      </c>
      <c r="H45" s="112">
        <f t="shared" si="14"/>
        <v>1430567303.8523428</v>
      </c>
      <c r="I45" s="112">
        <f t="shared" si="14"/>
        <v>1603568944.0061083</v>
      </c>
      <c r="J45" s="112">
        <f t="shared" si="14"/>
        <v>1539525306.9065874</v>
      </c>
      <c r="K45" s="112">
        <f t="shared" si="14"/>
        <v>1489960664.4053035</v>
      </c>
      <c r="L45" s="112">
        <f t="shared" si="14"/>
        <v>1718308303.713433</v>
      </c>
      <c r="M45" s="112">
        <f t="shared" si="14"/>
        <v>2052598102.0196197</v>
      </c>
      <c r="N45" s="112">
        <f t="shared" si="14"/>
        <v>20910188573.930706</v>
      </c>
    </row>
    <row r="46" spans="1:15" ht="15.75" thickTop="1">
      <c r="A46" s="24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5">
      <c r="B47" s="278"/>
      <c r="C47" s="278"/>
      <c r="D47" s="278"/>
      <c r="E47" s="278"/>
      <c r="F47" s="278"/>
      <c r="G47" s="278"/>
      <c r="H47" s="278"/>
      <c r="I47" s="278"/>
    </row>
    <row r="48" spans="1:15">
      <c r="B48" s="278"/>
      <c r="C48" s="278"/>
      <c r="D48" s="278"/>
      <c r="E48" s="278"/>
      <c r="F48" s="278"/>
      <c r="G48" s="278"/>
      <c r="H48" s="278"/>
      <c r="I48" s="278"/>
    </row>
    <row r="49" spans="2:9">
      <c r="B49" s="278"/>
      <c r="C49" s="278"/>
      <c r="D49" s="278"/>
      <c r="E49" s="278"/>
      <c r="F49" s="278"/>
      <c r="G49" s="278"/>
      <c r="H49" s="278"/>
      <c r="I49" s="278"/>
    </row>
    <row r="50" spans="2:9">
      <c r="B50" s="278"/>
      <c r="C50" s="278"/>
      <c r="D50" s="278"/>
      <c r="E50" s="278"/>
      <c r="F50" s="278"/>
      <c r="G50" s="278"/>
      <c r="H50" s="278"/>
      <c r="I50" s="278"/>
    </row>
    <row r="51" spans="2:9">
      <c r="B51" s="278"/>
      <c r="C51" s="278"/>
      <c r="D51" s="278"/>
      <c r="E51" s="278"/>
      <c r="F51" s="278"/>
      <c r="G51" s="278"/>
      <c r="H51" s="278"/>
      <c r="I51" s="278"/>
    </row>
    <row r="52" spans="2:9">
      <c r="B52" s="278"/>
      <c r="C52" s="278"/>
      <c r="D52" s="278"/>
      <c r="E52" s="278"/>
      <c r="F52" s="278"/>
      <c r="G52" s="278"/>
      <c r="H52" s="278"/>
      <c r="I52" s="278"/>
    </row>
    <row r="54" spans="2:9">
      <c r="B54" s="278"/>
      <c r="C54" s="278"/>
      <c r="D54" s="278"/>
      <c r="E54" s="278"/>
      <c r="F54" s="278"/>
      <c r="G54" s="278"/>
      <c r="H54" s="278"/>
      <c r="I54" s="278"/>
    </row>
    <row r="55" spans="2:9">
      <c r="B55" s="278"/>
      <c r="C55" s="278"/>
      <c r="D55" s="278"/>
      <c r="E55" s="278"/>
      <c r="F55" s="278"/>
      <c r="G55" s="278"/>
      <c r="H55" s="278"/>
      <c r="I55" s="278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1" t="s">
        <v>27</v>
      </c>
    </row>
    <row r="2" spans="1:28">
      <c r="A2" s="61" t="s">
        <v>26</v>
      </c>
    </row>
    <row r="3" spans="1:28">
      <c r="A3" s="85" t="s">
        <v>154</v>
      </c>
    </row>
    <row r="4" spans="1:28">
      <c r="A4" s="104" t="s">
        <v>51</v>
      </c>
    </row>
    <row r="5" spans="1:28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8">
      <c r="A6" s="81" t="s">
        <v>23</v>
      </c>
    </row>
    <row r="7" spans="1:28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</row>
    <row r="8" spans="1:28">
      <c r="A8" s="91" t="s">
        <v>141</v>
      </c>
      <c r="B8" s="59">
        <f>'SAP BW Actual Usage'!C9</f>
        <v>1245600497.118</v>
      </c>
      <c r="C8" s="59">
        <f>'SAP BW Actual Usage'!D9</f>
        <v>1123202830.28</v>
      </c>
      <c r="D8" s="59">
        <f>'SAP BW Actual Usage'!E9</f>
        <v>1119823626.9689999</v>
      </c>
      <c r="E8" s="59">
        <f>'SAP BW Actual Usage'!F9</f>
        <v>924598024.89300001</v>
      </c>
      <c r="F8" s="59">
        <f>'SAP BW Actual Usage'!G9</f>
        <v>741369503.04700005</v>
      </c>
      <c r="G8" s="59">
        <f>'SAP BW Actual Usage'!H9</f>
        <v>663353185.37899995</v>
      </c>
      <c r="H8" s="59">
        <f>'SAP BW Actual Usage'!I9</f>
        <v>670337023.352</v>
      </c>
      <c r="I8" s="59">
        <f>'SAP BW Actual Usage'!J9</f>
        <v>735328695.551</v>
      </c>
      <c r="J8" s="59">
        <f>'SAP BW Actual Usage'!K9</f>
        <v>680363495.79100001</v>
      </c>
      <c r="K8" s="59">
        <f>'SAP BW Actual Usage'!L9</f>
        <v>687720733.88199997</v>
      </c>
      <c r="L8" s="59">
        <f>'SAP BW Actual Usage'!M9</f>
        <v>842221071.13300002</v>
      </c>
      <c r="M8" s="59">
        <f>'SAP BW Actual Usage'!N9</f>
        <v>1085744611.6700001</v>
      </c>
      <c r="N8" s="216">
        <f t="shared" ref="N8:N9" si="0">SUM(B8:M8)</f>
        <v>10519663299.064999</v>
      </c>
    </row>
    <row r="9" spans="1:28">
      <c r="A9" s="84" t="s">
        <v>28</v>
      </c>
      <c r="B9" s="111">
        <f t="shared" ref="B9:M9" si="1">SUM(B8:B8)</f>
        <v>1245600497.118</v>
      </c>
      <c r="C9" s="111">
        <f t="shared" si="1"/>
        <v>1123202830.28</v>
      </c>
      <c r="D9" s="111">
        <f t="shared" si="1"/>
        <v>1119823626.9689999</v>
      </c>
      <c r="E9" s="111">
        <f t="shared" si="1"/>
        <v>924598024.89300001</v>
      </c>
      <c r="F9" s="111">
        <f t="shared" si="1"/>
        <v>741369503.04700005</v>
      </c>
      <c r="G9" s="111">
        <f t="shared" si="1"/>
        <v>663353185.37899995</v>
      </c>
      <c r="H9" s="111">
        <f t="shared" si="1"/>
        <v>670337023.352</v>
      </c>
      <c r="I9" s="111">
        <f t="shared" si="1"/>
        <v>735328695.551</v>
      </c>
      <c r="J9" s="111">
        <f t="shared" si="1"/>
        <v>680363495.79100001</v>
      </c>
      <c r="K9" s="111">
        <f t="shared" si="1"/>
        <v>687720733.88199997</v>
      </c>
      <c r="L9" s="111">
        <f t="shared" si="1"/>
        <v>842221071.13300002</v>
      </c>
      <c r="M9" s="111">
        <f t="shared" si="1"/>
        <v>1085744611.6700001</v>
      </c>
      <c r="N9" s="217">
        <f t="shared" si="0"/>
        <v>10519663299.064999</v>
      </c>
    </row>
    <row r="10" spans="1:28">
      <c r="A10" s="85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18"/>
    </row>
    <row r="11" spans="1:28">
      <c r="A11" s="91" t="s">
        <v>34</v>
      </c>
      <c r="B11" s="59">
        <f>'SAP BW Actual Usage'!C10</f>
        <v>27592309.217</v>
      </c>
      <c r="C11" s="59">
        <f>'SAP BW Actual Usage'!D10</f>
        <v>25743291.204</v>
      </c>
      <c r="D11" s="59">
        <f>'SAP BW Actual Usage'!E10</f>
        <v>25148347.254999999</v>
      </c>
      <c r="E11" s="59">
        <f>'SAP BW Actual Usage'!F10</f>
        <v>21812218.140000001</v>
      </c>
      <c r="F11" s="59">
        <f>'SAP BW Actual Usage'!G10</f>
        <v>18056250.261</v>
      </c>
      <c r="G11" s="59">
        <f>'SAP BW Actual Usage'!H10</f>
        <v>17691476.054000001</v>
      </c>
      <c r="H11" s="59">
        <f>'SAP BW Actual Usage'!I10</f>
        <v>17509270.335000001</v>
      </c>
      <c r="I11" s="59">
        <f>'SAP BW Actual Usage'!J10</f>
        <v>18663334.009</v>
      </c>
      <c r="J11" s="59">
        <f>'SAP BW Actual Usage'!K10</f>
        <v>18027881.932</v>
      </c>
      <c r="K11" s="59">
        <f>'SAP BW Actual Usage'!L10</f>
        <v>17435796.017000001</v>
      </c>
      <c r="L11" s="59">
        <f>'SAP BW Actual Usage'!M10</f>
        <v>19283903.647999998</v>
      </c>
      <c r="M11" s="59">
        <f>'SAP BW Actual Usage'!N10</f>
        <v>24238708.647999998</v>
      </c>
      <c r="N11" s="216">
        <f>SUM(B11:M11)</f>
        <v>251202786.72</v>
      </c>
    </row>
    <row r="12" spans="1:28" s="82" customFormat="1">
      <c r="A12" s="91" t="s">
        <v>138</v>
      </c>
      <c r="B12" s="86">
        <f>'SAP BW Actual Usage'!C14</f>
        <v>242459951.23099998</v>
      </c>
      <c r="C12" s="86">
        <f>'SAP BW Actual Usage'!D14</f>
        <v>224867111.17699999</v>
      </c>
      <c r="D12" s="86">
        <f>'SAP BW Actual Usage'!E14</f>
        <v>224646384.82399997</v>
      </c>
      <c r="E12" s="86">
        <f>'SAP BW Actual Usage'!F14</f>
        <v>200580672.93099999</v>
      </c>
      <c r="F12" s="86">
        <f>'SAP BW Actual Usage'!G14</f>
        <v>185648102.40099999</v>
      </c>
      <c r="G12" s="86">
        <f>'SAP BW Actual Usage'!H14</f>
        <v>184134839.60699996</v>
      </c>
      <c r="H12" s="86">
        <f>'SAP BW Actual Usage'!I14</f>
        <v>192213327.93900001</v>
      </c>
      <c r="I12" s="86">
        <f>'SAP BW Actual Usage'!J14</f>
        <v>207997878.27999997</v>
      </c>
      <c r="J12" s="86">
        <f>'SAP BW Actual Usage'!K14</f>
        <v>196094959.572</v>
      </c>
      <c r="K12" s="86">
        <f>'SAP BW Actual Usage'!L14</f>
        <v>181974725.954</v>
      </c>
      <c r="L12" s="86">
        <f>'SAP BW Actual Usage'!M14</f>
        <v>191312326.59699997</v>
      </c>
      <c r="M12" s="86">
        <f>'SAP BW Actual Usage'!N14</f>
        <v>215036493.13100001</v>
      </c>
      <c r="N12" s="218">
        <f>SUM(B12:M12)</f>
        <v>2446966773.6439996</v>
      </c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11">
        <f>SUM(B11:B12)</f>
        <v>270052260.44799995</v>
      </c>
      <c r="C13" s="111">
        <f t="shared" ref="C13:M13" si="2">SUM(C11:C12)</f>
        <v>250610402.38099998</v>
      </c>
      <c r="D13" s="111">
        <f t="shared" si="2"/>
        <v>249794732.07899997</v>
      </c>
      <c r="E13" s="111">
        <f t="shared" si="2"/>
        <v>222392891.07099998</v>
      </c>
      <c r="F13" s="111">
        <f t="shared" si="2"/>
        <v>203704352.662</v>
      </c>
      <c r="G13" s="111">
        <f t="shared" si="2"/>
        <v>201826315.66099995</v>
      </c>
      <c r="H13" s="111">
        <f t="shared" si="2"/>
        <v>209722598.27400002</v>
      </c>
      <c r="I13" s="111">
        <f t="shared" si="2"/>
        <v>226661212.28899997</v>
      </c>
      <c r="J13" s="111">
        <f t="shared" si="2"/>
        <v>214122841.50400001</v>
      </c>
      <c r="K13" s="111">
        <f t="shared" si="2"/>
        <v>199410521.97099999</v>
      </c>
      <c r="L13" s="111">
        <f t="shared" si="2"/>
        <v>210596230.24499997</v>
      </c>
      <c r="M13" s="111">
        <f t="shared" si="2"/>
        <v>239275201.77900001</v>
      </c>
      <c r="N13" s="217">
        <f>SUM(B13:M13)</f>
        <v>2698169560.3639994</v>
      </c>
    </row>
    <row r="14" spans="1:28">
      <c r="A14" s="85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216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59">
        <f>'SAP BW Actual Usage'!C12</f>
        <v>14974428.268999999</v>
      </c>
      <c r="C15" s="59">
        <f>'SAP BW Actual Usage'!D12</f>
        <v>13502408.460999999</v>
      </c>
      <c r="D15" s="59">
        <f>'SAP BW Actual Usage'!E12</f>
        <v>13696146.333000001</v>
      </c>
      <c r="E15" s="59">
        <f>'SAP BW Actual Usage'!F12</f>
        <v>11899442.74</v>
      </c>
      <c r="F15" s="59">
        <f>'SAP BW Actual Usage'!G12</f>
        <v>10675498.311000001</v>
      </c>
      <c r="G15" s="59">
        <f>'SAP BW Actual Usage'!H12</f>
        <v>10215371.359999999</v>
      </c>
      <c r="H15" s="59">
        <f>'SAP BW Actual Usage'!I12</f>
        <v>10303818.370999999</v>
      </c>
      <c r="I15" s="59">
        <f>'SAP BW Actual Usage'!J12</f>
        <v>12414786.642999999</v>
      </c>
      <c r="J15" s="59">
        <f>'SAP BW Actual Usage'!K12</f>
        <v>10899104.057</v>
      </c>
      <c r="K15" s="59">
        <f>'SAP BW Actual Usage'!L12</f>
        <v>10692755.982999999</v>
      </c>
      <c r="L15" s="59">
        <f>'SAP BW Actual Usage'!M12</f>
        <v>11529397.039999999</v>
      </c>
      <c r="M15" s="59">
        <f>'SAP BW Actual Usage'!N12</f>
        <v>13476483.731000001</v>
      </c>
      <c r="N15" s="216">
        <f>SUM(B15:M15)</f>
        <v>144279641.29899999</v>
      </c>
    </row>
    <row r="16" spans="1:28" s="82" customFormat="1">
      <c r="A16" s="91" t="s">
        <v>139</v>
      </c>
      <c r="B16" s="86">
        <f>'SAP BW Actual Usage'!C15</f>
        <v>253178476.366</v>
      </c>
      <c r="C16" s="86">
        <f>'SAP BW Actual Usage'!D15</f>
        <v>247212428.17199999</v>
      </c>
      <c r="D16" s="86">
        <f>'SAP BW Actual Usage'!E15</f>
        <v>248278744.898</v>
      </c>
      <c r="E16" s="86">
        <f>'SAP BW Actual Usage'!F15</f>
        <v>231408313.347</v>
      </c>
      <c r="F16" s="86">
        <f>'SAP BW Actual Usage'!G15</f>
        <v>227280428.412</v>
      </c>
      <c r="G16" s="86">
        <f>'SAP BW Actual Usage'!H15</f>
        <v>222571489.141</v>
      </c>
      <c r="H16" s="86">
        <f>'SAP BW Actual Usage'!I15</f>
        <v>226313146.016</v>
      </c>
      <c r="I16" s="86">
        <f>'SAP BW Actual Usage'!J15</f>
        <v>255163980.50400001</v>
      </c>
      <c r="J16" s="86">
        <f>'SAP BW Actual Usage'!K15</f>
        <v>230822615.18900001</v>
      </c>
      <c r="K16" s="86">
        <f>'SAP BW Actual Usage'!L15</f>
        <v>219063495.05000001</v>
      </c>
      <c r="L16" s="86">
        <f>'SAP BW Actual Usage'!M15</f>
        <v>224681333.46000001</v>
      </c>
      <c r="M16" s="86">
        <f>'SAP BW Actual Usage'!N15</f>
        <v>247141871.37400001</v>
      </c>
      <c r="N16" s="218">
        <f>SUM(B16:M16)</f>
        <v>2833116321.9290004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11">
        <f>SUM(B15:B16)</f>
        <v>268152904.63499999</v>
      </c>
      <c r="C17" s="111">
        <f t="shared" ref="C17:M17" si="3">SUM(C15:C16)</f>
        <v>260714836.63299999</v>
      </c>
      <c r="D17" s="111">
        <f t="shared" si="3"/>
        <v>261974891.23100001</v>
      </c>
      <c r="E17" s="111">
        <f t="shared" si="3"/>
        <v>243307756.08700001</v>
      </c>
      <c r="F17" s="111">
        <f t="shared" si="3"/>
        <v>237955926.72299999</v>
      </c>
      <c r="G17" s="111">
        <f t="shared" si="3"/>
        <v>232786860.50099999</v>
      </c>
      <c r="H17" s="111">
        <f t="shared" si="3"/>
        <v>236616964.38699999</v>
      </c>
      <c r="I17" s="111">
        <f t="shared" si="3"/>
        <v>267578767.14700001</v>
      </c>
      <c r="J17" s="111">
        <f t="shared" si="3"/>
        <v>241721719.24600002</v>
      </c>
      <c r="K17" s="111">
        <f t="shared" si="3"/>
        <v>229756251.03300002</v>
      </c>
      <c r="L17" s="111">
        <f t="shared" si="3"/>
        <v>236210730.5</v>
      </c>
      <c r="M17" s="111">
        <f t="shared" si="3"/>
        <v>260618355.10500002</v>
      </c>
      <c r="N17" s="217">
        <f>SUM(B17:M17)</f>
        <v>2977395963.2280002</v>
      </c>
    </row>
    <row r="18" spans="1:28">
      <c r="A18" s="85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216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59">
        <f>'SAP BW Actual Usage'!C13</f>
        <v>1647040</v>
      </c>
      <c r="C19" s="59">
        <f>'SAP BW Actual Usage'!D13</f>
        <v>1432900</v>
      </c>
      <c r="D19" s="59">
        <f>'SAP BW Actual Usage'!E13</f>
        <v>1526880</v>
      </c>
      <c r="E19" s="59">
        <f>'SAP BW Actual Usage'!F13</f>
        <v>1447900</v>
      </c>
      <c r="F19" s="59">
        <f>'SAP BW Actual Usage'!G13</f>
        <v>1122660</v>
      </c>
      <c r="G19" s="59">
        <f>'SAP BW Actual Usage'!H13</f>
        <v>966260</v>
      </c>
      <c r="H19" s="59">
        <f>'SAP BW Actual Usage'!I13</f>
        <v>1106120</v>
      </c>
      <c r="I19" s="59">
        <f>'SAP BW Actual Usage'!J13</f>
        <v>2188700</v>
      </c>
      <c r="J19" s="59">
        <f>'SAP BW Actual Usage'!K13</f>
        <v>1448440</v>
      </c>
      <c r="K19" s="59">
        <f>'SAP BW Actual Usage'!L13</f>
        <v>1191980</v>
      </c>
      <c r="L19" s="59">
        <f>'SAP BW Actual Usage'!M13</f>
        <v>1243960.1000000001</v>
      </c>
      <c r="M19" s="59">
        <f>'SAP BW Actual Usage'!N13</f>
        <v>1437039.9</v>
      </c>
      <c r="N19" s="216">
        <f>SUM(B19:M19)</f>
        <v>16759880</v>
      </c>
    </row>
    <row r="20" spans="1:28" s="82" customFormat="1">
      <c r="A20" s="91" t="s">
        <v>140</v>
      </c>
      <c r="B20" s="86">
        <f>'SAP BW Actual Usage'!C16</f>
        <v>156475578.912</v>
      </c>
      <c r="C20" s="86">
        <f>'SAP BW Actual Usage'!D16</f>
        <v>157621456.891</v>
      </c>
      <c r="D20" s="86">
        <f>'SAP BW Actual Usage'!E16</f>
        <v>146486140.18899998</v>
      </c>
      <c r="E20" s="86">
        <f>'SAP BW Actual Usage'!F16</f>
        <v>143220450.197</v>
      </c>
      <c r="F20" s="86">
        <f>'SAP BW Actual Usage'!G16</f>
        <v>149052732.609</v>
      </c>
      <c r="G20" s="86">
        <f>'SAP BW Actual Usage'!H16</f>
        <v>155402049.403</v>
      </c>
      <c r="H20" s="86">
        <f>'SAP BW Actual Usage'!I16</f>
        <v>161766178.65000001</v>
      </c>
      <c r="I20" s="86">
        <f>'SAP BW Actual Usage'!J16</f>
        <v>183615102.368</v>
      </c>
      <c r="J20" s="86">
        <f>'SAP BW Actual Usage'!K16</f>
        <v>165499659.04699999</v>
      </c>
      <c r="K20" s="86">
        <f>'SAP BW Actual Usage'!L16</f>
        <v>154696497.05199999</v>
      </c>
      <c r="L20" s="86">
        <f>'SAP BW Actual Usage'!M16</f>
        <v>145368431.419</v>
      </c>
      <c r="M20" s="86">
        <f>'SAP BW Actual Usage'!N16</f>
        <v>158815985.792</v>
      </c>
      <c r="N20" s="218">
        <f>SUM(B20:M20)</f>
        <v>1878020262.5289998</v>
      </c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11">
        <f>SUM(B19:B20)</f>
        <v>158122618.912</v>
      </c>
      <c r="C21" s="111">
        <f t="shared" ref="C21:M21" si="4">SUM(C19:C20)</f>
        <v>159054356.891</v>
      </c>
      <c r="D21" s="111">
        <f t="shared" si="4"/>
        <v>148013020.18899998</v>
      </c>
      <c r="E21" s="111">
        <f t="shared" si="4"/>
        <v>144668350.197</v>
      </c>
      <c r="F21" s="111">
        <f t="shared" si="4"/>
        <v>150175392.609</v>
      </c>
      <c r="G21" s="111">
        <f t="shared" si="4"/>
        <v>156368309.403</v>
      </c>
      <c r="H21" s="111">
        <f t="shared" si="4"/>
        <v>162872298.65000001</v>
      </c>
      <c r="I21" s="111">
        <f t="shared" si="4"/>
        <v>185803802.368</v>
      </c>
      <c r="J21" s="111">
        <f t="shared" si="4"/>
        <v>166948099.04699999</v>
      </c>
      <c r="K21" s="111">
        <f t="shared" si="4"/>
        <v>155888477.05199999</v>
      </c>
      <c r="L21" s="111">
        <f t="shared" si="4"/>
        <v>146612391.51899999</v>
      </c>
      <c r="M21" s="111">
        <f t="shared" si="4"/>
        <v>160253025.692</v>
      </c>
      <c r="N21" s="217">
        <f>SUM(B21:M21)</f>
        <v>1894780142.529</v>
      </c>
    </row>
    <row r="22" spans="1:28">
      <c r="A22" s="85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216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59">
        <f>'SAP BW Actual Usage'!C11</f>
        <v>3098040</v>
      </c>
      <c r="C23" s="59">
        <f>'SAP BW Actual Usage'!D11</f>
        <v>2614020</v>
      </c>
      <c r="D23" s="59">
        <f>'SAP BW Actual Usage'!E11</f>
        <v>2836440</v>
      </c>
      <c r="E23" s="59">
        <f>'SAP BW Actual Usage'!F11</f>
        <v>2486280</v>
      </c>
      <c r="F23" s="59">
        <f>'SAP BW Actual Usage'!G11</f>
        <v>2272140</v>
      </c>
      <c r="G23" s="59">
        <f>'SAP BW Actual Usage'!H11</f>
        <v>2309160</v>
      </c>
      <c r="H23" s="59">
        <f>'SAP BW Actual Usage'!I11</f>
        <v>2267400</v>
      </c>
      <c r="I23" s="59">
        <f>'SAP BW Actual Usage'!J11</f>
        <v>2356640.4</v>
      </c>
      <c r="J23" s="59">
        <f>'SAP BW Actual Usage'!K11</f>
        <v>2426801.1</v>
      </c>
      <c r="K23" s="59">
        <f>'SAP BW Actual Usage'!L11</f>
        <v>2291272.2000000002</v>
      </c>
      <c r="L23" s="59">
        <f>'SAP BW Actual Usage'!M11</f>
        <v>1691340</v>
      </c>
      <c r="M23" s="59">
        <f>'SAP BW Actual Usage'!N11</f>
        <v>3304326.3</v>
      </c>
      <c r="N23" s="216">
        <f>SUM(B23:M23)</f>
        <v>29953860</v>
      </c>
    </row>
    <row r="24" spans="1:28" s="82" customFormat="1">
      <c r="A24" s="91" t="s">
        <v>5</v>
      </c>
      <c r="B24" s="86">
        <f>'SAP BW Actual Usage'!C18</f>
        <v>111293428.93399999</v>
      </c>
      <c r="C24" s="86">
        <f>'SAP BW Actual Usage'!D18</f>
        <v>112448329.70199999</v>
      </c>
      <c r="D24" s="86">
        <f>'SAP BW Actual Usage'!E18</f>
        <v>100970460.10600001</v>
      </c>
      <c r="E24" s="86">
        <f>'SAP BW Actual Usage'!F18</f>
        <v>106215200.595</v>
      </c>
      <c r="F24" s="86">
        <f>'SAP BW Actual Usage'!G18</f>
        <v>103197424.47499999</v>
      </c>
      <c r="G24" s="86">
        <f>'SAP BW Actual Usage'!H18</f>
        <v>101103077.88</v>
      </c>
      <c r="H24" s="86">
        <f>'SAP BW Actual Usage'!I18</f>
        <v>107121848.958</v>
      </c>
      <c r="I24" s="86">
        <f>'SAP BW Actual Usage'!J18</f>
        <v>111938040.63699999</v>
      </c>
      <c r="J24" s="86">
        <f>'SAP BW Actual Usage'!K18</f>
        <v>108706433.20900001</v>
      </c>
      <c r="K24" s="86">
        <f>'SAP BW Actual Usage'!L18</f>
        <v>100648500.84099999</v>
      </c>
      <c r="L24" s="86">
        <f>'SAP BW Actual Usage'!M18</f>
        <v>96160731.420000002</v>
      </c>
      <c r="M24" s="86">
        <f>'SAP BW Actual Usage'!N18</f>
        <v>108100631.08000001</v>
      </c>
      <c r="N24" s="218">
        <f>SUM(B24:M24)</f>
        <v>1267904107.8369999</v>
      </c>
    </row>
    <row r="25" spans="1:28">
      <c r="A25" s="84" t="s">
        <v>32</v>
      </c>
      <c r="B25" s="111">
        <f>SUM(B23:B24)</f>
        <v>114391468.93399999</v>
      </c>
      <c r="C25" s="111">
        <f t="shared" ref="C25:N25" si="5">SUM(C23:C24)</f>
        <v>115062349.70199999</v>
      </c>
      <c r="D25" s="111">
        <f t="shared" si="5"/>
        <v>103806900.10600001</v>
      </c>
      <c r="E25" s="111">
        <f t="shared" si="5"/>
        <v>108701480.595</v>
      </c>
      <c r="F25" s="111">
        <f t="shared" si="5"/>
        <v>105469564.47499999</v>
      </c>
      <c r="G25" s="111">
        <f t="shared" si="5"/>
        <v>103412237.88</v>
      </c>
      <c r="H25" s="111">
        <f t="shared" si="5"/>
        <v>109389248.958</v>
      </c>
      <c r="I25" s="111">
        <f t="shared" si="5"/>
        <v>114294681.037</v>
      </c>
      <c r="J25" s="111">
        <f t="shared" si="5"/>
        <v>111133234.309</v>
      </c>
      <c r="K25" s="111">
        <f t="shared" si="5"/>
        <v>102939773.04099999</v>
      </c>
      <c r="L25" s="111">
        <f t="shared" si="5"/>
        <v>97852071.420000002</v>
      </c>
      <c r="M25" s="111">
        <f t="shared" si="5"/>
        <v>111404957.38000001</v>
      </c>
      <c r="N25" s="217">
        <f t="shared" si="5"/>
        <v>1297857967.8369999</v>
      </c>
    </row>
    <row r="26" spans="1:28">
      <c r="A26" s="85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216"/>
    </row>
    <row r="27" spans="1:28">
      <c r="A27" s="84" t="s">
        <v>4</v>
      </c>
      <c r="B27" s="59">
        <f>'SAP BW Actual Usage'!C17</f>
        <v>269388.78899999999</v>
      </c>
      <c r="C27" s="59">
        <f>'SAP BW Actual Usage'!D17</f>
        <v>276136.7</v>
      </c>
      <c r="D27" s="59">
        <f>'SAP BW Actual Usage'!E17</f>
        <v>280808.11599999998</v>
      </c>
      <c r="E27" s="59">
        <f>'SAP BW Actual Usage'!F17</f>
        <v>266694.74800000002</v>
      </c>
      <c r="F27" s="59">
        <f>'SAP BW Actual Usage'!G17</f>
        <v>708710.26399999997</v>
      </c>
      <c r="G27" s="59">
        <f>'SAP BW Actual Usage'!H17</f>
        <v>1878608.1170000001</v>
      </c>
      <c r="H27" s="59">
        <f>'SAP BW Actual Usage'!I17</f>
        <v>3447384.53</v>
      </c>
      <c r="I27" s="59">
        <f>'SAP BW Actual Usage'!J17</f>
        <v>4528357.2280000001</v>
      </c>
      <c r="J27" s="59">
        <f>'SAP BW Actual Usage'!K17</f>
        <v>3435869.1839999999</v>
      </c>
      <c r="K27" s="59">
        <f>'SAP BW Actual Usage'!L17</f>
        <v>1100229.371</v>
      </c>
      <c r="L27" s="59">
        <f>'SAP BW Actual Usage'!M17</f>
        <v>309864.799</v>
      </c>
      <c r="M27" s="59">
        <f>'SAP BW Actual Usage'!N17</f>
        <v>224088.198</v>
      </c>
      <c r="N27" s="216">
        <f t="shared" ref="N27:N30" si="6">SUM(B27:M27)</f>
        <v>16726140.044000002</v>
      </c>
    </row>
    <row r="28" spans="1:28">
      <c r="A28" s="84" t="s">
        <v>22</v>
      </c>
      <c r="B28" s="59">
        <f>'SAP BW Actual Usage'!C20</f>
        <v>45745730.302000001</v>
      </c>
      <c r="C28" s="59">
        <f>'SAP BW Actual Usage'!D20</f>
        <v>43929830.578000002</v>
      </c>
      <c r="D28" s="59">
        <f>'SAP BW Actual Usage'!E20</f>
        <v>44503265.692999996</v>
      </c>
      <c r="E28" s="59">
        <f>'SAP BW Actual Usage'!F20</f>
        <v>42551050.405000001</v>
      </c>
      <c r="F28" s="59">
        <f>'SAP BW Actual Usage'!G20</f>
        <v>42098019.358999997</v>
      </c>
      <c r="G28" s="59">
        <f>'SAP BW Actual Usage'!H20</f>
        <v>36454394.177000001</v>
      </c>
      <c r="H28" s="59">
        <f>'SAP BW Actual Usage'!I20</f>
        <v>48717375.324000001</v>
      </c>
      <c r="I28" s="59">
        <f>'SAP BW Actual Usage'!J20</f>
        <v>46696152.519000001</v>
      </c>
      <c r="J28" s="59">
        <f>'SAP BW Actual Usage'!K20</f>
        <v>43379395.791000001</v>
      </c>
      <c r="K28" s="59">
        <f>'SAP BW Actual Usage'!L20</f>
        <v>35046087.943999998</v>
      </c>
      <c r="L28" s="59">
        <f>'SAP BW Actual Usage'!M20</f>
        <v>47156353.952</v>
      </c>
      <c r="M28" s="59">
        <f>'SAP BW Actual Usage'!N20</f>
        <v>42267793.200999998</v>
      </c>
      <c r="N28" s="216">
        <f t="shared" si="6"/>
        <v>518545449.245</v>
      </c>
    </row>
    <row r="29" spans="1:28" s="93" customFormat="1">
      <c r="A29" s="96" t="s">
        <v>7</v>
      </c>
      <c r="B29" s="94">
        <f>'SAP BW Actual Usage'!C21</f>
        <v>14705562.185000001</v>
      </c>
      <c r="C29" s="94">
        <f>'SAP BW Actual Usage'!D21</f>
        <v>13348269.555</v>
      </c>
      <c r="D29" s="94">
        <f>'SAP BW Actual Usage'!E21</f>
        <v>14774100</v>
      </c>
      <c r="E29" s="94">
        <f>'SAP BW Actual Usage'!F21</f>
        <v>12167918.880000001</v>
      </c>
      <c r="F29" s="94">
        <f>'SAP BW Actual Usage'!G21</f>
        <v>9528385.6850000005</v>
      </c>
      <c r="G29" s="94">
        <f>'SAP BW Actual Usage'!H21</f>
        <v>8207965.2699999996</v>
      </c>
      <c r="H29" s="94">
        <f>'SAP BW Actual Usage'!I21</f>
        <v>6333325.7949999999</v>
      </c>
      <c r="I29" s="94">
        <f>'SAP BW Actual Usage'!J21</f>
        <v>5565099.335</v>
      </c>
      <c r="J29" s="94">
        <f>'SAP BW Actual Usage'!K21</f>
        <v>5746479.6399999997</v>
      </c>
      <c r="K29" s="94">
        <f>'SAP BW Actual Usage'!L21</f>
        <v>7995505.7249999996</v>
      </c>
      <c r="L29" s="94">
        <f>'SAP BW Actual Usage'!M21</f>
        <v>9194158.8350000009</v>
      </c>
      <c r="M29" s="94">
        <f>'SAP BW Actual Usage'!N21</f>
        <v>12572569.045</v>
      </c>
      <c r="N29" s="219">
        <f t="shared" si="6"/>
        <v>120139339.95</v>
      </c>
    </row>
    <row r="30" spans="1:28">
      <c r="A30" s="84" t="s">
        <v>50</v>
      </c>
      <c r="B30" s="59">
        <f>'SAP BW Actual Usage'!C8</f>
        <v>997460</v>
      </c>
      <c r="C30" s="59">
        <f>'SAP BW Actual Usage'!D8</f>
        <v>897140</v>
      </c>
      <c r="D30" s="59">
        <f>'SAP BW Actual Usage'!E8</f>
        <v>943660</v>
      </c>
      <c r="E30" s="59">
        <f>'SAP BW Actual Usage'!F8</f>
        <v>776620</v>
      </c>
      <c r="F30" s="59">
        <f>'SAP BW Actual Usage'!G8</f>
        <v>591080</v>
      </c>
      <c r="G30" s="59">
        <f>'SAP BW Actual Usage'!H8</f>
        <v>387720</v>
      </c>
      <c r="H30" s="59">
        <f>'SAP BW Actual Usage'!I8</f>
        <v>316260</v>
      </c>
      <c r="I30" s="59">
        <f>'SAP BW Actual Usage'!J8</f>
        <v>285140</v>
      </c>
      <c r="J30" s="59">
        <f>'SAP BW Actual Usage'!K8</f>
        <v>298260</v>
      </c>
      <c r="K30" s="59">
        <f>'SAP BW Actual Usage'!L8</f>
        <v>353440</v>
      </c>
      <c r="L30" s="59">
        <f>'SAP BW Actual Usage'!M8</f>
        <v>515476</v>
      </c>
      <c r="M30" s="59">
        <f>'SAP BW Actual Usage'!N8</f>
        <v>768624</v>
      </c>
      <c r="N30" s="216">
        <f t="shared" si="6"/>
        <v>7130880</v>
      </c>
    </row>
    <row r="31" spans="1:28">
      <c r="A31" s="8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18"/>
    </row>
    <row r="32" spans="1:28" s="85" customFormat="1">
      <c r="A32" s="90" t="s">
        <v>19</v>
      </c>
      <c r="B32" s="110">
        <f t="shared" ref="B32:N32" si="7">SUM(B9,B13,B17,B21,B25,B27:B30)</f>
        <v>2118037891.323</v>
      </c>
      <c r="C32" s="110">
        <f t="shared" si="7"/>
        <v>1967096152.72</v>
      </c>
      <c r="D32" s="110">
        <f t="shared" si="7"/>
        <v>1943915004.3829997</v>
      </c>
      <c r="E32" s="110">
        <f t="shared" si="7"/>
        <v>1699430786.8760002</v>
      </c>
      <c r="F32" s="110">
        <f t="shared" si="7"/>
        <v>1491600934.8239999</v>
      </c>
      <c r="G32" s="110">
        <f t="shared" si="7"/>
        <v>1404675596.388</v>
      </c>
      <c r="H32" s="110">
        <f t="shared" si="7"/>
        <v>1447752479.27</v>
      </c>
      <c r="I32" s="110">
        <f t="shared" si="7"/>
        <v>1586741907.474</v>
      </c>
      <c r="J32" s="110">
        <f t="shared" si="7"/>
        <v>1467149394.5120001</v>
      </c>
      <c r="K32" s="110">
        <f t="shared" si="7"/>
        <v>1420211020.0189998</v>
      </c>
      <c r="L32" s="110">
        <f t="shared" si="7"/>
        <v>1590668348.4030001</v>
      </c>
      <c r="M32" s="110">
        <f t="shared" si="7"/>
        <v>1913129226.0700002</v>
      </c>
      <c r="N32" s="217">
        <f t="shared" si="7"/>
        <v>20050408742.261993</v>
      </c>
    </row>
    <row r="33" spans="1:14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218"/>
    </row>
    <row r="34" spans="1:14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4">
      <c r="A35" s="81" t="s">
        <v>33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</row>
    <row r="36" spans="1:14">
      <c r="A36" s="61" t="s">
        <v>24</v>
      </c>
      <c r="B36" s="57">
        <f t="shared" ref="B36:M36" si="8">B7</f>
        <v>43101</v>
      </c>
      <c r="C36" s="57">
        <f t="shared" si="8"/>
        <v>43132</v>
      </c>
      <c r="D36" s="57">
        <f t="shared" si="8"/>
        <v>43160</v>
      </c>
      <c r="E36" s="57">
        <f t="shared" si="8"/>
        <v>43191</v>
      </c>
      <c r="F36" s="57">
        <f t="shared" si="8"/>
        <v>43221</v>
      </c>
      <c r="G36" s="57">
        <f t="shared" si="8"/>
        <v>43252</v>
      </c>
      <c r="H36" s="57">
        <f t="shared" si="8"/>
        <v>43282</v>
      </c>
      <c r="I36" s="57">
        <f t="shared" si="8"/>
        <v>43313</v>
      </c>
      <c r="J36" s="57">
        <f t="shared" si="8"/>
        <v>43344</v>
      </c>
      <c r="K36" s="57">
        <f t="shared" si="8"/>
        <v>43374</v>
      </c>
      <c r="L36" s="57">
        <f t="shared" si="8"/>
        <v>43405</v>
      </c>
      <c r="M36" s="57">
        <f t="shared" si="8"/>
        <v>43435</v>
      </c>
      <c r="N36" s="80" t="s">
        <v>18</v>
      </c>
    </row>
    <row r="37" spans="1:14">
      <c r="A37" s="62" t="s">
        <v>20</v>
      </c>
      <c r="B37" s="59">
        <f>'SAP BW Actual Usage'!C23</f>
        <v>5833297.7620000001</v>
      </c>
      <c r="C37" s="59">
        <f>'SAP BW Actual Usage'!D23</f>
        <v>5903361.0930000003</v>
      </c>
      <c r="D37" s="59">
        <f>'SAP BW Actual Usage'!E23</f>
        <v>5627651.4330000002</v>
      </c>
      <c r="E37" s="59">
        <f>'SAP BW Actual Usage'!F23</f>
        <v>6038794.7130000005</v>
      </c>
      <c r="F37" s="59">
        <f>'SAP BW Actual Usage'!G23</f>
        <v>6061283.9859999996</v>
      </c>
      <c r="G37" s="59">
        <f>'SAP BW Actual Usage'!H23</f>
        <v>5842414.602</v>
      </c>
      <c r="H37" s="59">
        <f>'SAP BW Actual Usage'!I23</f>
        <v>5831969.0729999999</v>
      </c>
      <c r="I37" s="59">
        <f>'SAP BW Actual Usage'!J23</f>
        <v>5908433.5570000019</v>
      </c>
      <c r="J37" s="59">
        <f>'SAP BW Actual Usage'!K23</f>
        <v>5836334.4180000005</v>
      </c>
      <c r="K37" s="59">
        <f>'SAP BW Actual Usage'!L23</f>
        <v>6065007.6610000003</v>
      </c>
      <c r="L37" s="59">
        <f>'SAP BW Actual Usage'!M23</f>
        <v>5708355.3970000008</v>
      </c>
      <c r="M37" s="59">
        <f>'SAP BW Actual Usage'!N23</f>
        <v>5547688.523000001</v>
      </c>
      <c r="N37" s="4">
        <f>SUM(B37:M37)</f>
        <v>70204592.217999995</v>
      </c>
    </row>
    <row r="38" spans="1:14">
      <c r="A38" s="62" t="s">
        <v>38</v>
      </c>
      <c r="B38" s="59">
        <f>'SAP BW Actual Usage'!C22</f>
        <v>51923761.625</v>
      </c>
      <c r="C38" s="59">
        <f>'SAP BW Actual Usage'!D22</f>
        <v>83844828.819000006</v>
      </c>
      <c r="D38" s="59">
        <f>'SAP BW Actual Usage'!E22</f>
        <v>16550318.004999999</v>
      </c>
      <c r="E38" s="59">
        <f>'SAP BW Actual Usage'!F22</f>
        <v>52598779.873999998</v>
      </c>
      <c r="F38" s="59">
        <f>'SAP BW Actual Usage'!G22</f>
        <v>51025804.240999997</v>
      </c>
      <c r="G38" s="59">
        <f>'SAP BW Actual Usage'!H22</f>
        <v>53857181.723000005</v>
      </c>
      <c r="H38" s="59">
        <f>'SAP BW Actual Usage'!I22</f>
        <v>54193014.815999992</v>
      </c>
      <c r="I38" s="59">
        <f>'SAP BW Actual Usage'!J22</f>
        <v>50846186.817000002</v>
      </c>
      <c r="J38" s="59">
        <f>'SAP BW Actual Usage'!K22</f>
        <v>59524700.609000005</v>
      </c>
      <c r="K38" s="59">
        <f>'SAP BW Actual Usage'!L22</f>
        <v>50962795.626000002</v>
      </c>
      <c r="L38" s="59">
        <f>'SAP BW Actual Usage'!M22</f>
        <v>52294545.349000007</v>
      </c>
      <c r="M38" s="59">
        <f>'SAP BW Actual Usage'!N22</f>
        <v>40049706.736000001</v>
      </c>
      <c r="N38" s="4">
        <f>SUM(B38:M38)</f>
        <v>617671624.24000001</v>
      </c>
    </row>
    <row r="39" spans="1:14">
      <c r="A39" s="62" t="s">
        <v>6</v>
      </c>
      <c r="B39" s="59">
        <f>'SAP BW Actual Usage'!C19</f>
        <v>6000</v>
      </c>
      <c r="C39" s="59">
        <f>'SAP BW Actual Usage'!D19</f>
        <v>5400</v>
      </c>
      <c r="D39" s="59">
        <f>'SAP BW Actual Usage'!E19</f>
        <v>5400</v>
      </c>
      <c r="E39" s="59">
        <f>'SAP BW Actual Usage'!F19</f>
        <v>2496.6</v>
      </c>
      <c r="F39" s="59">
        <f>'SAP BW Actual Usage'!G19</f>
        <v>357143.4</v>
      </c>
      <c r="G39" s="59">
        <f>'SAP BW Actual Usage'!H19</f>
        <v>628320</v>
      </c>
      <c r="H39" s="59">
        <f>'SAP BW Actual Usage'!I19</f>
        <v>649320</v>
      </c>
      <c r="I39" s="59">
        <f>'SAP BW Actual Usage'!J19</f>
        <v>1006380</v>
      </c>
      <c r="J39" s="59">
        <f>'SAP BW Actual Usage'!K19</f>
        <v>750660</v>
      </c>
      <c r="K39" s="59">
        <f>'SAP BW Actual Usage'!L19</f>
        <v>794580</v>
      </c>
      <c r="L39" s="59">
        <f>'SAP BW Actual Usage'!M19</f>
        <v>235920</v>
      </c>
      <c r="M39" s="59">
        <f>'SAP BW Actual Usage'!N19</f>
        <v>5760</v>
      </c>
      <c r="N39" s="4">
        <f>SUM(B39:M39)</f>
        <v>4447380</v>
      </c>
    </row>
    <row r="40" spans="1:14">
      <c r="A40" s="6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4"/>
    </row>
    <row r="41" spans="1:14">
      <c r="A41" s="90" t="s">
        <v>19</v>
      </c>
      <c r="B41" s="111">
        <f t="shared" ref="B41:N41" si="9">SUM(B37:B39)</f>
        <v>57763059.387000002</v>
      </c>
      <c r="C41" s="111">
        <f t="shared" si="9"/>
        <v>89753589.912</v>
      </c>
      <c r="D41" s="111">
        <f t="shared" si="9"/>
        <v>22183369.438000001</v>
      </c>
      <c r="E41" s="111">
        <f t="shared" si="9"/>
        <v>58640071.186999999</v>
      </c>
      <c r="F41" s="111">
        <f t="shared" si="9"/>
        <v>57444231.626999997</v>
      </c>
      <c r="G41" s="111">
        <f t="shared" si="9"/>
        <v>60327916.325000003</v>
      </c>
      <c r="H41" s="111">
        <f t="shared" si="9"/>
        <v>60674303.888999991</v>
      </c>
      <c r="I41" s="111">
        <f t="shared" si="9"/>
        <v>57761000.374000005</v>
      </c>
      <c r="J41" s="111">
        <f t="shared" si="9"/>
        <v>66111695.027000003</v>
      </c>
      <c r="K41" s="111">
        <f t="shared" si="9"/>
        <v>57822383.287</v>
      </c>
      <c r="L41" s="111">
        <f t="shared" si="9"/>
        <v>58238820.746000007</v>
      </c>
      <c r="M41" s="111">
        <f t="shared" si="9"/>
        <v>45603155.259000003</v>
      </c>
      <c r="N41" s="111">
        <f t="shared" si="9"/>
        <v>692323596.45799994</v>
      </c>
    </row>
    <row r="42" spans="1:14">
      <c r="A42" s="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>
      <c r="A43" s="24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s="89" customFormat="1" ht="13.5" thickBot="1">
      <c r="A44" s="87" t="s">
        <v>21</v>
      </c>
      <c r="B44" s="112">
        <f t="shared" ref="B44:N44" si="10">B41+B32</f>
        <v>2175800950.71</v>
      </c>
      <c r="C44" s="112">
        <f t="shared" si="10"/>
        <v>2056849742.632</v>
      </c>
      <c r="D44" s="112">
        <f t="shared" si="10"/>
        <v>1966098373.8209996</v>
      </c>
      <c r="E44" s="112">
        <f t="shared" si="10"/>
        <v>1758070858.0630002</v>
      </c>
      <c r="F44" s="112">
        <f t="shared" si="10"/>
        <v>1549045166.451</v>
      </c>
      <c r="G44" s="112">
        <f t="shared" si="10"/>
        <v>1465003512.7130001</v>
      </c>
      <c r="H44" s="112">
        <f t="shared" si="10"/>
        <v>1508426783.1589999</v>
      </c>
      <c r="I44" s="112">
        <f t="shared" si="10"/>
        <v>1644502907.848</v>
      </c>
      <c r="J44" s="112">
        <f t="shared" si="10"/>
        <v>1533261089.539</v>
      </c>
      <c r="K44" s="112">
        <f t="shared" si="10"/>
        <v>1478033403.3059998</v>
      </c>
      <c r="L44" s="112">
        <f t="shared" si="10"/>
        <v>1648907169.1490002</v>
      </c>
      <c r="M44" s="112">
        <f t="shared" si="10"/>
        <v>1958732381.3290002</v>
      </c>
      <c r="N44" s="112">
        <f t="shared" si="10"/>
        <v>20742732338.719994</v>
      </c>
    </row>
    <row r="45" spans="1:14" ht="15.75" thickTop="1">
      <c r="A45" s="2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7" spans="1:14">
      <c r="B47" s="278"/>
      <c r="C47" s="278"/>
      <c r="D47" s="278"/>
      <c r="E47" s="278"/>
      <c r="F47" s="278"/>
      <c r="G47" s="278"/>
      <c r="H47" s="278"/>
      <c r="I47" s="278"/>
    </row>
    <row r="48" spans="1:14">
      <c r="B48" s="278"/>
      <c r="C48" s="278"/>
      <c r="D48" s="278"/>
      <c r="E48" s="278"/>
      <c r="F48" s="278"/>
      <c r="G48" s="278"/>
      <c r="H48" s="278"/>
      <c r="I48" s="278"/>
    </row>
    <row r="49" spans="2:9">
      <c r="B49" s="278"/>
      <c r="C49" s="278"/>
      <c r="D49" s="278"/>
      <c r="E49" s="278"/>
      <c r="F49" s="278"/>
      <c r="G49" s="278"/>
      <c r="H49" s="278"/>
      <c r="I49" s="278"/>
    </row>
    <row r="50" spans="2:9">
      <c r="B50" s="278"/>
      <c r="C50" s="278"/>
      <c r="D50" s="278"/>
      <c r="E50" s="278"/>
      <c r="F50" s="278"/>
      <c r="G50" s="278"/>
      <c r="H50" s="278"/>
      <c r="I50" s="278"/>
    </row>
    <row r="51" spans="2:9">
      <c r="B51" s="278"/>
      <c r="C51" s="278"/>
      <c r="D51" s="278"/>
      <c r="E51" s="278"/>
      <c r="F51" s="278"/>
      <c r="G51" s="278"/>
      <c r="H51" s="278"/>
      <c r="I51" s="278"/>
    </row>
    <row r="52" spans="2:9">
      <c r="B52" s="278"/>
      <c r="C52" s="278"/>
      <c r="D52" s="278"/>
      <c r="E52" s="278"/>
      <c r="F52" s="278"/>
      <c r="G52" s="278"/>
      <c r="H52" s="278"/>
      <c r="I52" s="278"/>
    </row>
    <row r="53" spans="2:9">
      <c r="B53" s="278"/>
      <c r="C53" s="278"/>
      <c r="D53" s="278"/>
      <c r="E53" s="278"/>
      <c r="F53" s="278"/>
      <c r="G53" s="278"/>
      <c r="H53" s="278"/>
      <c r="I53" s="278"/>
    </row>
    <row r="54" spans="2:9">
      <c r="B54" s="278"/>
      <c r="C54" s="278"/>
      <c r="D54" s="278"/>
      <c r="E54" s="278"/>
      <c r="F54" s="278"/>
      <c r="G54" s="278"/>
      <c r="H54" s="278"/>
      <c r="I54" s="278"/>
    </row>
    <row r="55" spans="2:9">
      <c r="B55" s="278"/>
      <c r="C55" s="278"/>
      <c r="D55" s="278"/>
      <c r="E55" s="278"/>
      <c r="F55" s="278"/>
      <c r="G55" s="278"/>
      <c r="H55" s="278"/>
      <c r="I55" s="278"/>
    </row>
    <row r="56" spans="2:9">
      <c r="B56" s="278"/>
      <c r="C56" s="278"/>
      <c r="D56" s="278"/>
      <c r="E56" s="278"/>
      <c r="F56" s="278"/>
      <c r="G56" s="276"/>
      <c r="H56" s="276"/>
      <c r="I56" s="276"/>
    </row>
    <row r="57" spans="2:9">
      <c r="B57" s="278"/>
      <c r="C57" s="278"/>
      <c r="D57" s="278"/>
      <c r="E57" s="278"/>
      <c r="F57" s="278"/>
      <c r="G57" s="276"/>
      <c r="H57" s="276"/>
      <c r="I57" s="276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1" t="s">
        <v>27</v>
      </c>
      <c r="B1" s="61"/>
    </row>
    <row r="2" spans="1:30">
      <c r="A2" s="61" t="s">
        <v>26</v>
      </c>
      <c r="B2" s="61"/>
    </row>
    <row r="3" spans="1:30">
      <c r="A3" s="85" t="s">
        <v>154</v>
      </c>
      <c r="B3" s="24"/>
    </row>
    <row r="4" spans="1:30">
      <c r="A4" s="104" t="s">
        <v>52</v>
      </c>
    </row>
    <row r="5" spans="1:30"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167"/>
    </row>
    <row r="6" spans="1:30">
      <c r="A6" s="81" t="s">
        <v>76</v>
      </c>
      <c r="B6" s="81"/>
      <c r="N6" s="268"/>
    </row>
    <row r="7" spans="1:30">
      <c r="A7" s="61" t="s">
        <v>24</v>
      </c>
      <c r="B7" s="105" t="s">
        <v>49</v>
      </c>
      <c r="C7" s="106">
        <f>'Sales Adj. load only'!C5</f>
        <v>43101</v>
      </c>
      <c r="D7" s="106">
        <f>'Sales Adj. load only'!D5</f>
        <v>43132</v>
      </c>
      <c r="E7" s="106">
        <f>'Sales Adj. load only'!E5</f>
        <v>43160</v>
      </c>
      <c r="F7" s="106">
        <f>'Sales Adj. load only'!F5</f>
        <v>43191</v>
      </c>
      <c r="G7" s="106">
        <f>'Sales Adj. load only'!G5</f>
        <v>43221</v>
      </c>
      <c r="H7" s="106">
        <f>'Sales Adj. load only'!H5</f>
        <v>43252</v>
      </c>
      <c r="I7" s="106">
        <f>'Sales Adj. load only'!I5</f>
        <v>43282</v>
      </c>
      <c r="J7" s="106">
        <f>'Sales Adj. load only'!J5</f>
        <v>43313</v>
      </c>
      <c r="K7" s="106">
        <f>'Sales Adj. load only'!K5</f>
        <v>43344</v>
      </c>
      <c r="L7" s="106">
        <f>'Sales Adj. load only'!L5</f>
        <v>43374</v>
      </c>
      <c r="M7" s="106">
        <f>'Sales Adj. load only'!M5</f>
        <v>43405</v>
      </c>
      <c r="N7" s="106">
        <f>'Sales Adj. load only'!N5</f>
        <v>43435</v>
      </c>
      <c r="O7" s="107" t="s">
        <v>18</v>
      </c>
    </row>
    <row r="8" spans="1:30" s="101" customFormat="1">
      <c r="A8" s="102" t="s">
        <v>46</v>
      </c>
      <c r="B8" s="30">
        <v>5</v>
      </c>
      <c r="C8" s="305">
        <v>997460</v>
      </c>
      <c r="D8" s="305">
        <v>897140</v>
      </c>
      <c r="E8" s="305">
        <v>943660</v>
      </c>
      <c r="F8" s="305">
        <v>776620</v>
      </c>
      <c r="G8" s="305">
        <v>591080</v>
      </c>
      <c r="H8" s="306">
        <v>387720</v>
      </c>
      <c r="I8" s="305">
        <v>316260</v>
      </c>
      <c r="J8" s="305">
        <v>285140</v>
      </c>
      <c r="K8" s="305">
        <v>298260</v>
      </c>
      <c r="L8" s="305">
        <v>353440</v>
      </c>
      <c r="M8" s="305">
        <v>515476</v>
      </c>
      <c r="N8" s="305">
        <v>768624</v>
      </c>
      <c r="O8" s="109">
        <f>SUM(C8:N8)</f>
        <v>7130880</v>
      </c>
      <c r="Q8"/>
      <c r="R8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s="101" customFormat="1">
      <c r="A9" s="100" t="s">
        <v>141</v>
      </c>
      <c r="B9" s="30">
        <v>7</v>
      </c>
      <c r="C9" s="305">
        <v>1245600497.118</v>
      </c>
      <c r="D9" s="305">
        <v>1123202830.28</v>
      </c>
      <c r="E9" s="305">
        <v>1119823626.9689999</v>
      </c>
      <c r="F9" s="305">
        <v>924598024.89300001</v>
      </c>
      <c r="G9" s="305">
        <v>741369503.04700005</v>
      </c>
      <c r="H9" s="306">
        <v>663353185.37899995</v>
      </c>
      <c r="I9" s="305">
        <v>670337023.352</v>
      </c>
      <c r="J9" s="305">
        <v>735328695.551</v>
      </c>
      <c r="K9" s="305">
        <v>680363495.79100001</v>
      </c>
      <c r="L9" s="305">
        <v>687720733.88199997</v>
      </c>
      <c r="M9" s="305">
        <v>842221071.13300002</v>
      </c>
      <c r="N9" s="305">
        <v>1085744611.6700001</v>
      </c>
      <c r="O9" s="109">
        <f t="shared" ref="O9:O24" si="0">SUM(C9:N9)</f>
        <v>10519663299.064999</v>
      </c>
      <c r="Q9"/>
      <c r="R9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s="101" customFormat="1">
      <c r="A10" s="102" t="s">
        <v>34</v>
      </c>
      <c r="B10" s="30">
        <v>8</v>
      </c>
      <c r="C10" s="305">
        <v>27592309.217</v>
      </c>
      <c r="D10" s="305">
        <v>25743291.204</v>
      </c>
      <c r="E10" s="305">
        <v>25148347.254999999</v>
      </c>
      <c r="F10" s="305">
        <v>21812218.140000001</v>
      </c>
      <c r="G10" s="305">
        <v>18056250.261</v>
      </c>
      <c r="H10" s="306">
        <v>17691476.054000001</v>
      </c>
      <c r="I10" s="305">
        <v>17509270.335000001</v>
      </c>
      <c r="J10" s="305">
        <v>18663334.009</v>
      </c>
      <c r="K10" s="305">
        <v>18027881.932</v>
      </c>
      <c r="L10" s="305">
        <v>17435796.017000001</v>
      </c>
      <c r="M10" s="305">
        <v>19283903.647999998</v>
      </c>
      <c r="N10" s="305">
        <v>24238708.647999998</v>
      </c>
      <c r="O10" s="109">
        <f t="shared" si="0"/>
        <v>251202786.72</v>
      </c>
      <c r="Q10"/>
      <c r="R1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s="101" customFormat="1">
      <c r="A11" s="102" t="s">
        <v>37</v>
      </c>
      <c r="B11" s="19">
        <v>10</v>
      </c>
      <c r="C11" s="305">
        <v>3098040</v>
      </c>
      <c r="D11" s="305">
        <v>2614020</v>
      </c>
      <c r="E11" s="305">
        <v>2836440</v>
      </c>
      <c r="F11" s="305">
        <v>2486280</v>
      </c>
      <c r="G11" s="305">
        <v>2272140</v>
      </c>
      <c r="H11" s="306">
        <v>2309160</v>
      </c>
      <c r="I11" s="305">
        <v>2267400</v>
      </c>
      <c r="J11" s="305">
        <v>2356640.4</v>
      </c>
      <c r="K11" s="305">
        <v>2426801.1</v>
      </c>
      <c r="L11" s="305">
        <v>2291272.2000000002</v>
      </c>
      <c r="M11" s="305">
        <v>1691340</v>
      </c>
      <c r="N11" s="305">
        <v>3304326.3</v>
      </c>
      <c r="O11" s="109">
        <f t="shared" si="0"/>
        <v>29953860</v>
      </c>
      <c r="Q11"/>
      <c r="R11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s="101" customFormat="1">
      <c r="A12" s="102" t="s">
        <v>35</v>
      </c>
      <c r="B12" s="30">
        <v>11</v>
      </c>
      <c r="C12" s="305">
        <v>14974428.268999999</v>
      </c>
      <c r="D12" s="305">
        <v>13502408.460999999</v>
      </c>
      <c r="E12" s="305">
        <v>13696146.333000001</v>
      </c>
      <c r="F12" s="305">
        <v>11899442.74</v>
      </c>
      <c r="G12" s="305">
        <v>10675498.311000001</v>
      </c>
      <c r="H12" s="306">
        <v>10215371.359999999</v>
      </c>
      <c r="I12" s="305">
        <v>10303818.370999999</v>
      </c>
      <c r="J12" s="305">
        <v>12414786.642999999</v>
      </c>
      <c r="K12" s="305">
        <v>10899104.057</v>
      </c>
      <c r="L12" s="305">
        <v>10692755.982999999</v>
      </c>
      <c r="M12" s="305">
        <v>11529397.039999999</v>
      </c>
      <c r="N12" s="305">
        <v>13476483.731000001</v>
      </c>
      <c r="O12" s="109">
        <f t="shared" si="0"/>
        <v>144279641.29899999</v>
      </c>
      <c r="Q12"/>
      <c r="R12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s="101" customFormat="1">
      <c r="A13" s="102" t="s">
        <v>36</v>
      </c>
      <c r="B13" s="30">
        <v>12</v>
      </c>
      <c r="C13" s="305">
        <v>1647040</v>
      </c>
      <c r="D13" s="305">
        <v>1432900</v>
      </c>
      <c r="E13" s="305">
        <v>1526880</v>
      </c>
      <c r="F13" s="305">
        <v>1447900</v>
      </c>
      <c r="G13" s="305">
        <v>1122660</v>
      </c>
      <c r="H13" s="306">
        <v>966260</v>
      </c>
      <c r="I13" s="305">
        <v>1106120</v>
      </c>
      <c r="J13" s="305">
        <v>2188700</v>
      </c>
      <c r="K13" s="305">
        <v>1448440</v>
      </c>
      <c r="L13" s="305">
        <v>1191980</v>
      </c>
      <c r="M13" s="305">
        <v>1243960.1000000001</v>
      </c>
      <c r="N13" s="305">
        <v>1437039.9</v>
      </c>
      <c r="O13" s="109">
        <f t="shared" si="0"/>
        <v>16759880</v>
      </c>
      <c r="Q13"/>
      <c r="R13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s="101" customFormat="1">
      <c r="A14" s="100" t="s">
        <v>138</v>
      </c>
      <c r="B14" s="30">
        <v>24</v>
      </c>
      <c r="C14" s="305">
        <v>242459951.23099998</v>
      </c>
      <c r="D14" s="305">
        <v>224867111.17699999</v>
      </c>
      <c r="E14" s="305">
        <v>224646384.82399997</v>
      </c>
      <c r="F14" s="305">
        <v>200580672.93099999</v>
      </c>
      <c r="G14" s="305">
        <v>185648102.40099999</v>
      </c>
      <c r="H14" s="306">
        <v>184134839.60699996</v>
      </c>
      <c r="I14" s="305">
        <v>192213327.93900001</v>
      </c>
      <c r="J14" s="305">
        <v>207997878.27999997</v>
      </c>
      <c r="K14" s="305">
        <v>196094959.572</v>
      </c>
      <c r="L14" s="305">
        <v>181974725.954</v>
      </c>
      <c r="M14" s="305">
        <v>191312326.59699997</v>
      </c>
      <c r="N14" s="305">
        <v>215036493.13100001</v>
      </c>
      <c r="O14" s="109">
        <f t="shared" si="0"/>
        <v>2446966773.6439996</v>
      </c>
      <c r="Q14"/>
      <c r="R14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s="101" customFormat="1">
      <c r="A15" s="100" t="s">
        <v>139</v>
      </c>
      <c r="B15" s="30">
        <v>25</v>
      </c>
      <c r="C15" s="305">
        <v>253178476.366</v>
      </c>
      <c r="D15" s="305">
        <v>247212428.17199999</v>
      </c>
      <c r="E15" s="305">
        <v>248278744.898</v>
      </c>
      <c r="F15" s="305">
        <v>231408313.347</v>
      </c>
      <c r="G15" s="305">
        <v>227280428.412</v>
      </c>
      <c r="H15" s="306">
        <v>222571489.141</v>
      </c>
      <c r="I15" s="305">
        <v>226313146.016</v>
      </c>
      <c r="J15" s="305">
        <v>255163980.50400001</v>
      </c>
      <c r="K15" s="305">
        <v>230822615.18900001</v>
      </c>
      <c r="L15" s="305">
        <v>219063495.05000001</v>
      </c>
      <c r="M15" s="305">
        <v>224681333.46000001</v>
      </c>
      <c r="N15" s="305">
        <v>247141871.37400001</v>
      </c>
      <c r="O15" s="109">
        <f t="shared" si="0"/>
        <v>2833116321.9290004</v>
      </c>
      <c r="Q15"/>
      <c r="R15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s="101" customFormat="1">
      <c r="A16" s="100" t="s">
        <v>140</v>
      </c>
      <c r="B16" s="30">
        <v>26</v>
      </c>
      <c r="C16" s="305">
        <v>156475578.912</v>
      </c>
      <c r="D16" s="305">
        <v>157621456.891</v>
      </c>
      <c r="E16" s="305">
        <v>146486140.18899998</v>
      </c>
      <c r="F16" s="305">
        <v>143220450.197</v>
      </c>
      <c r="G16" s="305">
        <v>149052732.609</v>
      </c>
      <c r="H16" s="306">
        <v>155402049.403</v>
      </c>
      <c r="I16" s="305">
        <v>161766178.65000001</v>
      </c>
      <c r="J16" s="305">
        <v>183615102.368</v>
      </c>
      <c r="K16" s="305">
        <v>165499659.04699999</v>
      </c>
      <c r="L16" s="305">
        <v>154696497.05199999</v>
      </c>
      <c r="M16" s="305">
        <v>145368431.419</v>
      </c>
      <c r="N16" s="305">
        <v>158815985.792</v>
      </c>
      <c r="O16" s="109">
        <f t="shared" si="0"/>
        <v>1878020262.5289998</v>
      </c>
      <c r="Q16"/>
      <c r="R16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s="101" customFormat="1">
      <c r="A17" s="102" t="s">
        <v>4</v>
      </c>
      <c r="B17" s="30">
        <v>29</v>
      </c>
      <c r="C17" s="305">
        <v>269388.78899999999</v>
      </c>
      <c r="D17" s="305">
        <v>276136.7</v>
      </c>
      <c r="E17" s="305">
        <v>280808.11599999998</v>
      </c>
      <c r="F17" s="305">
        <v>266694.74800000002</v>
      </c>
      <c r="G17" s="305">
        <v>708710.26399999997</v>
      </c>
      <c r="H17" s="306">
        <v>1878608.1170000001</v>
      </c>
      <c r="I17" s="305">
        <v>3447384.53</v>
      </c>
      <c r="J17" s="305">
        <v>4528357.2280000001</v>
      </c>
      <c r="K17" s="305">
        <v>3435869.1839999999</v>
      </c>
      <c r="L17" s="305">
        <v>1100229.371</v>
      </c>
      <c r="M17" s="305">
        <v>309864.799</v>
      </c>
      <c r="N17" s="305">
        <v>224088.198</v>
      </c>
      <c r="O17" s="109">
        <f t="shared" si="0"/>
        <v>16726140.044000002</v>
      </c>
      <c r="Q17"/>
      <c r="R17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s="101" customFormat="1">
      <c r="A18" s="102" t="s">
        <v>5</v>
      </c>
      <c r="B18" s="30">
        <v>31</v>
      </c>
      <c r="C18" s="305">
        <v>111293428.93399999</v>
      </c>
      <c r="D18" s="305">
        <v>112448329.70199999</v>
      </c>
      <c r="E18" s="305">
        <v>100970460.10600001</v>
      </c>
      <c r="F18" s="305">
        <v>106215200.595</v>
      </c>
      <c r="G18" s="305">
        <v>103197424.47499999</v>
      </c>
      <c r="H18" s="306">
        <v>101103077.88</v>
      </c>
      <c r="I18" s="305">
        <v>107121848.958</v>
      </c>
      <c r="J18" s="305">
        <v>111938040.63699999</v>
      </c>
      <c r="K18" s="305">
        <v>108706433.20900001</v>
      </c>
      <c r="L18" s="305">
        <v>100648500.84099999</v>
      </c>
      <c r="M18" s="305">
        <v>96160731.420000002</v>
      </c>
      <c r="N18" s="305">
        <v>108100631.08000001</v>
      </c>
      <c r="O18" s="109">
        <f t="shared" si="0"/>
        <v>1267904107.8369999</v>
      </c>
      <c r="Q18"/>
      <c r="R18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s="101" customFormat="1">
      <c r="A19" s="62" t="s">
        <v>6</v>
      </c>
      <c r="B19" s="30">
        <v>35</v>
      </c>
      <c r="C19" s="305">
        <v>6000</v>
      </c>
      <c r="D19" s="305">
        <v>5400</v>
      </c>
      <c r="E19" s="305">
        <v>5400</v>
      </c>
      <c r="F19" s="305">
        <v>2496.6</v>
      </c>
      <c r="G19" s="305">
        <v>357143.4</v>
      </c>
      <c r="H19" s="306">
        <v>628320</v>
      </c>
      <c r="I19" s="305">
        <v>649320</v>
      </c>
      <c r="J19" s="305">
        <v>1006380</v>
      </c>
      <c r="K19" s="305">
        <v>750660</v>
      </c>
      <c r="L19" s="305">
        <v>794580</v>
      </c>
      <c r="M19" s="305">
        <v>235920</v>
      </c>
      <c r="N19" s="305">
        <v>5760</v>
      </c>
      <c r="O19" s="109">
        <f t="shared" si="0"/>
        <v>4447380</v>
      </c>
      <c r="Q19"/>
      <c r="R19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s="103" customFormat="1">
      <c r="A20" s="334" t="s">
        <v>22</v>
      </c>
      <c r="B20" s="30">
        <v>40</v>
      </c>
      <c r="C20" s="305">
        <v>45745730.302000001</v>
      </c>
      <c r="D20" s="305">
        <v>43929830.578000002</v>
      </c>
      <c r="E20" s="305">
        <v>44503265.692999996</v>
      </c>
      <c r="F20" s="305">
        <v>42551050.405000001</v>
      </c>
      <c r="G20" s="305">
        <v>42098019.358999997</v>
      </c>
      <c r="H20" s="306">
        <v>36454394.177000001</v>
      </c>
      <c r="I20" s="305">
        <v>48717375.324000001</v>
      </c>
      <c r="J20" s="305">
        <v>46696152.519000001</v>
      </c>
      <c r="K20" s="305">
        <v>43379395.791000001</v>
      </c>
      <c r="L20" s="305">
        <v>35046087.943999998</v>
      </c>
      <c r="M20" s="305">
        <v>47156353.952</v>
      </c>
      <c r="N20" s="305">
        <v>42267793.200999998</v>
      </c>
      <c r="O20" s="109">
        <f t="shared" si="0"/>
        <v>518545449.245</v>
      </c>
      <c r="Q20"/>
      <c r="R2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s="101" customFormat="1">
      <c r="A21" s="102" t="s">
        <v>7</v>
      </c>
      <c r="B21" s="30">
        <v>43</v>
      </c>
      <c r="C21" s="305">
        <v>14705562.185000001</v>
      </c>
      <c r="D21" s="305">
        <v>13348269.555</v>
      </c>
      <c r="E21" s="305">
        <v>14774100</v>
      </c>
      <c r="F21" s="305">
        <v>12167918.880000001</v>
      </c>
      <c r="G21" s="305">
        <v>9528385.6850000005</v>
      </c>
      <c r="H21" s="306">
        <v>8207965.2699999996</v>
      </c>
      <c r="I21" s="305">
        <v>6333325.7949999999</v>
      </c>
      <c r="J21" s="305">
        <v>5565099.335</v>
      </c>
      <c r="K21" s="305">
        <v>5746479.6399999997</v>
      </c>
      <c r="L21" s="305">
        <v>7995505.7249999996</v>
      </c>
      <c r="M21" s="305">
        <v>9194158.8350000009</v>
      </c>
      <c r="N21" s="305">
        <v>12572569.045</v>
      </c>
      <c r="O21" s="109">
        <f t="shared" si="0"/>
        <v>120139339.95</v>
      </c>
      <c r="Q21"/>
      <c r="R21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>
      <c r="A22" s="84" t="s">
        <v>143</v>
      </c>
      <c r="B22" s="108" t="s">
        <v>48</v>
      </c>
      <c r="C22" s="305">
        <v>51923761.625</v>
      </c>
      <c r="D22" s="305">
        <v>83844828.819000006</v>
      </c>
      <c r="E22" s="305">
        <v>16550318.004999999</v>
      </c>
      <c r="F22" s="305">
        <v>52598779.873999998</v>
      </c>
      <c r="G22" s="305">
        <v>51025804.240999997</v>
      </c>
      <c r="H22" s="306">
        <v>53857181.723000005</v>
      </c>
      <c r="I22" s="305">
        <v>54193014.815999992</v>
      </c>
      <c r="J22" s="305">
        <v>50846186.817000002</v>
      </c>
      <c r="K22" s="305">
        <v>59524700.609000005</v>
      </c>
      <c r="L22" s="305">
        <v>50962795.626000002</v>
      </c>
      <c r="M22" s="305">
        <v>52294545.349000007</v>
      </c>
      <c r="N22" s="305">
        <v>40049706.736000001</v>
      </c>
      <c r="O22" s="109">
        <f t="shared" si="0"/>
        <v>617671624.24000001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>
      <c r="A23" s="84" t="s">
        <v>142</v>
      </c>
      <c r="B23" s="108" t="s">
        <v>47</v>
      </c>
      <c r="C23" s="305">
        <v>5833297.7620000001</v>
      </c>
      <c r="D23" s="305">
        <v>5903361.0930000003</v>
      </c>
      <c r="E23" s="305">
        <v>5627651.4330000002</v>
      </c>
      <c r="F23" s="305">
        <v>6038794.7130000005</v>
      </c>
      <c r="G23" s="305">
        <v>6061283.9859999996</v>
      </c>
      <c r="H23" s="306">
        <v>5842414.602</v>
      </c>
      <c r="I23" s="305">
        <v>5831969.0729999999</v>
      </c>
      <c r="J23" s="305">
        <v>5908433.5570000019</v>
      </c>
      <c r="K23" s="305">
        <v>5836334.4180000005</v>
      </c>
      <c r="L23" s="305">
        <v>6065007.6610000003</v>
      </c>
      <c r="M23" s="305">
        <v>5708355.3970000008</v>
      </c>
      <c r="N23" s="305">
        <v>5547688.523000001</v>
      </c>
      <c r="O23" s="109">
        <f t="shared" si="0"/>
        <v>70204592.217999995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 s="89" customFormat="1">
      <c r="A24" s="87" t="s">
        <v>21</v>
      </c>
      <c r="B24" s="87"/>
      <c r="C24" s="88">
        <f t="shared" ref="C24:N24" si="1">SUM(C8:C23)</f>
        <v>2175800950.71</v>
      </c>
      <c r="D24" s="88">
        <f t="shared" si="1"/>
        <v>2056849742.632</v>
      </c>
      <c r="E24" s="88">
        <f t="shared" si="1"/>
        <v>1966098373.8209999</v>
      </c>
      <c r="F24" s="88">
        <f t="shared" si="1"/>
        <v>1758070858.0630002</v>
      </c>
      <c r="G24" s="88">
        <f t="shared" si="1"/>
        <v>1549045166.451</v>
      </c>
      <c r="H24" s="88">
        <f t="shared" si="1"/>
        <v>1465003512.7130001</v>
      </c>
      <c r="I24" s="88">
        <f t="shared" si="1"/>
        <v>1508426783.1589999</v>
      </c>
      <c r="J24" s="88">
        <f t="shared" si="1"/>
        <v>1644502907.8479998</v>
      </c>
      <c r="K24" s="88">
        <f t="shared" si="1"/>
        <v>1533261089.5390003</v>
      </c>
      <c r="L24" s="88">
        <f t="shared" si="1"/>
        <v>1478033403.306</v>
      </c>
      <c r="M24" s="88">
        <f t="shared" si="1"/>
        <v>1648907169.1489999</v>
      </c>
      <c r="N24" s="88">
        <f t="shared" si="1"/>
        <v>1958732381.3290002</v>
      </c>
      <c r="O24" s="109">
        <f t="shared" si="0"/>
        <v>20742732338.719997</v>
      </c>
    </row>
    <row r="25" spans="1:30" ht="15">
      <c r="A25" s="24"/>
      <c r="B25" s="24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168"/>
      <c r="O25" s="63"/>
    </row>
    <row r="26" spans="1:30">
      <c r="N26" s="30"/>
    </row>
    <row r="27" spans="1:30">
      <c r="A27" s="61" t="s">
        <v>27</v>
      </c>
    </row>
    <row r="28" spans="1:30">
      <c r="A28" s="61" t="s">
        <v>133</v>
      </c>
    </row>
    <row r="29" spans="1:30">
      <c r="A29" t="s">
        <v>146</v>
      </c>
    </row>
    <row r="30" spans="1:30">
      <c r="A30" s="61" t="s">
        <v>76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268"/>
    </row>
    <row r="31" spans="1:30">
      <c r="A31" s="61" t="s">
        <v>24</v>
      </c>
      <c r="B31" s="61" t="s">
        <v>49</v>
      </c>
      <c r="C31" s="106">
        <f t="shared" ref="C31:N31" si="2">C7</f>
        <v>43101</v>
      </c>
      <c r="D31" s="106">
        <f t="shared" si="2"/>
        <v>43132</v>
      </c>
      <c r="E31" s="106">
        <f t="shared" si="2"/>
        <v>43160</v>
      </c>
      <c r="F31" s="106">
        <f t="shared" si="2"/>
        <v>43191</v>
      </c>
      <c r="G31" s="106">
        <f t="shared" si="2"/>
        <v>43221</v>
      </c>
      <c r="H31" s="106">
        <f t="shared" si="2"/>
        <v>43252</v>
      </c>
      <c r="I31" s="106">
        <f t="shared" si="2"/>
        <v>43282</v>
      </c>
      <c r="J31" s="106">
        <f t="shared" si="2"/>
        <v>43313</v>
      </c>
      <c r="K31" s="106">
        <f t="shared" si="2"/>
        <v>43344</v>
      </c>
      <c r="L31" s="106">
        <f t="shared" si="2"/>
        <v>43374</v>
      </c>
      <c r="M31" s="106">
        <f t="shared" si="2"/>
        <v>43405</v>
      </c>
      <c r="N31" s="106">
        <f t="shared" si="2"/>
        <v>43435</v>
      </c>
    </row>
    <row r="32" spans="1:30">
      <c r="A32" s="102" t="s">
        <v>46</v>
      </c>
      <c r="B32" s="235">
        <v>5</v>
      </c>
      <c r="C32" s="307">
        <v>8</v>
      </c>
      <c r="D32" s="307">
        <v>8</v>
      </c>
      <c r="E32" s="307">
        <v>8</v>
      </c>
      <c r="F32" s="307">
        <v>8</v>
      </c>
      <c r="G32" s="307">
        <v>8</v>
      </c>
      <c r="H32" s="307">
        <v>8</v>
      </c>
      <c r="I32" s="307">
        <v>8</v>
      </c>
      <c r="J32" s="307">
        <v>8</v>
      </c>
      <c r="K32" s="307">
        <v>8</v>
      </c>
      <c r="L32" s="307">
        <v>8</v>
      </c>
      <c r="M32" s="307">
        <v>8</v>
      </c>
      <c r="N32" s="307">
        <v>8</v>
      </c>
    </row>
    <row r="33" spans="1:14">
      <c r="A33" s="100" t="s">
        <v>141</v>
      </c>
      <c r="B33" s="235">
        <v>7</v>
      </c>
      <c r="C33" s="307">
        <v>1005060</v>
      </c>
      <c r="D33" s="307">
        <v>1006215</v>
      </c>
      <c r="E33" s="307">
        <v>1006855</v>
      </c>
      <c r="F33" s="307">
        <v>1007514</v>
      </c>
      <c r="G33" s="307">
        <v>1008561</v>
      </c>
      <c r="H33" s="307">
        <v>1009696</v>
      </c>
      <c r="I33" s="307">
        <v>1010120</v>
      </c>
      <c r="J33" s="307">
        <v>1011178</v>
      </c>
      <c r="K33" s="307">
        <v>1012929</v>
      </c>
      <c r="L33" s="307">
        <v>1014406</v>
      </c>
      <c r="M33" s="307">
        <v>1016565</v>
      </c>
      <c r="N33" s="307">
        <v>1017763</v>
      </c>
    </row>
    <row r="34" spans="1:14">
      <c r="A34" s="102" t="s">
        <v>34</v>
      </c>
      <c r="B34" s="235">
        <v>8</v>
      </c>
      <c r="C34" s="307">
        <v>29987</v>
      </c>
      <c r="D34" s="307">
        <v>29970</v>
      </c>
      <c r="E34" s="307">
        <v>30012</v>
      </c>
      <c r="F34" s="307">
        <v>30016</v>
      </c>
      <c r="G34" s="307">
        <v>30040</v>
      </c>
      <c r="H34" s="307">
        <v>30049</v>
      </c>
      <c r="I34" s="307">
        <v>30083</v>
      </c>
      <c r="J34" s="307">
        <v>30112</v>
      </c>
      <c r="K34" s="307">
        <v>30107</v>
      </c>
      <c r="L34" s="307">
        <v>30128</v>
      </c>
      <c r="M34" s="307">
        <v>30153</v>
      </c>
      <c r="N34" s="307">
        <v>30152</v>
      </c>
    </row>
    <row r="35" spans="1:14">
      <c r="A35" s="102" t="s">
        <v>37</v>
      </c>
      <c r="B35" s="235">
        <v>10</v>
      </c>
      <c r="C35" s="307">
        <v>13</v>
      </c>
      <c r="D35" s="307">
        <v>13</v>
      </c>
      <c r="E35" s="307">
        <v>13</v>
      </c>
      <c r="F35" s="307">
        <v>13</v>
      </c>
      <c r="G35" s="307">
        <v>13</v>
      </c>
      <c r="H35" s="307">
        <v>13</v>
      </c>
      <c r="I35" s="307">
        <v>13</v>
      </c>
      <c r="J35" s="307">
        <v>13</v>
      </c>
      <c r="K35" s="307">
        <v>13</v>
      </c>
      <c r="L35" s="307">
        <v>13</v>
      </c>
      <c r="M35" s="307">
        <v>13</v>
      </c>
      <c r="N35" s="307">
        <v>13</v>
      </c>
    </row>
    <row r="36" spans="1:14">
      <c r="A36" s="102" t="s">
        <v>35</v>
      </c>
      <c r="B36" s="235">
        <v>11</v>
      </c>
      <c r="C36" s="307">
        <v>307</v>
      </c>
      <c r="D36" s="307">
        <v>308</v>
      </c>
      <c r="E36" s="307">
        <v>305</v>
      </c>
      <c r="F36" s="307">
        <v>307</v>
      </c>
      <c r="G36" s="307">
        <v>305</v>
      </c>
      <c r="H36" s="307">
        <v>305</v>
      </c>
      <c r="I36" s="307">
        <v>306</v>
      </c>
      <c r="J36" s="307">
        <v>306</v>
      </c>
      <c r="K36" s="307">
        <v>304</v>
      </c>
      <c r="L36" s="307">
        <v>305</v>
      </c>
      <c r="M36" s="307">
        <v>304</v>
      </c>
      <c r="N36" s="307">
        <v>303</v>
      </c>
    </row>
    <row r="37" spans="1:14">
      <c r="A37" s="102" t="s">
        <v>36</v>
      </c>
      <c r="B37" s="235">
        <v>12</v>
      </c>
      <c r="C37" s="307">
        <v>13</v>
      </c>
      <c r="D37" s="307">
        <v>13</v>
      </c>
      <c r="E37" s="307">
        <v>13</v>
      </c>
      <c r="F37" s="307">
        <v>13</v>
      </c>
      <c r="G37" s="307">
        <v>13</v>
      </c>
      <c r="H37" s="307">
        <v>13</v>
      </c>
      <c r="I37" s="307">
        <v>13</v>
      </c>
      <c r="J37" s="307">
        <v>14</v>
      </c>
      <c r="K37" s="307">
        <v>14</v>
      </c>
      <c r="L37" s="307">
        <v>14</v>
      </c>
      <c r="M37" s="307">
        <v>14</v>
      </c>
      <c r="N37" s="307">
        <v>14</v>
      </c>
    </row>
    <row r="38" spans="1:14">
      <c r="A38" s="100" t="s">
        <v>138</v>
      </c>
      <c r="B38" s="235">
        <v>24</v>
      </c>
      <c r="C38" s="307">
        <v>90968</v>
      </c>
      <c r="D38" s="307">
        <v>91153</v>
      </c>
      <c r="E38" s="307">
        <v>91252</v>
      </c>
      <c r="F38" s="307">
        <v>91258</v>
      </c>
      <c r="G38" s="307">
        <v>91332</v>
      </c>
      <c r="H38" s="307">
        <v>91543</v>
      </c>
      <c r="I38" s="307">
        <v>91620</v>
      </c>
      <c r="J38" s="307">
        <v>91735</v>
      </c>
      <c r="K38" s="307">
        <v>91870</v>
      </c>
      <c r="L38" s="307">
        <v>91902</v>
      </c>
      <c r="M38" s="307">
        <v>91842</v>
      </c>
      <c r="N38" s="307">
        <v>91794</v>
      </c>
    </row>
    <row r="39" spans="1:14">
      <c r="A39" s="100" t="s">
        <v>139</v>
      </c>
      <c r="B39" s="235">
        <v>25</v>
      </c>
      <c r="C39" s="307">
        <v>6977</v>
      </c>
      <c r="D39" s="307">
        <v>7077</v>
      </c>
      <c r="E39" s="307">
        <v>7201</v>
      </c>
      <c r="F39" s="307">
        <v>7315</v>
      </c>
      <c r="G39" s="307">
        <v>7372</v>
      </c>
      <c r="H39" s="307">
        <v>7273</v>
      </c>
      <c r="I39" s="307">
        <v>7242</v>
      </c>
      <c r="J39" s="307">
        <v>7243</v>
      </c>
      <c r="K39" s="307">
        <v>7248</v>
      </c>
      <c r="L39" s="307">
        <v>7288</v>
      </c>
      <c r="M39" s="307">
        <v>7339</v>
      </c>
      <c r="N39" s="307">
        <v>7348</v>
      </c>
    </row>
    <row r="40" spans="1:14">
      <c r="A40" s="100" t="s">
        <v>140</v>
      </c>
      <c r="B40" s="235">
        <v>26</v>
      </c>
      <c r="C40" s="307">
        <v>790</v>
      </c>
      <c r="D40" s="307">
        <v>785</v>
      </c>
      <c r="E40" s="307">
        <v>786</v>
      </c>
      <c r="F40" s="307">
        <v>790</v>
      </c>
      <c r="G40" s="307">
        <v>819</v>
      </c>
      <c r="H40" s="307">
        <v>848</v>
      </c>
      <c r="I40" s="307">
        <v>846</v>
      </c>
      <c r="J40" s="307">
        <v>849</v>
      </c>
      <c r="K40" s="307">
        <v>849</v>
      </c>
      <c r="L40" s="307">
        <v>836</v>
      </c>
      <c r="M40" s="307">
        <v>806</v>
      </c>
      <c r="N40" s="307">
        <v>808</v>
      </c>
    </row>
    <row r="41" spans="1:14">
      <c r="A41" s="102" t="s">
        <v>4</v>
      </c>
      <c r="B41" s="235">
        <v>29</v>
      </c>
      <c r="C41" s="307">
        <v>533</v>
      </c>
      <c r="D41" s="307">
        <v>521</v>
      </c>
      <c r="E41" s="307">
        <v>529</v>
      </c>
      <c r="F41" s="307">
        <v>564</v>
      </c>
      <c r="G41" s="307">
        <v>629</v>
      </c>
      <c r="H41" s="307">
        <v>665</v>
      </c>
      <c r="I41" s="307">
        <v>687</v>
      </c>
      <c r="J41" s="307">
        <v>695</v>
      </c>
      <c r="K41" s="307">
        <v>683</v>
      </c>
      <c r="L41" s="307">
        <v>633</v>
      </c>
      <c r="M41" s="307">
        <v>554</v>
      </c>
      <c r="N41" s="307">
        <v>539</v>
      </c>
    </row>
    <row r="42" spans="1:14">
      <c r="A42" s="102" t="s">
        <v>5</v>
      </c>
      <c r="B42" s="235">
        <v>31</v>
      </c>
      <c r="C42" s="307">
        <v>469</v>
      </c>
      <c r="D42" s="307">
        <v>467</v>
      </c>
      <c r="E42" s="307">
        <v>468</v>
      </c>
      <c r="F42" s="307">
        <v>470</v>
      </c>
      <c r="G42" s="307">
        <v>469</v>
      </c>
      <c r="H42" s="307">
        <v>470</v>
      </c>
      <c r="I42" s="307">
        <v>470</v>
      </c>
      <c r="J42" s="307">
        <v>469</v>
      </c>
      <c r="K42" s="307">
        <v>468</v>
      </c>
      <c r="L42" s="307">
        <v>469</v>
      </c>
      <c r="M42" s="307">
        <v>469</v>
      </c>
      <c r="N42" s="307">
        <v>468</v>
      </c>
    </row>
    <row r="43" spans="1:14">
      <c r="A43" s="62" t="s">
        <v>6</v>
      </c>
      <c r="B43" s="235">
        <v>35</v>
      </c>
      <c r="C43" s="307">
        <v>1</v>
      </c>
      <c r="D43" s="307">
        <v>1</v>
      </c>
      <c r="E43" s="307">
        <v>1</v>
      </c>
      <c r="F43" s="307">
        <v>1</v>
      </c>
      <c r="G43" s="307">
        <v>2</v>
      </c>
      <c r="H43" s="307">
        <v>2</v>
      </c>
      <c r="I43" s="307">
        <v>2</v>
      </c>
      <c r="J43" s="307">
        <v>2</v>
      </c>
      <c r="K43" s="307">
        <v>2</v>
      </c>
      <c r="L43" s="307">
        <v>2</v>
      </c>
      <c r="M43" s="307">
        <v>2</v>
      </c>
      <c r="N43" s="307">
        <v>2</v>
      </c>
    </row>
    <row r="44" spans="1:14">
      <c r="A44" s="334" t="s">
        <v>22</v>
      </c>
      <c r="B44" s="235">
        <v>40</v>
      </c>
      <c r="C44" s="307">
        <v>130</v>
      </c>
      <c r="D44" s="307">
        <v>128</v>
      </c>
      <c r="E44" s="307">
        <v>128</v>
      </c>
      <c r="F44" s="307">
        <v>128</v>
      </c>
      <c r="G44" s="307">
        <v>128</v>
      </c>
      <c r="H44" s="307">
        <v>128</v>
      </c>
      <c r="I44" s="307">
        <v>129</v>
      </c>
      <c r="J44" s="307">
        <v>129</v>
      </c>
      <c r="K44" s="307">
        <v>129</v>
      </c>
      <c r="L44" s="307">
        <v>129</v>
      </c>
      <c r="M44" s="307">
        <v>129</v>
      </c>
      <c r="N44" s="307">
        <v>127</v>
      </c>
    </row>
    <row r="45" spans="1:14">
      <c r="A45" s="102" t="s">
        <v>7</v>
      </c>
      <c r="B45" s="235">
        <v>43</v>
      </c>
      <c r="C45" s="307">
        <v>157</v>
      </c>
      <c r="D45" s="307">
        <v>156</v>
      </c>
      <c r="E45" s="307">
        <v>156</v>
      </c>
      <c r="F45" s="307">
        <v>155</v>
      </c>
      <c r="G45" s="307">
        <v>155</v>
      </c>
      <c r="H45" s="307">
        <v>155</v>
      </c>
      <c r="I45" s="307">
        <v>155</v>
      </c>
      <c r="J45" s="307">
        <v>154</v>
      </c>
      <c r="K45" s="307">
        <v>154</v>
      </c>
      <c r="L45" s="307">
        <v>153</v>
      </c>
      <c r="M45" s="307">
        <v>153</v>
      </c>
      <c r="N45" s="307">
        <v>153</v>
      </c>
    </row>
    <row r="46" spans="1:14">
      <c r="A46" s="84" t="s">
        <v>143</v>
      </c>
      <c r="B46" s="235" t="s">
        <v>48</v>
      </c>
      <c r="C46" s="307">
        <v>25</v>
      </c>
      <c r="D46" s="307">
        <v>25</v>
      </c>
      <c r="E46" s="307">
        <v>25</v>
      </c>
      <c r="F46" s="307">
        <v>25</v>
      </c>
      <c r="G46" s="307">
        <v>25</v>
      </c>
      <c r="H46" s="307">
        <v>25</v>
      </c>
      <c r="I46" s="307">
        <v>25</v>
      </c>
      <c r="J46" s="307">
        <v>25</v>
      </c>
      <c r="K46" s="307">
        <v>25</v>
      </c>
      <c r="L46" s="307">
        <v>25</v>
      </c>
      <c r="M46" s="307">
        <v>25</v>
      </c>
      <c r="N46" s="307">
        <v>25</v>
      </c>
    </row>
    <row r="47" spans="1:14">
      <c r="A47" s="84" t="s">
        <v>142</v>
      </c>
      <c r="B47" s="235" t="s">
        <v>47</v>
      </c>
      <c r="C47" s="307">
        <v>7688</v>
      </c>
      <c r="D47" s="307">
        <v>7711</v>
      </c>
      <c r="E47" s="307">
        <v>7732</v>
      </c>
      <c r="F47" s="307">
        <v>7767</v>
      </c>
      <c r="G47" s="307">
        <v>7804</v>
      </c>
      <c r="H47" s="307">
        <v>7850</v>
      </c>
      <c r="I47" s="307">
        <v>7854</v>
      </c>
      <c r="J47" s="307">
        <v>7869</v>
      </c>
      <c r="K47" s="307">
        <v>7883</v>
      </c>
      <c r="L47" s="307">
        <v>7905</v>
      </c>
      <c r="M47" s="307">
        <v>7924</v>
      </c>
      <c r="N47" s="307">
        <v>7963</v>
      </c>
    </row>
    <row r="48" spans="1:14">
      <c r="A48" t="s">
        <v>134</v>
      </c>
      <c r="B48" s="235"/>
      <c r="C48" s="307">
        <v>13</v>
      </c>
      <c r="D48" s="307">
        <v>13</v>
      </c>
      <c r="E48" s="307">
        <v>13</v>
      </c>
      <c r="F48" s="307">
        <v>13</v>
      </c>
      <c r="G48" s="307">
        <v>13</v>
      </c>
      <c r="H48" s="307">
        <v>13</v>
      </c>
      <c r="I48" s="307">
        <v>13</v>
      </c>
      <c r="J48" s="307">
        <v>13</v>
      </c>
      <c r="K48" s="307">
        <v>13</v>
      </c>
      <c r="L48" s="307">
        <v>13</v>
      </c>
      <c r="M48" s="307">
        <v>13</v>
      </c>
      <c r="N48" s="307">
        <v>13</v>
      </c>
    </row>
    <row r="49" spans="1:14">
      <c r="A49" t="s">
        <v>135</v>
      </c>
      <c r="B49" s="235"/>
      <c r="C49" s="307">
        <v>3</v>
      </c>
      <c r="D49" s="307">
        <v>3</v>
      </c>
      <c r="E49" s="307">
        <v>3</v>
      </c>
      <c r="F49" s="307">
        <v>3</v>
      </c>
      <c r="G49" s="307">
        <v>3</v>
      </c>
      <c r="H49" s="307">
        <v>3</v>
      </c>
      <c r="I49" s="307">
        <v>3</v>
      </c>
      <c r="J49" s="307">
        <v>3</v>
      </c>
      <c r="K49" s="307">
        <v>3</v>
      </c>
      <c r="L49" s="307">
        <v>3</v>
      </c>
      <c r="M49" s="307">
        <v>3</v>
      </c>
      <c r="N49" s="307">
        <v>3</v>
      </c>
    </row>
    <row r="50" spans="1:14">
      <c r="A50" t="s">
        <v>21</v>
      </c>
      <c r="B50" s="235"/>
      <c r="C50" s="276">
        <f>SUM(C32:C49)</f>
        <v>1143142</v>
      </c>
      <c r="D50" s="276">
        <f t="shared" ref="D50:N50" si="3">SUM(D32:D49)</f>
        <v>1144567</v>
      </c>
      <c r="E50" s="276">
        <f t="shared" si="3"/>
        <v>1145500</v>
      </c>
      <c r="F50" s="276">
        <f t="shared" si="3"/>
        <v>1146360</v>
      </c>
      <c r="G50" s="276">
        <f t="shared" si="3"/>
        <v>1147691</v>
      </c>
      <c r="H50" s="276">
        <f t="shared" si="3"/>
        <v>1149059</v>
      </c>
      <c r="I50" s="276">
        <f t="shared" si="3"/>
        <v>1149589</v>
      </c>
      <c r="J50" s="276">
        <f t="shared" si="3"/>
        <v>1150817</v>
      </c>
      <c r="K50" s="276">
        <f t="shared" si="3"/>
        <v>1152702</v>
      </c>
      <c r="L50" s="276">
        <f t="shared" si="3"/>
        <v>1154232</v>
      </c>
      <c r="M50" s="276">
        <f t="shared" si="3"/>
        <v>1156316</v>
      </c>
      <c r="N50" s="276">
        <f t="shared" si="3"/>
        <v>1157496</v>
      </c>
    </row>
    <row r="51" spans="1:14">
      <c r="A51" s="93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93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0" bestFit="1" customWidth="1"/>
    <col min="3" max="3" width="12.28515625" style="170" customWidth="1"/>
    <col min="4" max="5" width="11.7109375" style="170" customWidth="1"/>
    <col min="6" max="6" width="12.28515625" style="170" customWidth="1"/>
    <col min="7" max="10" width="12.7109375" style="170" customWidth="1"/>
    <col min="11" max="11" width="14.28515625" style="170" bestFit="1" customWidth="1"/>
    <col min="12" max="12" width="13" style="170" bestFit="1" customWidth="1"/>
    <col min="13" max="13" width="10.7109375" style="170" customWidth="1"/>
    <col min="14" max="14" width="12.7109375" style="170" bestFit="1" customWidth="1"/>
    <col min="15" max="15" width="11.7109375" style="170" customWidth="1"/>
    <col min="16" max="16384" width="9.28515625" style="170"/>
  </cols>
  <sheetData>
    <row r="1" spans="1:30" ht="18">
      <c r="A1" s="166" t="s">
        <v>162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1:30">
      <c r="A2" s="122"/>
      <c r="B2" s="123"/>
      <c r="C2" s="124"/>
      <c r="D2" s="124"/>
      <c r="E2" s="124"/>
      <c r="F2" s="125" t="s">
        <v>53</v>
      </c>
      <c r="G2" s="124"/>
      <c r="H2" s="124"/>
      <c r="I2" s="124"/>
      <c r="J2" s="124"/>
      <c r="K2" s="126"/>
      <c r="L2" s="123"/>
      <c r="M2" s="127"/>
      <c r="N2" s="127"/>
      <c r="O2" s="121"/>
    </row>
    <row r="3" spans="1:30" ht="38.25">
      <c r="A3" s="128" t="s">
        <v>54</v>
      </c>
      <c r="B3" s="129" t="s">
        <v>55</v>
      </c>
      <c r="C3" s="130" t="s">
        <v>56</v>
      </c>
      <c r="D3" s="130" t="s">
        <v>57</v>
      </c>
      <c r="E3" s="131" t="s">
        <v>93</v>
      </c>
      <c r="F3" s="130" t="s">
        <v>58</v>
      </c>
      <c r="G3" s="130" t="s">
        <v>59</v>
      </c>
      <c r="H3" s="130" t="s">
        <v>60</v>
      </c>
      <c r="I3" s="130" t="s">
        <v>61</v>
      </c>
      <c r="J3" s="130" t="s">
        <v>62</v>
      </c>
      <c r="K3" s="132" t="s">
        <v>63</v>
      </c>
      <c r="L3" s="133" t="s">
        <v>64</v>
      </c>
      <c r="M3" s="129" t="s">
        <v>65</v>
      </c>
      <c r="N3" s="134" t="s">
        <v>66</v>
      </c>
      <c r="O3" s="134" t="s">
        <v>77</v>
      </c>
      <c r="Q3" s="324" t="s">
        <v>152</v>
      </c>
      <c r="R3" s="324" t="s">
        <v>153</v>
      </c>
    </row>
    <row r="4" spans="1:30">
      <c r="A4" s="238">
        <v>2018</v>
      </c>
      <c r="B4" s="136">
        <v>1</v>
      </c>
      <c r="C4" s="241">
        <v>723.21388888888896</v>
      </c>
      <c r="D4" s="242">
        <v>0</v>
      </c>
      <c r="E4" s="308">
        <v>628.70833333333326</v>
      </c>
      <c r="F4" s="308">
        <v>0</v>
      </c>
      <c r="G4" s="241">
        <v>131.923611111111</v>
      </c>
      <c r="H4" s="308">
        <v>49.499999999999993</v>
      </c>
      <c r="I4" s="241">
        <v>0</v>
      </c>
      <c r="J4" s="312">
        <v>0</v>
      </c>
      <c r="K4" s="295">
        <v>2215266.1669999999</v>
      </c>
      <c r="L4" s="257">
        <f t="shared" ref="L4:L15" si="0">K4/M4*1000</f>
        <v>1937.9020046783992</v>
      </c>
      <c r="M4" s="300">
        <f>SUM('SAP BW Actual Usage'!C32:C47)</f>
        <v>1143126</v>
      </c>
      <c r="N4" s="303">
        <f t="shared" ref="N4:N15" si="1">(L4+(C4-E4)*C22+(G4-H4)*D22+(D4-F4)*E22+(I4-J4)*F22)*M4/1000</f>
        <v>2305584.0654216884</v>
      </c>
      <c r="O4" s="286">
        <f t="shared" ref="O4:O9" si="2">N4-K4</f>
        <v>90317.898421688471</v>
      </c>
      <c r="P4" s="79"/>
      <c r="Q4" s="325">
        <v>413.27916666666698</v>
      </c>
      <c r="R4" s="326">
        <v>318.70833333333337</v>
      </c>
    </row>
    <row r="5" spans="1:30">
      <c r="A5" s="247">
        <f>A4</f>
        <v>2018</v>
      </c>
      <c r="B5" s="136">
        <v>2</v>
      </c>
      <c r="C5" s="137">
        <v>616.98611111111097</v>
      </c>
      <c r="D5" s="233">
        <v>0</v>
      </c>
      <c r="E5" s="309">
        <v>672.58333333333303</v>
      </c>
      <c r="F5" s="310">
        <v>0</v>
      </c>
      <c r="G5" s="137">
        <v>89.9930555555556</v>
      </c>
      <c r="H5" s="310">
        <v>140.583333333333</v>
      </c>
      <c r="I5" s="137">
        <v>0</v>
      </c>
      <c r="J5" s="313">
        <v>0</v>
      </c>
      <c r="K5" s="296">
        <f>2064898700/1000</f>
        <v>2064898.7</v>
      </c>
      <c r="L5" s="258">
        <f t="shared" si="0"/>
        <v>1804.1124423463873</v>
      </c>
      <c r="M5" s="300">
        <f>SUM('SAP BW Actual Usage'!D32:D47)</f>
        <v>1144551</v>
      </c>
      <c r="N5" s="304">
        <f t="shared" si="1"/>
        <v>2007991.9306302031</v>
      </c>
      <c r="O5" s="287">
        <f t="shared" si="2"/>
        <v>-56906.76936979685</v>
      </c>
      <c r="P5" s="79"/>
      <c r="Q5" s="325">
        <v>337.004166666667</v>
      </c>
      <c r="R5" s="326">
        <v>392.58333333333297</v>
      </c>
    </row>
    <row r="6" spans="1:30">
      <c r="A6" s="247">
        <f t="shared" ref="A6:A15" si="3">A5</f>
        <v>2018</v>
      </c>
      <c r="B6" s="136">
        <v>3</v>
      </c>
      <c r="C6" s="137">
        <v>592.16805555555595</v>
      </c>
      <c r="D6" s="233">
        <v>0</v>
      </c>
      <c r="E6" s="309">
        <v>589.83333333333337</v>
      </c>
      <c r="F6" s="309">
        <v>0</v>
      </c>
      <c r="G6" s="137">
        <v>42.775694444444397</v>
      </c>
      <c r="H6" s="310">
        <v>34.208333333333329</v>
      </c>
      <c r="I6" s="137">
        <v>0.102777777777778</v>
      </c>
      <c r="J6" s="313">
        <v>0</v>
      </c>
      <c r="K6" s="297">
        <f>2062414077/1000</f>
        <v>2062414.077</v>
      </c>
      <c r="L6" s="258">
        <f t="shared" si="0"/>
        <v>1800.4739280513741</v>
      </c>
      <c r="M6" s="300">
        <f>SUM('SAP BW Actual Usage'!E32:E47)</f>
        <v>1145484</v>
      </c>
      <c r="N6" s="304">
        <f t="shared" si="1"/>
        <v>2068533.3330722307</v>
      </c>
      <c r="O6" s="287">
        <f t="shared" si="2"/>
        <v>6119.2560722306371</v>
      </c>
      <c r="P6" s="79"/>
      <c r="Q6" s="325">
        <v>283.70277777777801</v>
      </c>
      <c r="R6" s="326">
        <v>288.375</v>
      </c>
    </row>
    <row r="7" spans="1:30">
      <c r="A7" s="135">
        <f t="shared" si="3"/>
        <v>2018</v>
      </c>
      <c r="B7" s="136">
        <v>4</v>
      </c>
      <c r="C7" s="137">
        <v>450.14722222222201</v>
      </c>
      <c r="D7" s="233">
        <v>0.68472222222222301</v>
      </c>
      <c r="E7" s="309">
        <v>419.04166666666703</v>
      </c>
      <c r="F7" s="309">
        <v>1.2083333333333299</v>
      </c>
      <c r="G7" s="137">
        <v>8.6638888888888896</v>
      </c>
      <c r="H7" s="309">
        <v>2.9166666666666701</v>
      </c>
      <c r="I7" s="137">
        <v>3.7069444444444501</v>
      </c>
      <c r="J7" s="313">
        <v>13.0833333333333</v>
      </c>
      <c r="K7" s="297">
        <f>1768077599/1000</f>
        <v>1768077.5989999999</v>
      </c>
      <c r="L7" s="258">
        <f t="shared" si="0"/>
        <v>1542.362152198642</v>
      </c>
      <c r="M7" s="300">
        <f>SUM('SAP BW Actual Usage'!F32:F47)</f>
        <v>1146344</v>
      </c>
      <c r="N7" s="304">
        <f t="shared" si="1"/>
        <v>1779404.1856001571</v>
      </c>
      <c r="O7" s="287">
        <f t="shared" si="2"/>
        <v>11326.586600157199</v>
      </c>
      <c r="P7" s="79"/>
      <c r="Q7" s="325">
        <v>166.16249999999999</v>
      </c>
      <c r="R7" s="326">
        <v>149.5</v>
      </c>
    </row>
    <row r="8" spans="1:30">
      <c r="A8" s="135">
        <f t="shared" si="3"/>
        <v>2018</v>
      </c>
      <c r="B8" s="136">
        <v>5</v>
      </c>
      <c r="C8" s="137">
        <v>296.66111111111098</v>
      </c>
      <c r="D8" s="233">
        <v>6.1736111111111098</v>
      </c>
      <c r="E8" s="309">
        <v>172.458333333333</v>
      </c>
      <c r="F8" s="310">
        <v>13.2083333333333</v>
      </c>
      <c r="G8" s="137">
        <v>0.41666666666666702</v>
      </c>
      <c r="H8" s="309">
        <v>0</v>
      </c>
      <c r="I8" s="137">
        <v>26.405555555555601</v>
      </c>
      <c r="J8" s="314">
        <v>45.7916666666667</v>
      </c>
      <c r="K8" s="296">
        <f>1593061438/1000</f>
        <v>1593061.4380000001</v>
      </c>
      <c r="L8" s="258">
        <f t="shared" si="0"/>
        <v>1388.0771455333609</v>
      </c>
      <c r="M8" s="300">
        <f>SUM('SAP BW Actual Usage'!G32:G47)</f>
        <v>1147675</v>
      </c>
      <c r="N8" s="304">
        <f t="shared" si="1"/>
        <v>1611520.0068019745</v>
      </c>
      <c r="O8" s="287">
        <f t="shared" si="2"/>
        <v>18458.568801974412</v>
      </c>
      <c r="P8" s="79"/>
      <c r="Q8" s="325">
        <v>58.012500000000003</v>
      </c>
      <c r="R8" s="326">
        <v>2.875</v>
      </c>
    </row>
    <row r="9" spans="1:30">
      <c r="A9" s="135">
        <f t="shared" si="3"/>
        <v>2018</v>
      </c>
      <c r="B9" s="136">
        <v>6</v>
      </c>
      <c r="C9" s="137">
        <v>162.50833333333301</v>
      </c>
      <c r="D9" s="233">
        <v>25.720833333333299</v>
      </c>
      <c r="E9" s="309">
        <v>124.833333333333</v>
      </c>
      <c r="F9" s="310">
        <v>31.9166666666667</v>
      </c>
      <c r="G9" s="137">
        <v>0</v>
      </c>
      <c r="H9" s="309">
        <v>0</v>
      </c>
      <c r="I9" s="137">
        <v>70.143055555555506</v>
      </c>
      <c r="J9" s="314">
        <v>85.2083333333333</v>
      </c>
      <c r="K9" s="296">
        <f>1565951960/1000</f>
        <v>1565951.96</v>
      </c>
      <c r="L9" s="258">
        <f t="shared" si="0"/>
        <v>1362.8314693183804</v>
      </c>
      <c r="M9" s="301">
        <f>SUM('SAP BW Actual Usage'!H32:H47)</f>
        <v>1149043</v>
      </c>
      <c r="N9" s="304">
        <f t="shared" si="1"/>
        <v>1559953.2997715843</v>
      </c>
      <c r="O9" s="287">
        <f t="shared" si="2"/>
        <v>-5998.6602284156252</v>
      </c>
      <c r="P9" s="79"/>
      <c r="Q9" s="325">
        <v>7.9180555555555596</v>
      </c>
      <c r="R9" s="326">
        <v>2.125</v>
      </c>
    </row>
    <row r="10" spans="1:30">
      <c r="A10" s="135">
        <f t="shared" si="3"/>
        <v>2018</v>
      </c>
      <c r="B10" s="136">
        <v>7</v>
      </c>
      <c r="C10" s="137">
        <v>57.0138888888889</v>
      </c>
      <c r="D10" s="254">
        <v>73.7916666666667</v>
      </c>
      <c r="E10" s="310">
        <v>16.5833333333333</v>
      </c>
      <c r="F10" s="310">
        <v>171.208333333333</v>
      </c>
      <c r="G10" s="137">
        <v>0</v>
      </c>
      <c r="H10" s="309">
        <v>0</v>
      </c>
      <c r="I10" s="137">
        <v>179.29305555555601</v>
      </c>
      <c r="J10" s="315">
        <v>309.625</v>
      </c>
      <c r="K10" s="298">
        <v>1749554.2919999999</v>
      </c>
      <c r="L10" s="258">
        <f t="shared" si="0"/>
        <v>1521.9166525309831</v>
      </c>
      <c r="M10" s="301">
        <f>SUM('SAP BW Actual Usage'!I32:I47)</f>
        <v>1149573</v>
      </c>
      <c r="N10" s="304">
        <f t="shared" si="1"/>
        <v>1684287.6524307153</v>
      </c>
      <c r="O10" s="287">
        <f t="shared" ref="O10:O15" si="4">N10-K10</f>
        <v>-65266.639569284627</v>
      </c>
      <c r="P10" s="247"/>
      <c r="Q10" s="233">
        <v>0.11944444444444501</v>
      </c>
      <c r="R10" s="314">
        <v>0</v>
      </c>
      <c r="S10" s="137"/>
      <c r="T10" s="137"/>
      <c r="U10" s="137"/>
      <c r="V10" s="137"/>
      <c r="W10" s="137"/>
      <c r="X10" s="137"/>
      <c r="Y10" s="233"/>
      <c r="Z10" s="248"/>
      <c r="AA10" s="137"/>
      <c r="AB10" s="161"/>
      <c r="AC10" s="249"/>
      <c r="AD10" s="250"/>
    </row>
    <row r="11" spans="1:30">
      <c r="A11" s="135">
        <f t="shared" si="3"/>
        <v>2018</v>
      </c>
      <c r="B11" s="136">
        <v>8</v>
      </c>
      <c r="C11" s="137">
        <v>47.509722222222202</v>
      </c>
      <c r="D11" s="254">
        <v>66.988888888888894</v>
      </c>
      <c r="E11" s="310">
        <v>25.0833333333333</v>
      </c>
      <c r="F11" s="310">
        <v>114.916666666667</v>
      </c>
      <c r="G11" s="137">
        <v>0</v>
      </c>
      <c r="H11" s="310">
        <v>0</v>
      </c>
      <c r="I11" s="137">
        <v>178.052777777778</v>
      </c>
      <c r="J11" s="315">
        <v>246.5</v>
      </c>
      <c r="K11" s="298">
        <f>1709931727/1000</f>
        <v>1709931.727</v>
      </c>
      <c r="L11" s="258">
        <f t="shared" si="0"/>
        <v>1485.8622185764523</v>
      </c>
      <c r="M11" s="301">
        <f>SUM('SAP BW Actual Usage'!J32:J47)</f>
        <v>1150801</v>
      </c>
      <c r="N11" s="304">
        <f t="shared" si="1"/>
        <v>1675731.2727487276</v>
      </c>
      <c r="O11" s="287">
        <f t="shared" si="4"/>
        <v>-34200.454251272371</v>
      </c>
      <c r="P11" s="247"/>
      <c r="Q11" s="233">
        <v>0</v>
      </c>
      <c r="R11" s="314">
        <v>0</v>
      </c>
      <c r="S11" s="137"/>
      <c r="T11" s="243"/>
      <c r="U11" s="243"/>
      <c r="V11" s="137"/>
      <c r="W11" s="137"/>
      <c r="X11" s="137"/>
      <c r="Y11" s="244"/>
      <c r="Z11" s="251"/>
      <c r="AA11" s="137"/>
      <c r="AB11" s="161"/>
      <c r="AC11" s="249"/>
      <c r="AD11" s="250"/>
    </row>
    <row r="12" spans="1:30">
      <c r="A12" s="135">
        <f t="shared" si="3"/>
        <v>2018</v>
      </c>
      <c r="B12" s="136">
        <v>9</v>
      </c>
      <c r="C12" s="137">
        <v>136.759722222222</v>
      </c>
      <c r="D12" s="254">
        <v>18.197222222222202</v>
      </c>
      <c r="E12" s="310">
        <v>116.666666666667</v>
      </c>
      <c r="F12" s="310">
        <v>8.5416666666666607</v>
      </c>
      <c r="G12" s="137">
        <v>0</v>
      </c>
      <c r="H12" s="310">
        <v>0</v>
      </c>
      <c r="I12" s="137">
        <v>72.752777777777794</v>
      </c>
      <c r="J12" s="315">
        <v>62.2916666666666</v>
      </c>
      <c r="K12" s="298">
        <f>1543735913/1000</f>
        <v>1543735.9129999999</v>
      </c>
      <c r="L12" s="258">
        <f t="shared" si="0"/>
        <v>1339.2510302025009</v>
      </c>
      <c r="M12" s="301">
        <f>SUM('SAP BW Actual Usage'!K32:K47)</f>
        <v>1152686</v>
      </c>
      <c r="N12" s="304">
        <f t="shared" si="1"/>
        <v>1545952.3993269168</v>
      </c>
      <c r="O12" s="287">
        <f t="shared" si="4"/>
        <v>2216.4863269168418</v>
      </c>
      <c r="P12" s="247"/>
      <c r="Q12" s="233">
        <v>4.0513888888888898</v>
      </c>
      <c r="R12" s="314">
        <v>0</v>
      </c>
      <c r="S12" s="137"/>
      <c r="T12" s="243"/>
      <c r="U12" s="243"/>
      <c r="V12" s="137"/>
      <c r="W12" s="137"/>
      <c r="X12" s="137"/>
      <c r="Y12" s="244"/>
      <c r="Z12" s="251"/>
      <c r="AA12" s="137"/>
      <c r="AB12" s="161"/>
      <c r="AC12" s="249"/>
      <c r="AD12" s="250"/>
    </row>
    <row r="13" spans="1:30">
      <c r="A13" s="135">
        <f t="shared" si="3"/>
        <v>2018</v>
      </c>
      <c r="B13" s="136">
        <v>10</v>
      </c>
      <c r="C13" s="137">
        <v>386.027777777778</v>
      </c>
      <c r="D13" s="254">
        <v>0</v>
      </c>
      <c r="E13" s="310">
        <v>366.375</v>
      </c>
      <c r="F13" s="310">
        <v>0</v>
      </c>
      <c r="G13" s="137">
        <v>2.8333333333333299</v>
      </c>
      <c r="H13" s="310">
        <v>0</v>
      </c>
      <c r="I13" s="137">
        <v>1.8902777777777799</v>
      </c>
      <c r="J13" s="315">
        <v>4.1666666666664298E-2</v>
      </c>
      <c r="K13" s="298">
        <f>1770977938/1000</f>
        <v>1770977.9380000001</v>
      </c>
      <c r="L13" s="258">
        <f t="shared" si="0"/>
        <v>1534.3557341086937</v>
      </c>
      <c r="M13" s="301">
        <f>SUM('SAP BW Actual Usage'!L32:L47)</f>
        <v>1154216</v>
      </c>
      <c r="N13" s="304">
        <f t="shared" si="1"/>
        <v>1778613.5613702582</v>
      </c>
      <c r="O13" s="287">
        <f t="shared" si="4"/>
        <v>7635.6233702581376</v>
      </c>
      <c r="P13" s="247"/>
      <c r="Q13" s="233">
        <v>99.504166666666606</v>
      </c>
      <c r="R13" s="314">
        <v>69.7083333333333</v>
      </c>
      <c r="S13" s="137"/>
      <c r="T13" s="243"/>
      <c r="U13" s="243"/>
      <c r="V13" s="137"/>
      <c r="W13" s="243"/>
      <c r="X13" s="137"/>
      <c r="Y13" s="244"/>
      <c r="Z13" s="138"/>
      <c r="AA13" s="137"/>
      <c r="AB13" s="161"/>
      <c r="AC13" s="249"/>
      <c r="AD13" s="250"/>
    </row>
    <row r="14" spans="1:30">
      <c r="A14" s="135">
        <f t="shared" si="3"/>
        <v>2018</v>
      </c>
      <c r="B14" s="136">
        <v>11</v>
      </c>
      <c r="C14" s="137">
        <v>583.59097222222204</v>
      </c>
      <c r="D14" s="233">
        <v>0</v>
      </c>
      <c r="E14" s="310">
        <v>493.60416666666703</v>
      </c>
      <c r="F14" s="310">
        <v>0</v>
      </c>
      <c r="G14" s="137">
        <v>54.622222222222199</v>
      </c>
      <c r="H14" s="310">
        <v>13.8333333333333</v>
      </c>
      <c r="I14" s="137">
        <v>2.9166666666666698E-2</v>
      </c>
      <c r="J14" s="314">
        <v>0</v>
      </c>
      <c r="K14" s="296">
        <f>1944414706/1000</f>
        <v>1944414.706</v>
      </c>
      <c r="L14" s="258">
        <f t="shared" si="0"/>
        <v>1681.583244832656</v>
      </c>
      <c r="M14" s="301">
        <f>SUM('SAP BW Actual Usage'!M32:M47)</f>
        <v>1156300</v>
      </c>
      <c r="N14" s="304">
        <f t="shared" si="1"/>
        <v>2027305.8968656934</v>
      </c>
      <c r="O14" s="287">
        <f t="shared" si="4"/>
        <v>82891.190865693381</v>
      </c>
      <c r="P14" s="247"/>
      <c r="Q14" s="233">
        <v>285.20763888888899</v>
      </c>
      <c r="R14" s="314">
        <v>199.958333333333</v>
      </c>
      <c r="S14" s="137"/>
      <c r="T14" s="243"/>
      <c r="U14" s="137"/>
      <c r="V14" s="137"/>
      <c r="W14" s="243"/>
      <c r="X14" s="137"/>
      <c r="Y14" s="233"/>
      <c r="Z14" s="138"/>
      <c r="AA14" s="137"/>
      <c r="AB14" s="161"/>
      <c r="AC14" s="249"/>
      <c r="AD14" s="250"/>
    </row>
    <row r="15" spans="1:30">
      <c r="A15" s="237">
        <f t="shared" si="3"/>
        <v>2018</v>
      </c>
      <c r="B15" s="136">
        <v>12</v>
      </c>
      <c r="C15" s="245">
        <v>747.57777777777801</v>
      </c>
      <c r="D15" s="246">
        <v>0</v>
      </c>
      <c r="E15" s="311">
        <v>653.20833333333303</v>
      </c>
      <c r="F15" s="311">
        <v>0</v>
      </c>
      <c r="G15" s="245">
        <v>148.73472222222199</v>
      </c>
      <c r="H15" s="311">
        <v>68.4583333333333</v>
      </c>
      <c r="I15" s="245">
        <v>0</v>
      </c>
      <c r="J15" s="316">
        <v>0</v>
      </c>
      <c r="K15" s="299">
        <f>2245387275/1000</f>
        <v>2245387.2749999999</v>
      </c>
      <c r="L15" s="271">
        <f t="shared" si="0"/>
        <v>1939.8929355150844</v>
      </c>
      <c r="M15" s="302">
        <f>SUM('SAP BW Actual Usage'!N32:N47)</f>
        <v>1157480</v>
      </c>
      <c r="N15" s="304">
        <f t="shared" si="1"/>
        <v>2334378.3623164571</v>
      </c>
      <c r="O15" s="288">
        <f t="shared" si="4"/>
        <v>88991.087316457182</v>
      </c>
      <c r="P15" s="247"/>
      <c r="Q15" s="233">
        <v>437.754166666667</v>
      </c>
      <c r="R15" s="314">
        <v>343.20833333333297</v>
      </c>
      <c r="S15" s="137"/>
      <c r="T15" s="243"/>
      <c r="U15" s="137"/>
      <c r="V15" s="137"/>
      <c r="W15" s="243"/>
      <c r="X15" s="137"/>
      <c r="Y15" s="233"/>
      <c r="Z15" s="138"/>
      <c r="AA15" s="137"/>
      <c r="AB15" s="252"/>
      <c r="AC15" s="249"/>
      <c r="AD15" s="250"/>
    </row>
    <row r="16" spans="1:30">
      <c r="A16" s="505" t="s">
        <v>161</v>
      </c>
      <c r="B16" s="506"/>
      <c r="C16" s="139"/>
      <c r="D16" s="255"/>
      <c r="E16" s="140"/>
      <c r="F16" s="140"/>
      <c r="G16" s="140"/>
      <c r="H16" s="140"/>
      <c r="I16" s="140"/>
      <c r="J16" s="253"/>
      <c r="K16" s="261">
        <f>SUM(K4:K15)</f>
        <v>22233671.791999999</v>
      </c>
      <c r="L16" s="259"/>
      <c r="M16" s="260"/>
      <c r="N16" s="261">
        <f>SUM(N4:N15)</f>
        <v>22379255.966356605</v>
      </c>
      <c r="O16" s="227"/>
    </row>
    <row r="17" spans="1:15">
      <c r="A17" s="141" t="s">
        <v>78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262"/>
      <c r="M17" s="262"/>
      <c r="N17" s="263">
        <f>N16-$K16</f>
        <v>145584.17435660586</v>
      </c>
      <c r="O17" s="162"/>
    </row>
    <row r="18" spans="1:15">
      <c r="A18" s="273" t="s">
        <v>164</v>
      </c>
      <c r="B18" s="121"/>
      <c r="C18" s="121"/>
      <c r="D18" s="121"/>
      <c r="E18" s="121"/>
      <c r="F18" s="121"/>
      <c r="G18" s="256"/>
      <c r="H18" s="121"/>
      <c r="I18" s="121"/>
      <c r="J18" s="121"/>
      <c r="K18" s="121"/>
      <c r="L18" s="163"/>
      <c r="M18" s="121"/>
      <c r="N18" s="121"/>
      <c r="O18" s="121"/>
    </row>
    <row r="19" spans="1:15">
      <c r="A19" s="234"/>
      <c r="B19" s="121"/>
      <c r="C19" s="121"/>
      <c r="D19" s="121"/>
      <c r="E19" s="121"/>
      <c r="F19" s="121"/>
      <c r="G19" s="256"/>
      <c r="H19" s="121"/>
      <c r="I19" s="121"/>
      <c r="J19" s="121"/>
      <c r="K19" s="121"/>
      <c r="L19" s="163"/>
      <c r="M19" s="121"/>
      <c r="N19" s="121"/>
      <c r="O19" s="121"/>
    </row>
    <row r="20" spans="1:15" ht="15.75">
      <c r="A20" s="144" t="s">
        <v>163</v>
      </c>
      <c r="B20" s="145"/>
      <c r="C20" s="145"/>
      <c r="D20" s="145"/>
      <c r="E20" s="145"/>
      <c r="F20" s="145"/>
      <c r="G20" s="145"/>
      <c r="H20" s="121"/>
      <c r="I20" s="121"/>
      <c r="J20" s="121"/>
      <c r="K20" s="121"/>
      <c r="L20" s="171"/>
      <c r="M20" s="172"/>
      <c r="N20" s="173"/>
      <c r="O20" s="121"/>
    </row>
    <row r="21" spans="1:15">
      <c r="A21" s="132" t="s">
        <v>54</v>
      </c>
      <c r="B21" s="146" t="s">
        <v>55</v>
      </c>
      <c r="C21" s="147" t="s">
        <v>67</v>
      </c>
      <c r="D21" s="148" t="s">
        <v>105</v>
      </c>
      <c r="E21" s="147" t="s">
        <v>106</v>
      </c>
      <c r="F21" s="149" t="s">
        <v>70</v>
      </c>
      <c r="G21" s="145"/>
      <c r="H21" s="121"/>
      <c r="I21" s="121"/>
      <c r="J21" s="121"/>
      <c r="K21" s="121"/>
      <c r="L21" s="152"/>
      <c r="M21" s="162"/>
      <c r="N21" s="121"/>
      <c r="O21" s="121"/>
    </row>
    <row r="22" spans="1:15">
      <c r="A22" s="238">
        <f>A4</f>
        <v>2018</v>
      </c>
      <c r="B22" s="239">
        <f>B4</f>
        <v>1</v>
      </c>
      <c r="C22" s="240">
        <v>0.83603099999999997</v>
      </c>
      <c r="D22" s="240">
        <v>0</v>
      </c>
      <c r="E22" s="240">
        <v>0</v>
      </c>
      <c r="F22" s="240">
        <v>0</v>
      </c>
      <c r="G22" s="121"/>
      <c r="H22" s="121"/>
      <c r="I22" s="121"/>
      <c r="J22" s="121"/>
      <c r="K22" s="121"/>
      <c r="L22" s="121"/>
      <c r="M22" s="121"/>
      <c r="N22" s="121"/>
      <c r="O22" s="121"/>
    </row>
    <row r="23" spans="1:15">
      <c r="A23" s="135">
        <f t="shared" ref="A23:B23" si="5">A5</f>
        <v>2018</v>
      </c>
      <c r="B23" s="150">
        <f t="shared" si="5"/>
        <v>2</v>
      </c>
      <c r="C23" s="151">
        <v>0.76440200000000003</v>
      </c>
      <c r="D23" s="151">
        <v>0.142737</v>
      </c>
      <c r="E23" s="151">
        <v>0</v>
      </c>
      <c r="F23" s="151">
        <v>0</v>
      </c>
      <c r="G23" s="121"/>
      <c r="H23" s="121"/>
      <c r="I23" s="121"/>
      <c r="J23" s="121"/>
      <c r="K23" s="121"/>
      <c r="L23" s="121"/>
      <c r="M23" s="121"/>
      <c r="N23" s="121"/>
      <c r="O23" s="121"/>
    </row>
    <row r="24" spans="1:15">
      <c r="A24" s="135">
        <f t="shared" ref="A24:B24" si="6">A6</f>
        <v>2018</v>
      </c>
      <c r="B24" s="150">
        <f t="shared" si="6"/>
        <v>3</v>
      </c>
      <c r="C24" s="151">
        <v>0.51232100000000003</v>
      </c>
      <c r="D24" s="151">
        <v>0.48392299999999999</v>
      </c>
      <c r="E24" s="151">
        <v>0</v>
      </c>
      <c r="F24" s="151">
        <v>0</v>
      </c>
      <c r="G24" s="121"/>
      <c r="H24" s="121"/>
      <c r="I24" s="121"/>
      <c r="J24" s="121"/>
      <c r="K24" s="121"/>
      <c r="L24" s="121"/>
      <c r="M24" s="121"/>
      <c r="N24" s="121"/>
      <c r="O24" s="121"/>
    </row>
    <row r="25" spans="1:15">
      <c r="A25" s="135">
        <f t="shared" ref="A25:B25" si="7">A7</f>
        <v>2018</v>
      </c>
      <c r="B25" s="150">
        <f t="shared" si="7"/>
        <v>4</v>
      </c>
      <c r="C25" s="151">
        <v>0.31764799999999999</v>
      </c>
      <c r="D25" s="151">
        <v>0</v>
      </c>
      <c r="E25" s="151">
        <v>0</v>
      </c>
      <c r="F25" s="151">
        <v>0</v>
      </c>
      <c r="G25" s="121"/>
      <c r="H25" s="121"/>
      <c r="I25" s="121"/>
      <c r="J25" s="121"/>
      <c r="K25" s="121"/>
      <c r="L25" s="121"/>
      <c r="M25" s="121"/>
      <c r="N25" s="121"/>
      <c r="O25" s="121"/>
    </row>
    <row r="26" spans="1:15">
      <c r="A26" s="135">
        <f t="shared" ref="A26:B26" si="8">A8</f>
        <v>2018</v>
      </c>
      <c r="B26" s="150">
        <f t="shared" si="8"/>
        <v>5</v>
      </c>
      <c r="C26" s="174">
        <v>0.18571799999999999</v>
      </c>
      <c r="D26" s="151">
        <v>0</v>
      </c>
      <c r="E26" s="151">
        <v>0</v>
      </c>
      <c r="F26" s="151">
        <v>0.36021900000000001</v>
      </c>
      <c r="G26" s="121"/>
      <c r="H26" s="121"/>
      <c r="I26" s="121"/>
      <c r="J26" s="121"/>
      <c r="K26" s="121"/>
      <c r="L26" s="121"/>
      <c r="M26" s="121"/>
      <c r="N26" s="121"/>
      <c r="O26" s="121"/>
    </row>
    <row r="27" spans="1:15">
      <c r="A27" s="135">
        <f t="shared" ref="A27:B27" si="9">A9</f>
        <v>2018</v>
      </c>
      <c r="B27" s="150">
        <f t="shared" si="9"/>
        <v>6</v>
      </c>
      <c r="C27" s="151">
        <v>0</v>
      </c>
      <c r="D27" s="151">
        <v>0</v>
      </c>
      <c r="E27" s="151">
        <v>0</v>
      </c>
      <c r="F27" s="151">
        <v>0.34653</v>
      </c>
      <c r="G27" s="121"/>
      <c r="H27" s="121"/>
      <c r="I27" s="121"/>
      <c r="J27" s="121"/>
      <c r="K27" s="121"/>
      <c r="L27" s="121"/>
      <c r="M27" s="121"/>
      <c r="N27" s="121"/>
      <c r="O27" s="121"/>
    </row>
    <row r="28" spans="1:15">
      <c r="A28" s="135">
        <f t="shared" ref="A28:B28" si="10">A10</f>
        <v>2018</v>
      </c>
      <c r="B28" s="150">
        <f t="shared" si="10"/>
        <v>7</v>
      </c>
      <c r="C28" s="151">
        <v>0</v>
      </c>
      <c r="D28" s="151">
        <v>0</v>
      </c>
      <c r="E28" s="151">
        <v>0</v>
      </c>
      <c r="F28" s="151">
        <v>0.435616</v>
      </c>
      <c r="G28" s="121"/>
      <c r="H28" s="121"/>
      <c r="I28" s="121"/>
      <c r="J28" s="121"/>
      <c r="K28" s="121"/>
      <c r="L28" s="121"/>
      <c r="M28" s="121"/>
      <c r="N28" s="121"/>
      <c r="O28" s="121"/>
    </row>
    <row r="29" spans="1:15">
      <c r="A29" s="135">
        <f t="shared" ref="A29:B29" si="11">A11</f>
        <v>2018</v>
      </c>
      <c r="B29" s="150">
        <f t="shared" si="11"/>
        <v>8</v>
      </c>
      <c r="C29" s="151">
        <v>0</v>
      </c>
      <c r="D29" s="151">
        <v>0</v>
      </c>
      <c r="E29" s="151">
        <v>0</v>
      </c>
      <c r="F29" s="151">
        <v>0.43418600000000002</v>
      </c>
      <c r="G29" s="121"/>
      <c r="H29" s="121"/>
      <c r="I29" s="121"/>
      <c r="J29" s="121"/>
      <c r="K29" s="121"/>
      <c r="L29" s="121"/>
      <c r="M29" s="121"/>
      <c r="N29" s="121"/>
      <c r="O29" s="121"/>
    </row>
    <row r="30" spans="1:15">
      <c r="A30" s="135">
        <f t="shared" ref="A30:B30" si="12">A12</f>
        <v>2018</v>
      </c>
      <c r="B30" s="150">
        <f t="shared" si="12"/>
        <v>9</v>
      </c>
      <c r="C30" s="151">
        <v>0</v>
      </c>
      <c r="D30" s="151">
        <v>0</v>
      </c>
      <c r="E30" s="151">
        <v>0</v>
      </c>
      <c r="F30" s="151">
        <v>0.183813</v>
      </c>
      <c r="G30" s="121"/>
      <c r="H30" s="121"/>
      <c r="I30" s="121"/>
      <c r="J30" s="121"/>
      <c r="K30" s="121"/>
      <c r="L30" s="121"/>
      <c r="M30" s="121"/>
      <c r="N30" s="121"/>
      <c r="O30" s="121"/>
    </row>
    <row r="31" spans="1:15">
      <c r="A31" s="135">
        <f t="shared" ref="A31:B31" si="13">A13</f>
        <v>2018</v>
      </c>
      <c r="B31" s="150">
        <f t="shared" si="13"/>
        <v>10</v>
      </c>
      <c r="C31" s="151">
        <v>0.336615</v>
      </c>
      <c r="D31" s="151">
        <v>0</v>
      </c>
      <c r="E31" s="151">
        <v>0</v>
      </c>
      <c r="F31" s="151">
        <v>0</v>
      </c>
      <c r="G31" s="121"/>
      <c r="H31" s="121"/>
      <c r="I31" s="121"/>
      <c r="J31" s="121"/>
      <c r="K31" s="121"/>
      <c r="L31" s="121"/>
      <c r="M31" s="121"/>
      <c r="N31" s="121"/>
      <c r="O31" s="121"/>
    </row>
    <row r="32" spans="1:15">
      <c r="A32" s="135">
        <f t="shared" ref="A32:B32" si="14">A14</f>
        <v>2018</v>
      </c>
      <c r="B32" s="150">
        <f t="shared" si="14"/>
        <v>11</v>
      </c>
      <c r="C32" s="174">
        <v>0.64807800000000004</v>
      </c>
      <c r="D32" s="151">
        <v>0.327739</v>
      </c>
      <c r="E32" s="151">
        <v>0</v>
      </c>
      <c r="F32" s="151">
        <v>0</v>
      </c>
      <c r="G32" s="121"/>
      <c r="H32" s="121"/>
      <c r="I32" s="121"/>
      <c r="J32" s="121"/>
      <c r="K32" s="121"/>
      <c r="L32" s="121"/>
      <c r="M32" s="121"/>
      <c r="N32" s="121"/>
      <c r="O32" s="121"/>
    </row>
    <row r="33" spans="1:15">
      <c r="A33" s="237">
        <f t="shared" ref="A33:B33" si="15">A15</f>
        <v>2018</v>
      </c>
      <c r="B33" s="164">
        <f t="shared" si="15"/>
        <v>12</v>
      </c>
      <c r="C33" s="165">
        <v>0.458038</v>
      </c>
      <c r="D33" s="165">
        <v>0.41928500000000002</v>
      </c>
      <c r="E33" s="165">
        <v>0</v>
      </c>
      <c r="F33" s="165">
        <v>0</v>
      </c>
      <c r="G33" s="121"/>
      <c r="H33" s="121"/>
      <c r="I33" s="121"/>
      <c r="J33" s="121"/>
      <c r="K33" s="121"/>
      <c r="L33" s="121"/>
      <c r="M33" s="121"/>
      <c r="N33" s="121"/>
      <c r="O33" s="121"/>
    </row>
    <row r="34" spans="1:15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</row>
    <row r="35" spans="1:15" ht="15.75">
      <c r="A35" s="153" t="s">
        <v>71</v>
      </c>
      <c r="B35" s="143" t="s">
        <v>72</v>
      </c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36" spans="1:15">
      <c r="A36" s="121"/>
      <c r="B36" s="143" t="s">
        <v>73</v>
      </c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>
      <c r="A37" s="121"/>
      <c r="B37" s="143" t="s">
        <v>74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</row>
    <row r="38" spans="1:15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</row>
    <row r="39" spans="1:15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1:15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</row>
    <row r="41" spans="1:15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1"/>
    <col min="2" max="12" width="7.5703125" style="191" customWidth="1"/>
    <col min="13" max="13" width="9.28515625" style="191"/>
    <col min="14" max="14" width="14.28515625" style="191" customWidth="1"/>
    <col min="15" max="15" width="16.7109375" style="192" customWidth="1"/>
    <col min="16" max="16384" width="9.28515625" style="191"/>
  </cols>
  <sheetData>
    <row r="4" spans="1:17">
      <c r="A4" s="510" t="s">
        <v>170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193" t="s">
        <v>79</v>
      </c>
    </row>
    <row r="6" spans="1:17" ht="20.25" customHeight="1">
      <c r="A6" s="194"/>
      <c r="B6" s="507"/>
      <c r="C6" s="507"/>
      <c r="D6" s="507"/>
      <c r="E6" s="507"/>
      <c r="F6" s="507"/>
      <c r="G6" s="507"/>
      <c r="H6" s="507"/>
      <c r="I6" s="329"/>
      <c r="J6" s="329"/>
      <c r="K6" s="329"/>
      <c r="L6" s="350"/>
      <c r="M6" s="195"/>
      <c r="N6" s="196"/>
    </row>
    <row r="7" spans="1:17" ht="36" customHeight="1">
      <c r="A7" s="197"/>
      <c r="B7" s="198">
        <v>2008</v>
      </c>
      <c r="C7" s="198">
        <f t="shared" ref="C7" si="0">B7+1</f>
        <v>2009</v>
      </c>
      <c r="D7" s="198">
        <f t="shared" ref="D7" si="1">C7+1</f>
        <v>2010</v>
      </c>
      <c r="E7" s="198">
        <f t="shared" ref="E7" si="2">D7+1</f>
        <v>2011</v>
      </c>
      <c r="F7" s="198">
        <f t="shared" ref="F7" si="3">E7+1</f>
        <v>2012</v>
      </c>
      <c r="G7" s="198">
        <f t="shared" ref="G7" si="4">F7+1</f>
        <v>2013</v>
      </c>
      <c r="H7" s="198">
        <f t="shared" ref="H7" si="5">G7+1</f>
        <v>2014</v>
      </c>
      <c r="I7" s="198">
        <f t="shared" ref="I7:J7" si="6">H7+1</f>
        <v>2015</v>
      </c>
      <c r="J7" s="198">
        <f t="shared" si="6"/>
        <v>2016</v>
      </c>
      <c r="K7" s="198">
        <f>J7+1</f>
        <v>2017</v>
      </c>
      <c r="L7" s="198">
        <f>K7+1</f>
        <v>2018</v>
      </c>
      <c r="M7" s="199" t="s">
        <v>107</v>
      </c>
      <c r="N7" s="265" t="s">
        <v>169</v>
      </c>
    </row>
    <row r="8" spans="1:17">
      <c r="A8" s="197" t="s">
        <v>80</v>
      </c>
      <c r="B8" s="200">
        <v>819.58333333333326</v>
      </c>
      <c r="C8" s="200">
        <v>812.5</v>
      </c>
      <c r="D8" s="200">
        <v>561.95833333333326</v>
      </c>
      <c r="E8" s="200">
        <v>716.33333333333303</v>
      </c>
      <c r="F8" s="264">
        <v>778</v>
      </c>
      <c r="G8" s="264">
        <v>828</v>
      </c>
      <c r="H8" s="264">
        <v>666.12490000000003</v>
      </c>
      <c r="I8" s="264">
        <v>629.33349999999996</v>
      </c>
      <c r="J8" s="332">
        <v>664.25019999999995</v>
      </c>
      <c r="K8" s="333">
        <v>845.54160000000002</v>
      </c>
      <c r="L8" s="333">
        <v>628.70833333333303</v>
      </c>
      <c r="M8" s="331">
        <f>'System Model '!C4</f>
        <v>723.21388888888896</v>
      </c>
      <c r="N8" s="330">
        <f>L8/M8-1</f>
        <v>-0.13067442012313912</v>
      </c>
      <c r="O8" s="331">
        <v>723.21388888888896</v>
      </c>
      <c r="P8" s="201"/>
      <c r="Q8" s="203"/>
    </row>
    <row r="9" spans="1:17">
      <c r="A9" s="197" t="s">
        <v>81</v>
      </c>
      <c r="B9" s="200">
        <v>629.83333333333337</v>
      </c>
      <c r="C9" s="200">
        <v>659.625</v>
      </c>
      <c r="D9" s="200">
        <v>515</v>
      </c>
      <c r="E9" s="200">
        <v>725.95833333333348</v>
      </c>
      <c r="F9" s="264">
        <v>629</v>
      </c>
      <c r="G9" s="264">
        <v>581</v>
      </c>
      <c r="H9" s="264">
        <v>656.58320000000003</v>
      </c>
      <c r="I9" s="264">
        <v>456.58359999999993</v>
      </c>
      <c r="J9" s="332">
        <v>516.16650000000004</v>
      </c>
      <c r="K9" s="333">
        <v>671.95839999999998</v>
      </c>
      <c r="L9" s="333">
        <v>672.58333333333303</v>
      </c>
      <c r="M9" s="331">
        <f>'System Model '!C5</f>
        <v>616.98611111111097</v>
      </c>
      <c r="N9" s="330">
        <f>L9/M9-1</f>
        <v>9.0110978547148779E-2</v>
      </c>
      <c r="O9" s="331">
        <v>636.29340277777806</v>
      </c>
      <c r="P9" s="204"/>
      <c r="Q9" s="203"/>
    </row>
    <row r="10" spans="1:17">
      <c r="A10" s="197" t="s">
        <v>82</v>
      </c>
      <c r="B10" s="200">
        <v>693.54166666666663</v>
      </c>
      <c r="C10" s="200">
        <v>725.0625</v>
      </c>
      <c r="D10" s="200">
        <v>564.35416666666674</v>
      </c>
      <c r="E10" s="200">
        <v>624.375</v>
      </c>
      <c r="F10" s="264">
        <v>684</v>
      </c>
      <c r="G10" s="264">
        <v>539.20000000000005</v>
      </c>
      <c r="H10" s="264">
        <v>535.62509999999997</v>
      </c>
      <c r="I10" s="264">
        <v>456.37670000000003</v>
      </c>
      <c r="J10" s="332">
        <v>510.06220000000008</v>
      </c>
      <c r="K10" s="333">
        <v>602.62480000000005</v>
      </c>
      <c r="L10" s="333">
        <v>589.02083333333303</v>
      </c>
      <c r="M10" s="331">
        <f>'System Model '!C6</f>
        <v>592.16805555555595</v>
      </c>
      <c r="N10" s="330">
        <f>L10/M10-1</f>
        <v>-5.3147450165481613E-3</v>
      </c>
      <c r="O10" s="331">
        <v>592.16805555555595</v>
      </c>
      <c r="P10" s="201"/>
      <c r="Q10" s="203"/>
    </row>
    <row r="11" spans="1:17">
      <c r="A11" s="197" t="s">
        <v>83</v>
      </c>
      <c r="B11" s="200">
        <v>568.33333333333326</v>
      </c>
      <c r="C11" s="200">
        <v>485.58333333333326</v>
      </c>
      <c r="D11" s="200">
        <v>486.20833333333337</v>
      </c>
      <c r="E11" s="200">
        <v>595.75</v>
      </c>
      <c r="F11" s="264">
        <v>436</v>
      </c>
      <c r="G11" s="264">
        <v>444.2</v>
      </c>
      <c r="H11" s="264">
        <v>404.58330000000001</v>
      </c>
      <c r="I11" s="264">
        <v>428.04169999999999</v>
      </c>
      <c r="J11" s="332">
        <v>289.93369999999999</v>
      </c>
      <c r="K11" s="333">
        <v>451.37509999999997</v>
      </c>
      <c r="L11" s="333">
        <v>419.04166666666703</v>
      </c>
      <c r="M11" s="331">
        <f>'System Model '!C7</f>
        <v>450.14722222222201</v>
      </c>
      <c r="N11" s="330">
        <f t="shared" ref="N11:N19" si="7">L11/M11-1</f>
        <v>-6.9100849722003255E-2</v>
      </c>
      <c r="O11" s="331">
        <v>450.14722222222201</v>
      </c>
      <c r="P11" s="201"/>
      <c r="Q11" s="203"/>
    </row>
    <row r="12" spans="1:17">
      <c r="A12" s="197" t="s">
        <v>84</v>
      </c>
      <c r="B12" s="200">
        <v>306.375</v>
      </c>
      <c r="C12" s="200">
        <v>293.58333333333337</v>
      </c>
      <c r="D12" s="200">
        <v>387.70833333333331</v>
      </c>
      <c r="E12" s="200">
        <v>406.20833333333337</v>
      </c>
      <c r="F12" s="264">
        <v>317</v>
      </c>
      <c r="G12" s="264">
        <v>234.9</v>
      </c>
      <c r="H12" s="264">
        <v>213.33349999999996</v>
      </c>
      <c r="I12" s="264">
        <v>213.16689999999997</v>
      </c>
      <c r="J12" s="332">
        <v>188.74990000000003</v>
      </c>
      <c r="K12" s="333">
        <v>257.58359999999999</v>
      </c>
      <c r="L12" s="333">
        <v>172.458333333333</v>
      </c>
      <c r="M12" s="331">
        <f>'System Model '!C8</f>
        <v>296.66111111111098</v>
      </c>
      <c r="N12" s="330">
        <f t="shared" si="7"/>
        <v>-0.41866888893050513</v>
      </c>
      <c r="O12" s="331">
        <v>296.66111111111098</v>
      </c>
      <c r="P12" s="201"/>
      <c r="Q12" s="203"/>
    </row>
    <row r="13" spans="1:17">
      <c r="A13" s="197" t="s">
        <v>85</v>
      </c>
      <c r="B13" s="200">
        <v>251.70833333333334</v>
      </c>
      <c r="C13" s="200">
        <v>94.875</v>
      </c>
      <c r="D13" s="200">
        <v>224.20833333333326</v>
      </c>
      <c r="E13" s="200">
        <v>199.16666666666669</v>
      </c>
      <c r="F13" s="264">
        <v>220</v>
      </c>
      <c r="G13" s="264">
        <v>76.8</v>
      </c>
      <c r="H13" s="264">
        <v>125.83319999999998</v>
      </c>
      <c r="I13" s="264">
        <v>44</v>
      </c>
      <c r="J13" s="332">
        <v>122.95819999999998</v>
      </c>
      <c r="K13" s="333">
        <v>124.58319999999998</v>
      </c>
      <c r="L13" s="333">
        <v>124.833333333333</v>
      </c>
      <c r="M13" s="331">
        <f>'System Model '!C9</f>
        <v>162.50833333333301</v>
      </c>
      <c r="N13" s="330">
        <f t="shared" si="7"/>
        <v>-0.23183426490949233</v>
      </c>
      <c r="O13" s="331">
        <v>162.50833333333301</v>
      </c>
      <c r="P13" s="201"/>
      <c r="Q13" s="203"/>
    </row>
    <row r="14" spans="1:17">
      <c r="A14" s="197" t="s">
        <v>86</v>
      </c>
      <c r="B14" s="200">
        <v>71.458333333333343</v>
      </c>
      <c r="C14" s="200">
        <v>41.25</v>
      </c>
      <c r="D14" s="200">
        <v>113.20833333333331</v>
      </c>
      <c r="E14" s="200">
        <v>79.916666666666686</v>
      </c>
      <c r="F14" s="264">
        <v>68</v>
      </c>
      <c r="G14" s="264">
        <v>22.6</v>
      </c>
      <c r="H14" s="264">
        <v>20.833499999999997</v>
      </c>
      <c r="I14" s="264">
        <v>7.875</v>
      </c>
      <c r="J14" s="332">
        <v>33.625</v>
      </c>
      <c r="K14" s="333">
        <v>18.916799999999999</v>
      </c>
      <c r="L14" s="333">
        <v>16.5833333333333</v>
      </c>
      <c r="M14" s="331">
        <f>'System Model '!C10</f>
        <v>57.0138888888889</v>
      </c>
      <c r="N14" s="330">
        <f t="shared" si="7"/>
        <v>-0.70913520097442206</v>
      </c>
      <c r="O14" s="331">
        <v>57.0138888888889</v>
      </c>
      <c r="Q14" s="203"/>
    </row>
    <row r="15" spans="1:17">
      <c r="A15" s="197" t="s">
        <v>87</v>
      </c>
      <c r="B15" s="200">
        <v>77.25</v>
      </c>
      <c r="C15" s="200">
        <v>58.833333333333329</v>
      </c>
      <c r="D15" s="200">
        <v>95.458333333333371</v>
      </c>
      <c r="E15" s="200">
        <v>43.54166666666665</v>
      </c>
      <c r="F15" s="264">
        <v>31</v>
      </c>
      <c r="G15" s="264">
        <v>7.6</v>
      </c>
      <c r="H15" s="264">
        <v>13.208299999999999</v>
      </c>
      <c r="I15" s="264">
        <v>18.333299999999998</v>
      </c>
      <c r="J15" s="332">
        <v>32.166600000000003</v>
      </c>
      <c r="K15" s="333">
        <v>4.7084000000000001</v>
      </c>
      <c r="L15" s="333">
        <v>25.0833333333333</v>
      </c>
      <c r="M15" s="331">
        <f>'System Model '!C11</f>
        <v>47.509722222222202</v>
      </c>
      <c r="N15" s="330">
        <f t="shared" si="7"/>
        <v>-0.47203788698219706</v>
      </c>
      <c r="O15" s="331">
        <v>47.509722222222202</v>
      </c>
      <c r="Q15" s="203"/>
    </row>
    <row r="16" spans="1:17">
      <c r="A16" s="197" t="s">
        <v>88</v>
      </c>
      <c r="B16" s="200">
        <v>144.20833333333334</v>
      </c>
      <c r="C16" s="200">
        <v>122.375</v>
      </c>
      <c r="D16" s="200">
        <v>155.33333333333331</v>
      </c>
      <c r="E16" s="200">
        <v>95.666666666666657</v>
      </c>
      <c r="F16" s="264">
        <v>110</v>
      </c>
      <c r="G16" s="264">
        <v>113.95833333333337</v>
      </c>
      <c r="H16" s="264">
        <v>63.499800000000008</v>
      </c>
      <c r="I16" s="264">
        <v>164.66670000000002</v>
      </c>
      <c r="J16" s="332">
        <v>137.37489999999997</v>
      </c>
      <c r="K16" s="333">
        <v>102.2084</v>
      </c>
      <c r="L16" s="333">
        <v>116.666666666667</v>
      </c>
      <c r="M16" s="331">
        <f>'System Model '!C12</f>
        <v>136.759722222222</v>
      </c>
      <c r="N16" s="330">
        <f t="shared" si="7"/>
        <v>-0.14692231915260567</v>
      </c>
      <c r="O16" s="331">
        <v>136.759722222222</v>
      </c>
      <c r="Q16" s="203"/>
    </row>
    <row r="17" spans="1:17">
      <c r="A17" s="197" t="s">
        <v>89</v>
      </c>
      <c r="B17" s="200">
        <v>422.1666666666668</v>
      </c>
      <c r="C17" s="200">
        <v>404.08333333333343</v>
      </c>
      <c r="D17" s="200">
        <v>377.16666666666663</v>
      </c>
      <c r="E17" s="264">
        <v>411.83333333333337</v>
      </c>
      <c r="F17" s="264">
        <v>360</v>
      </c>
      <c r="G17" s="264">
        <v>431.99999999999989</v>
      </c>
      <c r="H17" s="264">
        <v>238.79180000000002</v>
      </c>
      <c r="I17" s="264">
        <v>259.66660000000002</v>
      </c>
      <c r="J17" s="332">
        <v>340.29179999999997</v>
      </c>
      <c r="K17" s="333">
        <v>389.20829999999995</v>
      </c>
      <c r="L17" s="333">
        <v>366.375</v>
      </c>
      <c r="M17" s="331">
        <f>'System Model '!C13</f>
        <v>386.027777777778</v>
      </c>
      <c r="N17" s="330">
        <f t="shared" si="7"/>
        <v>-5.0910268403253078E-2</v>
      </c>
      <c r="O17" s="331">
        <v>386.027777777778</v>
      </c>
      <c r="Q17" s="203"/>
    </row>
    <row r="18" spans="1:17">
      <c r="A18" s="197" t="s">
        <v>90</v>
      </c>
      <c r="B18" s="200">
        <v>481.75</v>
      </c>
      <c r="C18" s="200">
        <v>556.375</v>
      </c>
      <c r="D18" s="200">
        <v>652.29166666666674</v>
      </c>
      <c r="E18" s="264">
        <v>659.25</v>
      </c>
      <c r="F18" s="264">
        <v>550</v>
      </c>
      <c r="G18" s="264">
        <v>519.20833333333337</v>
      </c>
      <c r="H18" s="264">
        <v>583.24990000000003</v>
      </c>
      <c r="I18" s="264">
        <v>635.52080000000001</v>
      </c>
      <c r="J18" s="332">
        <v>427.58320000000003</v>
      </c>
      <c r="K18" s="333">
        <v>563.87490000000003</v>
      </c>
      <c r="L18" s="333">
        <v>493.60416666666703</v>
      </c>
      <c r="M18" s="331">
        <f>'System Model '!C14</f>
        <v>583.59097222222204</v>
      </c>
      <c r="N18" s="330">
        <f t="shared" si="7"/>
        <v>-0.15419499244976242</v>
      </c>
      <c r="O18" s="331">
        <v>583.59097222222204</v>
      </c>
      <c r="Q18" s="203"/>
    </row>
    <row r="19" spans="1:17">
      <c r="A19" s="197" t="s">
        <v>91</v>
      </c>
      <c r="B19" s="200">
        <v>865.66666666666663</v>
      </c>
      <c r="C19" s="200">
        <v>840.66666666666663</v>
      </c>
      <c r="D19" s="200">
        <v>682.875</v>
      </c>
      <c r="E19" s="264">
        <v>787.95833333333326</v>
      </c>
      <c r="F19" s="264">
        <v>733</v>
      </c>
      <c r="G19" s="264">
        <v>773.79169999999999</v>
      </c>
      <c r="H19" s="264">
        <v>623.74980000000005</v>
      </c>
      <c r="I19" s="264">
        <v>693.83320000000003</v>
      </c>
      <c r="J19" s="332">
        <v>841.37519999999995</v>
      </c>
      <c r="K19" s="333">
        <v>780.5</v>
      </c>
      <c r="L19" s="333">
        <v>653.20833333333303</v>
      </c>
      <c r="M19" s="331">
        <f>'System Model '!C15</f>
        <v>747.57777777777801</v>
      </c>
      <c r="N19" s="330">
        <f t="shared" si="7"/>
        <v>-0.12623361374513309</v>
      </c>
      <c r="O19" s="331">
        <v>747.57777777777801</v>
      </c>
      <c r="Q19" s="203"/>
    </row>
    <row r="20" spans="1:17" ht="7.5" customHeight="1">
      <c r="A20" s="197"/>
      <c r="B20" s="200"/>
      <c r="C20" s="200"/>
      <c r="D20" s="200"/>
      <c r="E20" s="266"/>
      <c r="F20" s="267"/>
      <c r="G20" s="267"/>
      <c r="H20" s="267"/>
      <c r="I20" s="267"/>
      <c r="J20" s="267"/>
      <c r="K20" s="192"/>
      <c r="L20" s="192"/>
      <c r="M20" s="267"/>
      <c r="N20" s="202"/>
      <c r="O20" s="267"/>
    </row>
    <row r="21" spans="1:17">
      <c r="A21" s="197" t="s">
        <v>19</v>
      </c>
      <c r="B21" s="200">
        <f t="shared" ref="B21:L21" si="8">SUM(B8:B19)</f>
        <v>5331.8750000000009</v>
      </c>
      <c r="C21" s="200">
        <f t="shared" si="8"/>
        <v>5094.8125000000009</v>
      </c>
      <c r="D21" s="200">
        <f t="shared" si="8"/>
        <v>4815.7708333333339</v>
      </c>
      <c r="E21" s="264">
        <f t="shared" si="8"/>
        <v>5345.958333333333</v>
      </c>
      <c r="F21" s="264">
        <f t="shared" si="8"/>
        <v>4916</v>
      </c>
      <c r="G21" s="264">
        <f t="shared" si="8"/>
        <v>4573.2583666666669</v>
      </c>
      <c r="H21" s="264">
        <f t="shared" si="8"/>
        <v>4145.4163000000008</v>
      </c>
      <c r="I21" s="264">
        <f t="shared" si="8"/>
        <v>4007.3980000000001</v>
      </c>
      <c r="J21" s="264">
        <f t="shared" si="8"/>
        <v>4104.5374000000002</v>
      </c>
      <c r="K21" s="264">
        <f t="shared" si="8"/>
        <v>4813.0834999999997</v>
      </c>
      <c r="L21" s="264">
        <f t="shared" si="8"/>
        <v>4278.1666666666661</v>
      </c>
      <c r="M21" s="175">
        <f>SUM(M8:M19)</f>
        <v>4800.1645833333332</v>
      </c>
      <c r="N21" s="202"/>
      <c r="O21" s="175">
        <f>SUM(O8:O19)</f>
        <v>4819.4718749999993</v>
      </c>
    </row>
    <row r="22" spans="1:17" ht="19.5" customHeight="1">
      <c r="A22" s="508" t="s">
        <v>92</v>
      </c>
      <c r="B22" s="200"/>
      <c r="C22" s="200"/>
      <c r="D22" s="200"/>
      <c r="E22" s="200"/>
      <c r="F22" s="175"/>
      <c r="G22" s="175"/>
      <c r="H22" s="175"/>
      <c r="I22" s="175"/>
      <c r="J22" s="175"/>
      <c r="K22" s="192"/>
      <c r="L22" s="192"/>
      <c r="M22" s="205"/>
      <c r="N22" s="206"/>
    </row>
    <row r="23" spans="1:17">
      <c r="A23" s="509"/>
      <c r="B23" s="207">
        <f>B21/$O$21-1</f>
        <v>0.10631935164057826</v>
      </c>
      <c r="C23" s="207">
        <f>C21/$M$21-1</f>
        <v>6.1382877930834967E-2</v>
      </c>
      <c r="D23" s="207">
        <f>D21/$M$21-1</f>
        <v>3.2511906058778628E-3</v>
      </c>
      <c r="E23" s="207">
        <f>E21/$M$21-1</f>
        <v>0.1137031325748814</v>
      </c>
      <c r="F23" s="207">
        <f>F21/$O$21-1</f>
        <v>2.0028776493275169E-2</v>
      </c>
      <c r="G23" s="207">
        <f>G21/$M$21-1</f>
        <v>-4.7270507651864246E-2</v>
      </c>
      <c r="H23" s="207">
        <f>H21/$M$21-1</f>
        <v>-0.1364012154097145</v>
      </c>
      <c r="I23" s="207">
        <f>I21/$M$21-1</f>
        <v>-0.16515404202720474</v>
      </c>
      <c r="J23" s="207">
        <f>J21/$O$21-1</f>
        <v>-0.14834290842292741</v>
      </c>
      <c r="K23" s="207">
        <f>K21/$M$21-1</f>
        <v>2.6913486907349515E-3</v>
      </c>
      <c r="L23" s="207">
        <f>L21/$M$21-1</f>
        <v>-0.10874583727380882</v>
      </c>
      <c r="M23" s="208"/>
      <c r="N23" s="209"/>
    </row>
    <row r="24" spans="1:17" ht="24" customHeight="1">
      <c r="A24" s="274" t="s">
        <v>155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1"/>
      <c r="O24" s="212"/>
    </row>
    <row r="25" spans="1:17">
      <c r="A25" s="275" t="s">
        <v>164</v>
      </c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</row>
    <row r="26" spans="1:17">
      <c r="A26" s="211"/>
      <c r="B26" s="213"/>
      <c r="C26" s="213"/>
      <c r="D26" s="213"/>
      <c r="E26" s="213"/>
      <c r="F26" s="213"/>
      <c r="G26" s="213"/>
      <c r="H26" s="176"/>
      <c r="I26" s="176"/>
      <c r="J26" s="176"/>
      <c r="K26" s="176"/>
      <c r="L26" s="176"/>
      <c r="M26" s="192"/>
      <c r="N26" s="192"/>
    </row>
    <row r="30" spans="1:17"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03"/>
    </row>
    <row r="31" spans="1:17"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03"/>
    </row>
    <row r="32" spans="1:17"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03"/>
    </row>
    <row r="33" spans="2:13"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03"/>
    </row>
    <row r="34" spans="2:13"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03"/>
    </row>
    <row r="35" spans="2:13"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03"/>
    </row>
    <row r="36" spans="2:13"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03"/>
    </row>
    <row r="37" spans="2:13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03"/>
    </row>
    <row r="38" spans="2:13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03"/>
    </row>
    <row r="39" spans="2:13"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03"/>
    </row>
    <row r="40" spans="2:13"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03"/>
    </row>
    <row r="41" spans="2:13"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03"/>
    </row>
    <row r="42" spans="2:13"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</row>
    <row r="43" spans="2:13"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</row>
    <row r="44" spans="2:13"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</row>
    <row r="45" spans="2:1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>
      <selection activeCell="Q25" sqref="Q25"/>
    </sheetView>
  </sheetViews>
  <sheetFormatPr defaultRowHeight="12.75"/>
  <cols>
    <col min="1" max="1" width="22.5703125" bestFit="1" customWidth="1"/>
    <col min="2" max="2" width="12.28515625" bestFit="1" customWidth="1"/>
    <col min="3" max="3" width="11.28515625" bestFit="1" customWidth="1"/>
    <col min="4" max="4" width="11.85546875" bestFit="1" customWidth="1"/>
    <col min="5" max="5" width="10.7109375" bestFit="1" customWidth="1"/>
    <col min="6" max="7" width="11.28515625" bestFit="1" customWidth="1"/>
    <col min="8" max="8" width="10.85546875" bestFit="1" customWidth="1"/>
    <col min="9" max="10" width="11.85546875" bestFit="1" customWidth="1"/>
    <col min="11" max="11" width="10.7109375" bestFit="1" customWidth="1"/>
    <col min="12" max="14" width="11.28515625" bestFit="1" customWidth="1"/>
  </cols>
  <sheetData>
    <row r="1" spans="1:14">
      <c r="A1" s="436" t="s">
        <v>136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4">
      <c r="A2" s="436" t="s">
        <v>11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1:14">
      <c r="A3" s="436" t="s">
        <v>165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</row>
    <row r="4" spans="1:14">
      <c r="A4" s="438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439"/>
    </row>
    <row r="5" spans="1:14" ht="13.5" thickBot="1">
      <c r="A5" s="440"/>
      <c r="B5" s="440" t="s">
        <v>19</v>
      </c>
      <c r="C5" s="441">
        <v>43101</v>
      </c>
      <c r="D5" s="441">
        <v>43132</v>
      </c>
      <c r="E5" s="441">
        <v>43160</v>
      </c>
      <c r="F5" s="441">
        <v>43191</v>
      </c>
      <c r="G5" s="441">
        <v>43221</v>
      </c>
      <c r="H5" s="441">
        <v>43252</v>
      </c>
      <c r="I5" s="441">
        <v>43282</v>
      </c>
      <c r="J5" s="441">
        <v>43313</v>
      </c>
      <c r="K5" s="441">
        <v>43344</v>
      </c>
      <c r="L5" s="441">
        <v>43374</v>
      </c>
      <c r="M5" s="441">
        <v>43405</v>
      </c>
      <c r="N5" s="441">
        <v>43435</v>
      </c>
    </row>
    <row r="6" spans="1:14">
      <c r="A6" s="442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4"/>
    </row>
    <row r="7" spans="1:14">
      <c r="A7" s="445" t="s">
        <v>213</v>
      </c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7"/>
    </row>
    <row r="8" spans="1:14">
      <c r="A8" s="448" t="s">
        <v>0</v>
      </c>
      <c r="B8" s="449">
        <f>SUM(C8:N8)</f>
        <v>6412221</v>
      </c>
      <c r="C8" s="449">
        <f t="shared" ref="C8:N16" si="0">ROUND(+C22*C37,0)</f>
        <v>2939844</v>
      </c>
      <c r="D8" s="449">
        <f t="shared" si="0"/>
        <v>-1763625</v>
      </c>
      <c r="E8" s="449">
        <f t="shared" si="0"/>
        <v>172737</v>
      </c>
      <c r="F8" s="449">
        <f t="shared" si="0"/>
        <v>642453</v>
      </c>
      <c r="G8" s="449">
        <f t="shared" si="0"/>
        <v>1928065</v>
      </c>
      <c r="H8" s="449">
        <f t="shared" si="0"/>
        <v>-229023</v>
      </c>
      <c r="I8" s="449">
        <f t="shared" si="0"/>
        <v>-1982142</v>
      </c>
      <c r="J8" s="449">
        <f t="shared" si="0"/>
        <v>-1042064</v>
      </c>
      <c r="K8" s="449">
        <f t="shared" si="0"/>
        <v>159539</v>
      </c>
      <c r="L8" s="449">
        <f t="shared" si="0"/>
        <v>396380</v>
      </c>
      <c r="M8" s="449">
        <f t="shared" si="0"/>
        <v>2248733</v>
      </c>
      <c r="N8" s="450">
        <f t="shared" si="0"/>
        <v>2941324</v>
      </c>
    </row>
    <row r="9" spans="1:14">
      <c r="A9" s="451" t="s">
        <v>157</v>
      </c>
      <c r="B9" s="449">
        <f t="shared" ref="B9:B16" si="1">SUM(C9:N9)</f>
        <v>360861</v>
      </c>
      <c r="C9" s="449">
        <f t="shared" si="0"/>
        <v>348274</v>
      </c>
      <c r="D9" s="449">
        <f t="shared" si="0"/>
        <v>-211328</v>
      </c>
      <c r="E9" s="449">
        <f t="shared" si="0"/>
        <v>27581</v>
      </c>
      <c r="F9" s="449">
        <f t="shared" si="0"/>
        <v>52914</v>
      </c>
      <c r="G9" s="449">
        <f t="shared" si="0"/>
        <v>93667</v>
      </c>
      <c r="H9" s="449">
        <f t="shared" si="0"/>
        <v>-40770</v>
      </c>
      <c r="I9" s="449">
        <f t="shared" si="0"/>
        <v>-353011</v>
      </c>
      <c r="J9" s="449">
        <f t="shared" si="0"/>
        <v>-185623</v>
      </c>
      <c r="K9" s="449">
        <f t="shared" si="0"/>
        <v>28409</v>
      </c>
      <c r="L9" s="449">
        <f t="shared" si="0"/>
        <v>31320</v>
      </c>
      <c r="M9" s="449">
        <f t="shared" si="0"/>
        <v>224572</v>
      </c>
      <c r="N9" s="450">
        <f t="shared" si="0"/>
        <v>344856</v>
      </c>
    </row>
    <row r="10" spans="1:14">
      <c r="A10" s="451" t="s">
        <v>160</v>
      </c>
      <c r="B10" s="449">
        <f t="shared" si="1"/>
        <v>-26171</v>
      </c>
      <c r="C10" s="449">
        <f t="shared" si="0"/>
        <v>220749</v>
      </c>
      <c r="D10" s="449">
        <f t="shared" si="0"/>
        <v>-136711</v>
      </c>
      <c r="E10" s="449">
        <f t="shared" si="0"/>
        <v>21754</v>
      </c>
      <c r="F10" s="449">
        <f t="shared" si="0"/>
        <v>22203</v>
      </c>
      <c r="G10" s="449">
        <f t="shared" si="0"/>
        <v>-16290</v>
      </c>
      <c r="H10" s="449">
        <f t="shared" si="0"/>
        <v>-37223</v>
      </c>
      <c r="I10" s="449">
        <f t="shared" si="0"/>
        <v>-320760</v>
      </c>
      <c r="J10" s="449">
        <f t="shared" si="0"/>
        <v>-168477</v>
      </c>
      <c r="K10" s="449">
        <f t="shared" si="0"/>
        <v>25758</v>
      </c>
      <c r="L10" s="449">
        <f t="shared" si="0"/>
        <v>11976</v>
      </c>
      <c r="M10" s="449">
        <f t="shared" si="0"/>
        <v>125111</v>
      </c>
      <c r="N10" s="450">
        <f t="shared" si="0"/>
        <v>225739</v>
      </c>
    </row>
    <row r="11" spans="1:14">
      <c r="A11" s="451" t="s">
        <v>158</v>
      </c>
      <c r="B11" s="449">
        <f t="shared" si="1"/>
        <v>-227201</v>
      </c>
      <c r="C11" s="449">
        <f t="shared" si="0"/>
        <v>23588</v>
      </c>
      <c r="D11" s="449">
        <f t="shared" si="0"/>
        <v>-13845</v>
      </c>
      <c r="E11" s="449">
        <f t="shared" si="0"/>
        <v>-713</v>
      </c>
      <c r="F11" s="449">
        <f t="shared" si="0"/>
        <v>4190</v>
      </c>
      <c r="G11" s="449">
        <f t="shared" si="0"/>
        <v>-11717</v>
      </c>
      <c r="H11" s="449">
        <f t="shared" si="0"/>
        <v>-20839</v>
      </c>
      <c r="I11" s="449">
        <f t="shared" si="0"/>
        <v>-179863</v>
      </c>
      <c r="J11" s="449">
        <f t="shared" si="0"/>
        <v>-94883</v>
      </c>
      <c r="K11" s="449">
        <f t="shared" si="0"/>
        <v>14501</v>
      </c>
      <c r="L11" s="449">
        <f t="shared" si="0"/>
        <v>7057</v>
      </c>
      <c r="M11" s="449">
        <f t="shared" si="0"/>
        <v>21059</v>
      </c>
      <c r="N11" s="450">
        <f t="shared" si="0"/>
        <v>24264</v>
      </c>
    </row>
    <row r="12" spans="1:14">
      <c r="A12" s="448" t="s">
        <v>4</v>
      </c>
      <c r="B12" s="449">
        <f t="shared" si="1"/>
        <v>0</v>
      </c>
      <c r="C12" s="449">
        <f t="shared" si="0"/>
        <v>0</v>
      </c>
      <c r="D12" s="449">
        <f t="shared" si="0"/>
        <v>0</v>
      </c>
      <c r="E12" s="449">
        <f t="shared" si="0"/>
        <v>0</v>
      </c>
      <c r="F12" s="449">
        <f t="shared" si="0"/>
        <v>0</v>
      </c>
      <c r="G12" s="449">
        <f t="shared" si="0"/>
        <v>0</v>
      </c>
      <c r="H12" s="449">
        <f t="shared" si="0"/>
        <v>0</v>
      </c>
      <c r="I12" s="449">
        <f t="shared" si="0"/>
        <v>0</v>
      </c>
      <c r="J12" s="449">
        <f t="shared" si="0"/>
        <v>0</v>
      </c>
      <c r="K12" s="449">
        <f t="shared" si="0"/>
        <v>0</v>
      </c>
      <c r="L12" s="449">
        <f t="shared" si="0"/>
        <v>0</v>
      </c>
      <c r="M12" s="449">
        <f t="shared" si="0"/>
        <v>0</v>
      </c>
      <c r="N12" s="450">
        <f t="shared" si="0"/>
        <v>0</v>
      </c>
    </row>
    <row r="13" spans="1:14">
      <c r="A13" s="451" t="s">
        <v>159</v>
      </c>
      <c r="B13" s="449">
        <f t="shared" si="1"/>
        <v>-24832</v>
      </c>
      <c r="C13" s="449">
        <f t="shared" si="0"/>
        <v>23241</v>
      </c>
      <c r="D13" s="449">
        <f t="shared" si="0"/>
        <v>-13684</v>
      </c>
      <c r="E13" s="449">
        <f t="shared" si="0"/>
        <v>-572</v>
      </c>
      <c r="F13" s="449">
        <f t="shared" si="0"/>
        <v>4163</v>
      </c>
      <c r="G13" s="449">
        <f t="shared" si="0"/>
        <v>4873</v>
      </c>
      <c r="H13" s="449">
        <f t="shared" si="0"/>
        <v>-6840</v>
      </c>
      <c r="I13" s="449">
        <f t="shared" si="0"/>
        <v>-59174</v>
      </c>
      <c r="J13" s="449">
        <f t="shared" si="0"/>
        <v>-31015</v>
      </c>
      <c r="K13" s="449">
        <f t="shared" si="0"/>
        <v>4731</v>
      </c>
      <c r="L13" s="449">
        <f t="shared" si="0"/>
        <v>6336</v>
      </c>
      <c r="M13" s="449">
        <f t="shared" si="0"/>
        <v>19984</v>
      </c>
      <c r="N13" s="450">
        <f t="shared" si="0"/>
        <v>23125</v>
      </c>
    </row>
    <row r="14" spans="1:14">
      <c r="A14" s="451" t="s">
        <v>22</v>
      </c>
      <c r="B14" s="449">
        <f t="shared" si="1"/>
        <v>-38871</v>
      </c>
      <c r="C14" s="449">
        <f t="shared" si="0"/>
        <v>11885</v>
      </c>
      <c r="D14" s="449">
        <f t="shared" si="0"/>
        <v>-6877</v>
      </c>
      <c r="E14" s="449">
        <f t="shared" si="0"/>
        <v>-578</v>
      </c>
      <c r="F14" s="449">
        <f t="shared" si="0"/>
        <v>2062</v>
      </c>
      <c r="G14" s="449">
        <f t="shared" si="0"/>
        <v>67</v>
      </c>
      <c r="H14" s="449">
        <f t="shared" si="0"/>
        <v>-5250</v>
      </c>
      <c r="I14" s="449">
        <f t="shared" si="0"/>
        <v>-45771</v>
      </c>
      <c r="J14" s="449">
        <f t="shared" si="0"/>
        <v>-24038</v>
      </c>
      <c r="K14" s="449">
        <f t="shared" si="0"/>
        <v>3674</v>
      </c>
      <c r="L14" s="449">
        <f t="shared" si="0"/>
        <v>3716</v>
      </c>
      <c r="M14" s="449">
        <f t="shared" si="0"/>
        <v>10631</v>
      </c>
      <c r="N14" s="450">
        <f t="shared" si="0"/>
        <v>11608</v>
      </c>
    </row>
    <row r="15" spans="1:14">
      <c r="A15" s="448" t="s">
        <v>7</v>
      </c>
      <c r="B15" s="449">
        <f t="shared" si="1"/>
        <v>91828</v>
      </c>
      <c r="C15" s="449">
        <f t="shared" si="0"/>
        <v>38577</v>
      </c>
      <c r="D15" s="449">
        <f t="shared" si="0"/>
        <v>-23197</v>
      </c>
      <c r="E15" s="449">
        <f t="shared" si="0"/>
        <v>2957</v>
      </c>
      <c r="F15" s="449">
        <f t="shared" si="0"/>
        <v>5998</v>
      </c>
      <c r="G15" s="449">
        <f t="shared" si="0"/>
        <v>15802</v>
      </c>
      <c r="H15" s="449">
        <f t="shared" si="0"/>
        <v>-976</v>
      </c>
      <c r="I15" s="449">
        <f t="shared" si="0"/>
        <v>-8447</v>
      </c>
      <c r="J15" s="449">
        <f t="shared" si="0"/>
        <v>-4408</v>
      </c>
      <c r="K15" s="449">
        <f t="shared" si="0"/>
        <v>674</v>
      </c>
      <c r="L15" s="449">
        <f t="shared" si="0"/>
        <v>3500</v>
      </c>
      <c r="M15" s="449">
        <f t="shared" si="0"/>
        <v>24420</v>
      </c>
      <c r="N15" s="450">
        <f t="shared" si="0"/>
        <v>36928</v>
      </c>
    </row>
    <row r="16" spans="1:14">
      <c r="A16" s="451" t="s">
        <v>8</v>
      </c>
      <c r="B16" s="449">
        <f t="shared" si="1"/>
        <v>3986</v>
      </c>
      <c r="C16" s="449">
        <f t="shared" si="0"/>
        <v>1240</v>
      </c>
      <c r="D16" s="449">
        <f t="shared" si="0"/>
        <v>-740</v>
      </c>
      <c r="E16" s="449">
        <f t="shared" si="0"/>
        <v>63</v>
      </c>
      <c r="F16" s="449">
        <f t="shared" si="0"/>
        <v>302</v>
      </c>
      <c r="G16" s="449">
        <f t="shared" si="0"/>
        <v>1061</v>
      </c>
      <c r="H16" s="449">
        <f t="shared" si="0"/>
        <v>-26</v>
      </c>
      <c r="I16" s="449">
        <f t="shared" si="0"/>
        <v>-223</v>
      </c>
      <c r="J16" s="449">
        <f t="shared" si="0"/>
        <v>-117</v>
      </c>
      <c r="K16" s="449">
        <f t="shared" si="0"/>
        <v>18</v>
      </c>
      <c r="L16" s="449">
        <f t="shared" si="0"/>
        <v>187</v>
      </c>
      <c r="M16" s="449">
        <f t="shared" si="0"/>
        <v>993</v>
      </c>
      <c r="N16" s="450">
        <f t="shared" si="0"/>
        <v>1228</v>
      </c>
    </row>
    <row r="17" spans="1:14">
      <c r="A17" s="445"/>
      <c r="B17" s="449"/>
      <c r="C17" s="449"/>
      <c r="D17" s="449"/>
      <c r="E17" s="449"/>
      <c r="F17" s="449"/>
      <c r="G17" s="449"/>
      <c r="H17" s="449"/>
      <c r="I17" s="449"/>
      <c r="J17" s="449"/>
      <c r="K17" s="449"/>
      <c r="L17" s="449"/>
      <c r="M17" s="449"/>
      <c r="N17" s="450"/>
    </row>
    <row r="18" spans="1:14">
      <c r="A18" s="445" t="s">
        <v>9</v>
      </c>
      <c r="B18" s="449">
        <f t="shared" ref="B18:N18" si="2">SUM(B8:B17)</f>
        <v>6551821</v>
      </c>
      <c r="C18" s="449">
        <f t="shared" si="2"/>
        <v>3607398</v>
      </c>
      <c r="D18" s="449">
        <f t="shared" si="2"/>
        <v>-2170007</v>
      </c>
      <c r="E18" s="449">
        <f t="shared" si="2"/>
        <v>223229</v>
      </c>
      <c r="F18" s="449">
        <f t="shared" si="2"/>
        <v>734285</v>
      </c>
      <c r="G18" s="449">
        <f t="shared" si="2"/>
        <v>2015528</v>
      </c>
      <c r="H18" s="449">
        <f t="shared" si="2"/>
        <v>-340947</v>
      </c>
      <c r="I18" s="449">
        <f t="shared" si="2"/>
        <v>-2949391</v>
      </c>
      <c r="J18" s="449">
        <f t="shared" si="2"/>
        <v>-1550625</v>
      </c>
      <c r="K18" s="449">
        <f t="shared" si="2"/>
        <v>237304</v>
      </c>
      <c r="L18" s="449">
        <f t="shared" si="2"/>
        <v>460472</v>
      </c>
      <c r="M18" s="449">
        <f t="shared" si="2"/>
        <v>2675503</v>
      </c>
      <c r="N18" s="450">
        <f t="shared" si="2"/>
        <v>3609072</v>
      </c>
    </row>
    <row r="19" spans="1:14" ht="13.5" thickBot="1">
      <c r="A19" s="452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4"/>
    </row>
    <row r="20" spans="1:14">
      <c r="A20" s="455"/>
      <c r="B20" s="456"/>
      <c r="C20" s="457"/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8"/>
    </row>
    <row r="21" spans="1:14">
      <c r="A21" s="459" t="s">
        <v>10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7"/>
    </row>
    <row r="22" spans="1:14">
      <c r="A22" s="448" t="s">
        <v>0</v>
      </c>
      <c r="B22" s="424">
        <f>SUM(C22:N22)</f>
        <v>163135972.98435408</v>
      </c>
      <c r="C22" s="473">
        <f>+'Sales Adj. load only'!C8</f>
        <v>74793782.059039772</v>
      </c>
      <c r="D22" s="473">
        <f>+'Sales Adj. load only'!D8</f>
        <v>-44869101.567900084</v>
      </c>
      <c r="E22" s="473">
        <f>+'Sales Adj. load only'!E8</f>
        <v>4394677.0337621355</v>
      </c>
      <c r="F22" s="473">
        <f>+'Sales Adj. load only'!F8</f>
        <v>16344914.743105689</v>
      </c>
      <c r="G22" s="473">
        <f>+'Sales Adj. load only'!G8</f>
        <v>49052692.87684124</v>
      </c>
      <c r="H22" s="473">
        <f>+'Sales Adj. load only'!H8</f>
        <v>-5826662.2558389846</v>
      </c>
      <c r="I22" s="473">
        <f>+'Sales Adj. load only'!I8</f>
        <v>-50428483.718085885</v>
      </c>
      <c r="J22" s="473">
        <f>+'Sales Adj. load only'!J8</f>
        <v>-26511573.558548819</v>
      </c>
      <c r="K22" s="473">
        <f>+'Sales Adj. load only'!K8</f>
        <v>4058904.9878357491</v>
      </c>
      <c r="L22" s="473">
        <f>+'Sales Adj. load only'!L8</f>
        <v>10084461.026951266</v>
      </c>
      <c r="M22" s="473">
        <f>+'Sales Adj. load only'!M8</f>
        <v>57210928.578655943</v>
      </c>
      <c r="N22" s="474">
        <f>+'Sales Adj. load only'!N8</f>
        <v>74831432.778536066</v>
      </c>
    </row>
    <row r="23" spans="1:14">
      <c r="A23" s="451" t="s">
        <v>157</v>
      </c>
      <c r="B23" s="424">
        <f t="shared" ref="B23:B30" si="3">SUM(C23:N23)</f>
        <v>9996659.2913328111</v>
      </c>
      <c r="C23" s="473">
        <f>+'Sales Adj. load only'!C9</f>
        <v>9648006.5379497018</v>
      </c>
      <c r="D23" s="473">
        <f>+'Sales Adj. load only'!D9</f>
        <v>-5854297.7586477567</v>
      </c>
      <c r="E23" s="473">
        <f>+'Sales Adj. load only'!E9</f>
        <v>764048.6490169249</v>
      </c>
      <c r="F23" s="473">
        <f>+'Sales Adj. load only'!F9</f>
        <v>1465850.9536826147</v>
      </c>
      <c r="G23" s="473">
        <f>+'Sales Adj. load only'!G9</f>
        <v>2594788.8926159521</v>
      </c>
      <c r="H23" s="473">
        <f>+'Sales Adj. load only'!H9</f>
        <v>-1129433.2699031665</v>
      </c>
      <c r="I23" s="473">
        <f>+'Sales Adj. load only'!I9</f>
        <v>-9779238.4775610268</v>
      </c>
      <c r="J23" s="473">
        <f>+'Sales Adj. load only'!J9</f>
        <v>-5142202.4394185636</v>
      </c>
      <c r="K23" s="473">
        <f>+'Sales Adj. load only'!K9</f>
        <v>787006.53333190619</v>
      </c>
      <c r="L23" s="473">
        <f>+'Sales Adj. load only'!L9</f>
        <v>867631.69402734027</v>
      </c>
      <c r="M23" s="473">
        <f>+'Sales Adj. load only'!M9</f>
        <v>6221169.3149877535</v>
      </c>
      <c r="N23" s="474">
        <f>+'Sales Adj. load only'!N9</f>
        <v>9553328.6612511296</v>
      </c>
    </row>
    <row r="24" spans="1:14">
      <c r="A24" s="451" t="s">
        <v>160</v>
      </c>
      <c r="B24" s="424">
        <f t="shared" si="3"/>
        <v>-735125.63373911753</v>
      </c>
      <c r="C24" s="473">
        <f>+'Sales Adj. load only'!C10</f>
        <v>6200648.2670657504</v>
      </c>
      <c r="D24" s="473">
        <f>+'Sales Adj. load only'!D10</f>
        <v>-3840088.3200373966</v>
      </c>
      <c r="E24" s="473">
        <f>+'Sales Adj. load only'!E10</f>
        <v>611054.77475189045</v>
      </c>
      <c r="F24" s="473">
        <f>+'Sales Adj. load only'!F10</f>
        <v>623653.4056490208</v>
      </c>
      <c r="G24" s="473">
        <f>+'Sales Adj. load only'!G10</f>
        <v>-457585.35339677241</v>
      </c>
      <c r="H24" s="473">
        <f>+'Sales Adj. load only'!H10</f>
        <v>-1045546.5002948691</v>
      </c>
      <c r="I24" s="473">
        <f>+'Sales Adj. load only'!I10</f>
        <v>-9009850.6025060937</v>
      </c>
      <c r="J24" s="473">
        <f>+'Sales Adj. load only'!J10</f>
        <v>-4732380.4401801089</v>
      </c>
      <c r="K24" s="473">
        <f>+'Sales Adj. load only'!K10</f>
        <v>723522.25208045007</v>
      </c>
      <c r="L24" s="473">
        <f>+'Sales Adj. load only'!L10</f>
        <v>336394.92847293185</v>
      </c>
      <c r="M24" s="473">
        <f>+'Sales Adj. load only'!M10</f>
        <v>3514250.3954943591</v>
      </c>
      <c r="N24" s="474">
        <f>+'Sales Adj. load only'!N10</f>
        <v>6340801.5591617208</v>
      </c>
    </row>
    <row r="25" spans="1:14">
      <c r="A25" s="451" t="s">
        <v>158</v>
      </c>
      <c r="B25" s="424">
        <f t="shared" si="3"/>
        <v>-6542110.0974097066</v>
      </c>
      <c r="C25" s="473">
        <f>+'Sales Adj. load only'!C11</f>
        <v>679213.36609008501</v>
      </c>
      <c r="D25" s="473">
        <f>+'Sales Adj. load only'!D11</f>
        <v>-398660.55893778708</v>
      </c>
      <c r="E25" s="473">
        <f>+'Sales Adj. load only'!E11</f>
        <v>-20532.040685098458</v>
      </c>
      <c r="F25" s="473">
        <f>+'Sales Adj. load only'!F11</f>
        <v>120648.27683686078</v>
      </c>
      <c r="G25" s="473">
        <f>+'Sales Adj. load only'!G11</f>
        <v>-337383.12550102995</v>
      </c>
      <c r="H25" s="473">
        <f>+'Sales Adj. load only'!H11</f>
        <v>-600052.83034256997</v>
      </c>
      <c r="I25" s="473">
        <f>+'Sales Adj. load only'!I11</f>
        <v>-5179057.1408083569</v>
      </c>
      <c r="J25" s="473">
        <f>+'Sales Adj. load only'!J11</f>
        <v>-2732089.7356320741</v>
      </c>
      <c r="K25" s="473">
        <f>+'Sales Adj. load only'!K11</f>
        <v>417558.13255916996</v>
      </c>
      <c r="L25" s="473">
        <f>+'Sales Adj. load only'!L11</f>
        <v>203197.99548558885</v>
      </c>
      <c r="M25" s="473">
        <f>+'Sales Adj. load only'!M11</f>
        <v>606381.07865356631</v>
      </c>
      <c r="N25" s="474">
        <f>+'Sales Adj. load only'!N11</f>
        <v>698666.48487193778</v>
      </c>
    </row>
    <row r="26" spans="1:14">
      <c r="A26" s="448" t="s">
        <v>4</v>
      </c>
      <c r="B26" s="424">
        <f t="shared" si="3"/>
        <v>0</v>
      </c>
      <c r="C26" s="473">
        <f>+'Sales Adj. load only'!C12</f>
        <v>0</v>
      </c>
      <c r="D26" s="473">
        <f>+'Sales Adj. load only'!D12</f>
        <v>0</v>
      </c>
      <c r="E26" s="473">
        <f>+'Sales Adj. load only'!E12</f>
        <v>0</v>
      </c>
      <c r="F26" s="473">
        <f>+'Sales Adj. load only'!F12</f>
        <v>0</v>
      </c>
      <c r="G26" s="473">
        <f>+'Sales Adj. load only'!G12</f>
        <v>0</v>
      </c>
      <c r="H26" s="473">
        <f>+'Sales Adj. load only'!H12</f>
        <v>0</v>
      </c>
      <c r="I26" s="473">
        <f>+'Sales Adj. load only'!I12</f>
        <v>0</v>
      </c>
      <c r="J26" s="473">
        <f>+'Sales Adj. load only'!J12</f>
        <v>0</v>
      </c>
      <c r="K26" s="473">
        <f>+'Sales Adj. load only'!K12</f>
        <v>0</v>
      </c>
      <c r="L26" s="473">
        <f>+'Sales Adj. load only'!L12</f>
        <v>0</v>
      </c>
      <c r="M26" s="473">
        <f>+'Sales Adj. load only'!M12</f>
        <v>0</v>
      </c>
      <c r="N26" s="474">
        <f>+'Sales Adj. load only'!N12</f>
        <v>0</v>
      </c>
    </row>
    <row r="27" spans="1:14">
      <c r="A27" s="451" t="s">
        <v>159</v>
      </c>
      <c r="B27" s="424">
        <f t="shared" si="3"/>
        <v>-734770.83322440018</v>
      </c>
      <c r="C27" s="473">
        <f>+'Sales Adj. load only'!C13</f>
        <v>687691.41050827946</v>
      </c>
      <c r="D27" s="473">
        <f>+'Sales Adj. load only'!D13</f>
        <v>-404887.15564418997</v>
      </c>
      <c r="E27" s="473">
        <f>+'Sales Adj. load only'!E13</f>
        <v>-16927.035405762348</v>
      </c>
      <c r="F27" s="473">
        <f>+'Sales Adj. load only'!F13</f>
        <v>123168.79074438846</v>
      </c>
      <c r="G27" s="473">
        <f>+'Sales Adj. load only'!G13</f>
        <v>144201.82510433369</v>
      </c>
      <c r="H27" s="473">
        <f>+'Sales Adj. load only'!H13</f>
        <v>-202390.88485247246</v>
      </c>
      <c r="I27" s="473">
        <f>+'Sales Adj. load only'!I13</f>
        <v>-1750913.4547497996</v>
      </c>
      <c r="J27" s="473">
        <f>+'Sales Adj. load only'!J13</f>
        <v>-917710.99101274693</v>
      </c>
      <c r="K27" s="473">
        <f>+'Sales Adj. load only'!K13</f>
        <v>139978.87495511223</v>
      </c>
      <c r="L27" s="473">
        <f>+'Sales Adj. load only'!L13</f>
        <v>187464.80446841667</v>
      </c>
      <c r="M27" s="473">
        <f>+'Sales Adj. load only'!M13</f>
        <v>591306.24680589803</v>
      </c>
      <c r="N27" s="474">
        <f>+'Sales Adj. load only'!N13</f>
        <v>684246.73585414304</v>
      </c>
    </row>
    <row r="28" spans="1:14">
      <c r="A28" s="451" t="s">
        <v>22</v>
      </c>
      <c r="B28" s="424">
        <f t="shared" si="3"/>
        <v>-1182495.8614938441</v>
      </c>
      <c r="C28" s="473">
        <f>+'Sales Adj. load only'!C14</f>
        <v>361558.15991750103</v>
      </c>
      <c r="D28" s="473">
        <f>+'Sales Adj. load only'!D14</f>
        <v>-209218.26665599737</v>
      </c>
      <c r="E28" s="473">
        <f>+'Sales Adj. load only'!E14</f>
        <v>-17587.781418665792</v>
      </c>
      <c r="F28" s="473">
        <f>+'Sales Adj. load only'!F14</f>
        <v>62723.131295999978</v>
      </c>
      <c r="G28" s="473">
        <f>+'Sales Adj. load only'!G14</f>
        <v>2050.1309297779226</v>
      </c>
      <c r="H28" s="473">
        <f>+'Sales Adj. load only'!H14</f>
        <v>-159701.87547555572</v>
      </c>
      <c r="I28" s="473">
        <f>+'Sales Adj. load only'!I14</f>
        <v>-1392398.3112877035</v>
      </c>
      <c r="J28" s="473">
        <f>+'Sales Adj. load only'!J14</f>
        <v>-731254.31405791431</v>
      </c>
      <c r="K28" s="473">
        <f>+'Sales Adj. load only'!K14</f>
        <v>111761.03838083422</v>
      </c>
      <c r="L28" s="473">
        <f>+'Sales Adj. load only'!L14</f>
        <v>113037.5786032499</v>
      </c>
      <c r="M28" s="473">
        <f>+'Sales Adj. load only'!M14</f>
        <v>323413.51120487665</v>
      </c>
      <c r="N28" s="474">
        <f>+'Sales Adj. load only'!N14</f>
        <v>353121.13706975261</v>
      </c>
    </row>
    <row r="29" spans="1:14">
      <c r="A29" s="448" t="s">
        <v>7</v>
      </c>
      <c r="B29" s="424">
        <f>SUM(C29:N29)</f>
        <v>3404679.8765506782</v>
      </c>
      <c r="C29" s="473">
        <f>+'Sales Adj. load only'!C15</f>
        <v>1430325.4399795551</v>
      </c>
      <c r="D29" s="473">
        <f>+'Sales Adj. load only'!D15</f>
        <v>-860065.66908166162</v>
      </c>
      <c r="E29" s="473">
        <f>+'Sales Adj. load only'!E15</f>
        <v>109632.22081716802</v>
      </c>
      <c r="F29" s="473">
        <f>+'Sales Adj. load only'!F15</f>
        <v>222373.77016638598</v>
      </c>
      <c r="G29" s="473">
        <f>+'Sales Adj. load only'!G15</f>
        <v>585897.70629708446</v>
      </c>
      <c r="H29" s="473">
        <f>+'Sales Adj. load only'!H15</f>
        <v>-36201.708834166704</v>
      </c>
      <c r="I29" s="473">
        <f>+'Sales Adj. load only'!I15</f>
        <v>-313186.33311416558</v>
      </c>
      <c r="J29" s="473">
        <f>+'Sales Adj. load only'!J15</f>
        <v>-163416.82860066614</v>
      </c>
      <c r="K29" s="473">
        <f>+'Sales Adj. load only'!K15</f>
        <v>24975.763017333527</v>
      </c>
      <c r="L29" s="473">
        <f>+'Sales Adj. load only'!L15</f>
        <v>129756.72991875105</v>
      </c>
      <c r="M29" s="473">
        <f>+'Sales Adj. load only'!M15</f>
        <v>905413.00129230996</v>
      </c>
      <c r="N29" s="474">
        <f>+'Sales Adj. load only'!N15</f>
        <v>1369175.7846927503</v>
      </c>
    </row>
    <row r="30" spans="1:14">
      <c r="A30" s="451" t="s">
        <v>8</v>
      </c>
      <c r="B30" s="424">
        <f t="shared" si="3"/>
        <v>113425.48433827792</v>
      </c>
      <c r="C30" s="473">
        <f>+'Sales Adj. load only'!C16</f>
        <v>35284.957470111127</v>
      </c>
      <c r="D30" s="473">
        <f>+'Sales Adj. load only'!D16</f>
        <v>-21054.796599444351</v>
      </c>
      <c r="E30" s="473">
        <f>+'Sales Adj. load only'!E16</f>
        <v>1794.4209459445283</v>
      </c>
      <c r="F30" s="473">
        <f>+'Sales Adj. load only'!F16</f>
        <v>8592.8737011109679</v>
      </c>
      <c r="G30" s="473">
        <f>+'Sales Adj. load only'!G16</f>
        <v>30182.871765666721</v>
      </c>
      <c r="H30" s="473">
        <f>+'Sales Adj. load only'!H16</f>
        <v>-734.15328272222303</v>
      </c>
      <c r="I30" s="473">
        <f>+'Sales Adj. load only'!I16</f>
        <v>-6351.2685440555333</v>
      </c>
      <c r="J30" s="473">
        <f>+'Sales Adj. load only'!J16</f>
        <v>-3335.5344407777666</v>
      </c>
      <c r="K30" s="473">
        <f>+'Sales Adj. load only'!K16</f>
        <v>509.78542688889291</v>
      </c>
      <c r="L30" s="473">
        <f>+'Sales Adj. load only'!L16</f>
        <v>5316.3413755556103</v>
      </c>
      <c r="M30" s="473">
        <f>+'Sales Adj. load only'!M16</f>
        <v>28272.437338110976</v>
      </c>
      <c r="N30" s="474">
        <f>+'Sales Adj. load only'!N16</f>
        <v>34947.549181888993</v>
      </c>
    </row>
    <row r="31" spans="1:14">
      <c r="A31" s="445"/>
      <c r="B31" s="460"/>
      <c r="C31" s="460"/>
      <c r="D31" s="460"/>
      <c r="E31" s="460"/>
      <c r="F31" s="460"/>
      <c r="G31" s="460"/>
      <c r="H31" s="460"/>
      <c r="I31" s="460"/>
      <c r="J31" s="460"/>
      <c r="K31" s="460"/>
      <c r="L31" s="460"/>
      <c r="M31" s="460"/>
      <c r="N31" s="447"/>
    </row>
    <row r="32" spans="1:14">
      <c r="A32" s="445" t="s">
        <v>9</v>
      </c>
      <c r="B32" s="446">
        <f t="shared" ref="B32:N32" si="4">SUM(B22:B31)</f>
        <v>167456235.2107088</v>
      </c>
      <c r="C32" s="446">
        <f t="shared" si="4"/>
        <v>93836510.198020741</v>
      </c>
      <c r="D32" s="446">
        <f t="shared" si="4"/>
        <v>-56457374.093504317</v>
      </c>
      <c r="E32" s="446">
        <f t="shared" si="4"/>
        <v>5826160.2417845363</v>
      </c>
      <c r="F32" s="446">
        <f t="shared" si="4"/>
        <v>18971925.94518207</v>
      </c>
      <c r="G32" s="446">
        <f t="shared" si="4"/>
        <v>51614845.824656248</v>
      </c>
      <c r="H32" s="446">
        <f t="shared" si="4"/>
        <v>-9000723.4788245074</v>
      </c>
      <c r="I32" s="446">
        <f t="shared" si="4"/>
        <v>-77859479.306657091</v>
      </c>
      <c r="J32" s="446">
        <f t="shared" si="4"/>
        <v>-40933963.841891676</v>
      </c>
      <c r="K32" s="446">
        <f t="shared" si="4"/>
        <v>6264217.3675874434</v>
      </c>
      <c r="L32" s="446">
        <f t="shared" si="4"/>
        <v>11927261.099303102</v>
      </c>
      <c r="M32" s="446">
        <f t="shared" si="4"/>
        <v>69401134.564432815</v>
      </c>
      <c r="N32" s="447">
        <f t="shared" si="4"/>
        <v>93865720.690619394</v>
      </c>
    </row>
    <row r="33" spans="1:14">
      <c r="A33" s="445"/>
      <c r="B33" s="460"/>
      <c r="C33" s="460"/>
      <c r="D33" s="460"/>
      <c r="E33" s="460"/>
      <c r="F33" s="460"/>
      <c r="G33" s="460"/>
      <c r="H33" s="460"/>
      <c r="I33" s="460"/>
      <c r="J33" s="460"/>
      <c r="K33" s="460"/>
      <c r="L33" s="460"/>
      <c r="M33" s="460"/>
      <c r="N33" s="461"/>
    </row>
    <row r="34" spans="1:14" ht="13.5" thickBot="1">
      <c r="A34" s="462"/>
      <c r="B34" s="463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64"/>
    </row>
    <row r="35" spans="1:14">
      <c r="A35" s="487"/>
      <c r="B35" s="488"/>
      <c r="C35" s="488"/>
      <c r="D35" s="488"/>
      <c r="E35" s="488"/>
      <c r="F35" s="488"/>
      <c r="G35" s="488"/>
      <c r="H35" s="488"/>
      <c r="I35" s="488"/>
      <c r="J35" s="488"/>
      <c r="K35" s="488"/>
      <c r="L35" s="488"/>
      <c r="M35" s="488"/>
      <c r="N35" s="489"/>
    </row>
    <row r="36" spans="1:14" ht="25.5" customHeight="1">
      <c r="A36" s="465" t="s">
        <v>94</v>
      </c>
      <c r="B36" s="463"/>
      <c r="C36" s="490" t="s">
        <v>214</v>
      </c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1"/>
    </row>
    <row r="37" spans="1:14">
      <c r="A37" s="448" t="s">
        <v>0</v>
      </c>
      <c r="B37" s="424"/>
      <c r="C37" s="466">
        <v>3.9306000000000001E-2</v>
      </c>
      <c r="D37" s="466">
        <v>3.9306000000000001E-2</v>
      </c>
      <c r="E37" s="466">
        <v>3.9306000000000001E-2</v>
      </c>
      <c r="F37" s="466">
        <v>3.9306000000000001E-2</v>
      </c>
      <c r="G37" s="466">
        <v>3.9306000000000001E-2</v>
      </c>
      <c r="H37" s="466">
        <v>3.9306000000000001E-2</v>
      </c>
      <c r="I37" s="466">
        <v>3.9306000000000001E-2</v>
      </c>
      <c r="J37" s="466">
        <v>3.9306000000000001E-2</v>
      </c>
      <c r="K37" s="466">
        <v>3.9306000000000001E-2</v>
      </c>
      <c r="L37" s="466">
        <v>3.9306000000000001E-2</v>
      </c>
      <c r="M37" s="466">
        <v>3.9306000000000001E-2</v>
      </c>
      <c r="N37" s="467">
        <v>3.9306000000000001E-2</v>
      </c>
    </row>
    <row r="38" spans="1:14">
      <c r="A38" s="451" t="s">
        <v>157</v>
      </c>
      <c r="B38" s="424"/>
      <c r="C38" s="466">
        <v>3.6097999999999998E-2</v>
      </c>
      <c r="D38" s="466">
        <v>3.6097999999999998E-2</v>
      </c>
      <c r="E38" s="466">
        <v>3.6097999999999998E-2</v>
      </c>
      <c r="F38" s="466">
        <v>3.6097999999999998E-2</v>
      </c>
      <c r="G38" s="466">
        <v>3.6097999999999998E-2</v>
      </c>
      <c r="H38" s="466">
        <v>3.6097999999999998E-2</v>
      </c>
      <c r="I38" s="466">
        <v>3.6097999999999998E-2</v>
      </c>
      <c r="J38" s="466">
        <v>3.6097999999999998E-2</v>
      </c>
      <c r="K38" s="466">
        <v>3.6097999999999998E-2</v>
      </c>
      <c r="L38" s="466">
        <v>3.6097999999999998E-2</v>
      </c>
      <c r="M38" s="466">
        <v>3.6097999999999998E-2</v>
      </c>
      <c r="N38" s="467">
        <v>3.6097999999999998E-2</v>
      </c>
    </row>
    <row r="39" spans="1:14">
      <c r="A39" s="451" t="s">
        <v>160</v>
      </c>
      <c r="B39" s="424"/>
      <c r="C39" s="466">
        <v>3.5601000000000001E-2</v>
      </c>
      <c r="D39" s="466">
        <v>3.5601000000000001E-2</v>
      </c>
      <c r="E39" s="466">
        <v>3.5601000000000001E-2</v>
      </c>
      <c r="F39" s="466">
        <v>3.5601000000000001E-2</v>
      </c>
      <c r="G39" s="466">
        <v>3.5601000000000001E-2</v>
      </c>
      <c r="H39" s="466">
        <v>3.5601000000000001E-2</v>
      </c>
      <c r="I39" s="466">
        <v>3.5601000000000001E-2</v>
      </c>
      <c r="J39" s="466">
        <v>3.5601000000000001E-2</v>
      </c>
      <c r="K39" s="466">
        <v>3.5601000000000001E-2</v>
      </c>
      <c r="L39" s="466">
        <v>3.5601000000000001E-2</v>
      </c>
      <c r="M39" s="466">
        <v>3.5601000000000001E-2</v>
      </c>
      <c r="N39" s="467">
        <v>3.5601000000000001E-2</v>
      </c>
    </row>
    <row r="40" spans="1:14">
      <c r="A40" s="451" t="s">
        <v>158</v>
      </c>
      <c r="B40" s="424"/>
      <c r="C40" s="466">
        <v>3.4729000000000003E-2</v>
      </c>
      <c r="D40" s="466">
        <v>3.4729000000000003E-2</v>
      </c>
      <c r="E40" s="466">
        <v>3.4729000000000003E-2</v>
      </c>
      <c r="F40" s="466">
        <v>3.4729000000000003E-2</v>
      </c>
      <c r="G40" s="466">
        <v>3.4729000000000003E-2</v>
      </c>
      <c r="H40" s="466">
        <v>3.4729000000000003E-2</v>
      </c>
      <c r="I40" s="466">
        <v>3.4729000000000003E-2</v>
      </c>
      <c r="J40" s="466">
        <v>3.4729000000000003E-2</v>
      </c>
      <c r="K40" s="466">
        <v>3.4729000000000003E-2</v>
      </c>
      <c r="L40" s="466">
        <v>3.4729000000000003E-2</v>
      </c>
      <c r="M40" s="466">
        <v>3.4729000000000003E-2</v>
      </c>
      <c r="N40" s="467">
        <v>3.4729000000000003E-2</v>
      </c>
    </row>
    <row r="41" spans="1:14">
      <c r="A41" s="448" t="s">
        <v>4</v>
      </c>
      <c r="B41" s="424"/>
      <c r="C41" s="466">
        <v>3.5601000000000001E-2</v>
      </c>
      <c r="D41" s="466">
        <v>3.5601000000000001E-2</v>
      </c>
      <c r="E41" s="466">
        <v>3.5601000000000001E-2</v>
      </c>
      <c r="F41" s="466">
        <v>3.5601000000000001E-2</v>
      </c>
      <c r="G41" s="466">
        <v>3.5601000000000001E-2</v>
      </c>
      <c r="H41" s="466">
        <v>3.5601000000000001E-2</v>
      </c>
      <c r="I41" s="466">
        <v>3.5601000000000001E-2</v>
      </c>
      <c r="J41" s="466">
        <v>3.5601000000000001E-2</v>
      </c>
      <c r="K41" s="466">
        <v>3.5601000000000001E-2</v>
      </c>
      <c r="L41" s="466">
        <v>3.5601000000000001E-2</v>
      </c>
      <c r="M41" s="466">
        <v>3.5601000000000001E-2</v>
      </c>
      <c r="N41" s="467">
        <v>3.5601000000000001E-2</v>
      </c>
    </row>
    <row r="42" spans="1:14">
      <c r="A42" s="451" t="s">
        <v>159</v>
      </c>
      <c r="B42" s="424"/>
      <c r="C42" s="466">
        <v>3.3796E-2</v>
      </c>
      <c r="D42" s="466">
        <v>3.3796E-2</v>
      </c>
      <c r="E42" s="466">
        <v>3.3796E-2</v>
      </c>
      <c r="F42" s="466">
        <v>3.3796E-2</v>
      </c>
      <c r="G42" s="466">
        <v>3.3796E-2</v>
      </c>
      <c r="H42" s="466">
        <v>3.3796E-2</v>
      </c>
      <c r="I42" s="466">
        <v>3.3796E-2</v>
      </c>
      <c r="J42" s="466">
        <v>3.3796E-2</v>
      </c>
      <c r="K42" s="466">
        <v>3.3796E-2</v>
      </c>
      <c r="L42" s="466">
        <v>3.3796E-2</v>
      </c>
      <c r="M42" s="466">
        <v>3.3796E-2</v>
      </c>
      <c r="N42" s="467">
        <v>3.3796E-2</v>
      </c>
    </row>
    <row r="43" spans="1:14">
      <c r="A43" s="451" t="s">
        <v>22</v>
      </c>
      <c r="B43" s="424"/>
      <c r="C43" s="466">
        <v>3.2871999999999998E-2</v>
      </c>
      <c r="D43" s="466">
        <v>3.2871999999999998E-2</v>
      </c>
      <c r="E43" s="466">
        <v>3.2871999999999998E-2</v>
      </c>
      <c r="F43" s="466">
        <v>3.2871999999999998E-2</v>
      </c>
      <c r="G43" s="466">
        <v>3.2871999999999998E-2</v>
      </c>
      <c r="H43" s="466">
        <v>3.2871999999999998E-2</v>
      </c>
      <c r="I43" s="466">
        <v>3.2871999999999998E-2</v>
      </c>
      <c r="J43" s="466">
        <v>3.2871999999999998E-2</v>
      </c>
      <c r="K43" s="466">
        <v>3.2871999999999998E-2</v>
      </c>
      <c r="L43" s="466">
        <v>3.2871999999999998E-2</v>
      </c>
      <c r="M43" s="466">
        <v>3.2871999999999998E-2</v>
      </c>
      <c r="N43" s="467">
        <v>3.2871999999999998E-2</v>
      </c>
    </row>
    <row r="44" spans="1:14">
      <c r="A44" s="448" t="s">
        <v>7</v>
      </c>
      <c r="B44" s="424"/>
      <c r="C44" s="466">
        <v>2.6970999999999998E-2</v>
      </c>
      <c r="D44" s="466">
        <v>2.6970999999999998E-2</v>
      </c>
      <c r="E44" s="466">
        <v>2.6970999999999998E-2</v>
      </c>
      <c r="F44" s="466">
        <v>2.6970999999999998E-2</v>
      </c>
      <c r="G44" s="466">
        <v>2.6970999999999998E-2</v>
      </c>
      <c r="H44" s="466">
        <v>2.6970999999999998E-2</v>
      </c>
      <c r="I44" s="466">
        <v>2.6970999999999998E-2</v>
      </c>
      <c r="J44" s="466">
        <v>2.6970999999999998E-2</v>
      </c>
      <c r="K44" s="466">
        <v>2.6970999999999998E-2</v>
      </c>
      <c r="L44" s="466">
        <v>2.6970999999999998E-2</v>
      </c>
      <c r="M44" s="466">
        <v>2.6970999999999998E-2</v>
      </c>
      <c r="N44" s="467">
        <v>2.6970999999999998E-2</v>
      </c>
    </row>
    <row r="45" spans="1:14">
      <c r="A45" s="451" t="s">
        <v>8</v>
      </c>
      <c r="B45" s="424"/>
      <c r="C45" s="466">
        <v>3.5139999999999998E-2</v>
      </c>
      <c r="D45" s="466">
        <v>3.5139999999999998E-2</v>
      </c>
      <c r="E45" s="466">
        <v>3.5139999999999998E-2</v>
      </c>
      <c r="F45" s="466">
        <v>3.5139999999999998E-2</v>
      </c>
      <c r="G45" s="466">
        <v>3.5139999999999998E-2</v>
      </c>
      <c r="H45" s="466">
        <v>3.5139999999999998E-2</v>
      </c>
      <c r="I45" s="466">
        <v>3.5139999999999998E-2</v>
      </c>
      <c r="J45" s="466">
        <v>3.5139999999999998E-2</v>
      </c>
      <c r="K45" s="466">
        <v>3.5139999999999998E-2</v>
      </c>
      <c r="L45" s="466">
        <v>3.5139999999999998E-2</v>
      </c>
      <c r="M45" s="466">
        <v>3.5139999999999998E-2</v>
      </c>
      <c r="N45" s="467">
        <v>3.5139999999999998E-2</v>
      </c>
    </row>
    <row r="46" spans="1:14" ht="13.5" thickBot="1">
      <c r="A46" s="452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9"/>
    </row>
  </sheetData>
  <mergeCells count="2">
    <mergeCell ref="A35:N35"/>
    <mergeCell ref="C36:N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topLeftCell="F1" zoomScaleNormal="100" workbookViewId="0">
      <selection activeCell="H47" sqref="H47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19" width="15.5703125" customWidth="1"/>
    <col min="22" max="22" width="1.7109375" customWidth="1"/>
    <col min="23" max="23" width="12.85546875" bestFit="1" customWidth="1"/>
    <col min="24" max="24" width="11.7109375" bestFit="1" customWidth="1"/>
    <col min="25" max="25" width="9.28515625" bestFit="1" customWidth="1"/>
    <col min="26" max="26" width="1.85546875" customWidth="1"/>
    <col min="27" max="28" width="11" bestFit="1" customWidth="1"/>
    <col min="29" max="29" width="7.7109375" bestFit="1" customWidth="1"/>
    <col min="30" max="30" width="1.85546875" customWidth="1"/>
    <col min="31" max="31" width="10.5703125" bestFit="1" customWidth="1"/>
    <col min="32" max="32" width="10.28515625" bestFit="1" customWidth="1"/>
    <col min="33" max="33" width="7.7109375" bestFit="1" customWidth="1"/>
  </cols>
  <sheetData>
    <row r="1" spans="1:14">
      <c r="A1" s="493" t="s">
        <v>203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</row>
    <row r="2" spans="1:14">
      <c r="A2" s="495" t="s">
        <v>170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</row>
    <row r="3" spans="1:14">
      <c r="A3" s="382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</row>
    <row r="4" spans="1:14">
      <c r="A4" s="383"/>
      <c r="B4" s="496"/>
      <c r="C4" s="496"/>
      <c r="D4" s="496"/>
      <c r="E4" s="496"/>
      <c r="F4" s="496"/>
      <c r="G4" s="496"/>
      <c r="H4" s="496"/>
      <c r="I4" s="384"/>
      <c r="J4" s="384"/>
      <c r="K4" s="384"/>
      <c r="L4" s="384"/>
      <c r="M4" s="385"/>
      <c r="N4" s="386"/>
    </row>
    <row r="5" spans="1:14" ht="33.75">
      <c r="A5" s="387"/>
      <c r="B5" s="388">
        <v>2008</v>
      </c>
      <c r="C5" s="388">
        <v>2009</v>
      </c>
      <c r="D5" s="388">
        <v>2010</v>
      </c>
      <c r="E5" s="388">
        <v>2011</v>
      </c>
      <c r="F5" s="388">
        <v>2012</v>
      </c>
      <c r="G5" s="388">
        <v>2013</v>
      </c>
      <c r="H5" s="388">
        <v>2014</v>
      </c>
      <c r="I5" s="388">
        <v>2015</v>
      </c>
      <c r="J5" s="388">
        <v>2016</v>
      </c>
      <c r="K5" s="388">
        <v>2017</v>
      </c>
      <c r="L5" s="388">
        <v>2018</v>
      </c>
      <c r="M5" s="389" t="s">
        <v>107</v>
      </c>
      <c r="N5" s="390" t="s">
        <v>169</v>
      </c>
    </row>
    <row r="6" spans="1:14">
      <c r="A6" s="387" t="s">
        <v>80</v>
      </c>
      <c r="B6" s="391">
        <v>819.58333333333326</v>
      </c>
      <c r="C6" s="391">
        <v>812.5</v>
      </c>
      <c r="D6" s="391">
        <v>561.95833333333326</v>
      </c>
      <c r="E6" s="391">
        <v>716.33333333333303</v>
      </c>
      <c r="F6" s="391">
        <v>778</v>
      </c>
      <c r="G6" s="391">
        <v>828</v>
      </c>
      <c r="H6" s="391">
        <v>666.12490000000003</v>
      </c>
      <c r="I6" s="391">
        <v>629.33349999999996</v>
      </c>
      <c r="J6" s="392">
        <v>664.25019999999995</v>
      </c>
      <c r="K6" s="392">
        <v>845.54160000000002</v>
      </c>
      <c r="L6" s="392">
        <v>628.70833333333303</v>
      </c>
      <c r="M6" s="393">
        <v>723.21388888888896</v>
      </c>
      <c r="N6" s="394">
        <v>-0.13067442012313912</v>
      </c>
    </row>
    <row r="7" spans="1:14">
      <c r="A7" s="387" t="s">
        <v>81</v>
      </c>
      <c r="B7" s="391">
        <v>629.83333333333337</v>
      </c>
      <c r="C7" s="391">
        <v>659.625</v>
      </c>
      <c r="D7" s="391">
        <v>515</v>
      </c>
      <c r="E7" s="391">
        <v>725.95833333333348</v>
      </c>
      <c r="F7" s="391">
        <v>629</v>
      </c>
      <c r="G7" s="391">
        <v>581</v>
      </c>
      <c r="H7" s="391">
        <v>656.58320000000003</v>
      </c>
      <c r="I7" s="391">
        <v>456.58359999999993</v>
      </c>
      <c r="J7" s="392">
        <v>516.16650000000004</v>
      </c>
      <c r="K7" s="392">
        <v>671.95839999999998</v>
      </c>
      <c r="L7" s="392">
        <v>672.58333333333303</v>
      </c>
      <c r="M7" s="393">
        <v>616.98611111111097</v>
      </c>
      <c r="N7" s="394">
        <v>9.0110978547148779E-2</v>
      </c>
    </row>
    <row r="8" spans="1:14">
      <c r="A8" s="387" t="s">
        <v>82</v>
      </c>
      <c r="B8" s="391">
        <v>693.54166666666663</v>
      </c>
      <c r="C8" s="391">
        <v>725.0625</v>
      </c>
      <c r="D8" s="391">
        <v>564.35416666666674</v>
      </c>
      <c r="E8" s="391">
        <v>624.375</v>
      </c>
      <c r="F8" s="391">
        <v>684</v>
      </c>
      <c r="G8" s="391">
        <v>539.20000000000005</v>
      </c>
      <c r="H8" s="391">
        <v>535.62509999999997</v>
      </c>
      <c r="I8" s="391">
        <v>456.37670000000003</v>
      </c>
      <c r="J8" s="392">
        <v>510.06220000000008</v>
      </c>
      <c r="K8" s="392">
        <v>602.62480000000005</v>
      </c>
      <c r="L8" s="392">
        <v>589.02083333333303</v>
      </c>
      <c r="M8" s="393">
        <v>592.16805555555595</v>
      </c>
      <c r="N8" s="394">
        <v>-5.3147450165481613E-3</v>
      </c>
    </row>
    <row r="9" spans="1:14">
      <c r="A9" s="387" t="s">
        <v>83</v>
      </c>
      <c r="B9" s="391">
        <v>568.33333333333326</v>
      </c>
      <c r="C9" s="391">
        <v>485.58333333333326</v>
      </c>
      <c r="D9" s="391">
        <v>486.20833333333337</v>
      </c>
      <c r="E9" s="391">
        <v>595.75</v>
      </c>
      <c r="F9" s="391">
        <v>436</v>
      </c>
      <c r="G9" s="391">
        <v>444.2</v>
      </c>
      <c r="H9" s="391">
        <v>404.58330000000001</v>
      </c>
      <c r="I9" s="391">
        <v>428.04169999999999</v>
      </c>
      <c r="J9" s="392">
        <v>289.93369999999999</v>
      </c>
      <c r="K9" s="392">
        <v>451.37509999999997</v>
      </c>
      <c r="L9" s="392">
        <v>419.04166666666703</v>
      </c>
      <c r="M9" s="393">
        <v>450.14722222222201</v>
      </c>
      <c r="N9" s="394">
        <v>-6.9100849722003255E-2</v>
      </c>
    </row>
    <row r="10" spans="1:14">
      <c r="A10" s="387" t="s">
        <v>84</v>
      </c>
      <c r="B10" s="391">
        <v>306.375</v>
      </c>
      <c r="C10" s="391">
        <v>293.58333333333337</v>
      </c>
      <c r="D10" s="391">
        <v>387.70833333333331</v>
      </c>
      <c r="E10" s="391">
        <v>406.20833333333337</v>
      </c>
      <c r="F10" s="391">
        <v>317</v>
      </c>
      <c r="G10" s="391">
        <v>234.9</v>
      </c>
      <c r="H10" s="391">
        <v>213.33349999999996</v>
      </c>
      <c r="I10" s="391">
        <v>213.16689999999997</v>
      </c>
      <c r="J10" s="392">
        <v>188.74990000000003</v>
      </c>
      <c r="K10" s="392">
        <v>257.58359999999999</v>
      </c>
      <c r="L10" s="392">
        <v>172.458333333333</v>
      </c>
      <c r="M10" s="393">
        <v>296.66111111111098</v>
      </c>
      <c r="N10" s="394">
        <v>-0.41866888893050513</v>
      </c>
    </row>
    <row r="11" spans="1:14">
      <c r="A11" s="387" t="s">
        <v>85</v>
      </c>
      <c r="B11" s="391">
        <v>251.70833333333334</v>
      </c>
      <c r="C11" s="391">
        <v>94.875</v>
      </c>
      <c r="D11" s="391">
        <v>224.20833333333326</v>
      </c>
      <c r="E11" s="391">
        <v>199.16666666666669</v>
      </c>
      <c r="F11" s="391">
        <v>220</v>
      </c>
      <c r="G11" s="391">
        <v>76.8</v>
      </c>
      <c r="H11" s="391">
        <v>125.83319999999998</v>
      </c>
      <c r="I11" s="391">
        <v>44</v>
      </c>
      <c r="J11" s="392">
        <v>122.95819999999998</v>
      </c>
      <c r="K11" s="392">
        <v>124.58319999999998</v>
      </c>
      <c r="L11" s="392">
        <v>124.833333333333</v>
      </c>
      <c r="M11" s="393">
        <v>162.50833333333301</v>
      </c>
      <c r="N11" s="394">
        <v>-0.23183426490949233</v>
      </c>
    </row>
    <row r="12" spans="1:14">
      <c r="A12" s="387" t="s">
        <v>86</v>
      </c>
      <c r="B12" s="391">
        <v>71.458333333333343</v>
      </c>
      <c r="C12" s="391">
        <v>41.25</v>
      </c>
      <c r="D12" s="391">
        <v>113.20833333333331</v>
      </c>
      <c r="E12" s="391">
        <v>79.916666666666686</v>
      </c>
      <c r="F12" s="391">
        <v>68</v>
      </c>
      <c r="G12" s="391">
        <v>22.6</v>
      </c>
      <c r="H12" s="391">
        <v>20.833499999999997</v>
      </c>
      <c r="I12" s="391">
        <v>7.875</v>
      </c>
      <c r="J12" s="392">
        <v>33.625</v>
      </c>
      <c r="K12" s="392">
        <v>18.916799999999999</v>
      </c>
      <c r="L12" s="392">
        <v>16.5833333333333</v>
      </c>
      <c r="M12" s="393">
        <v>57.0138888888889</v>
      </c>
      <c r="N12" s="394">
        <v>-0.70913520097442206</v>
      </c>
    </row>
    <row r="13" spans="1:14">
      <c r="A13" s="387" t="s">
        <v>87</v>
      </c>
      <c r="B13" s="391">
        <v>77.25</v>
      </c>
      <c r="C13" s="391">
        <v>58.833333333333329</v>
      </c>
      <c r="D13" s="391">
        <v>95.458333333333371</v>
      </c>
      <c r="E13" s="391">
        <v>43.54166666666665</v>
      </c>
      <c r="F13" s="391">
        <v>31</v>
      </c>
      <c r="G13" s="391">
        <v>7.6</v>
      </c>
      <c r="H13" s="391">
        <v>13.208299999999999</v>
      </c>
      <c r="I13" s="391">
        <v>18.333299999999998</v>
      </c>
      <c r="J13" s="392">
        <v>32.166600000000003</v>
      </c>
      <c r="K13" s="392">
        <v>4.7084000000000001</v>
      </c>
      <c r="L13" s="392">
        <v>25.0833333333333</v>
      </c>
      <c r="M13" s="393">
        <v>47.509722222222202</v>
      </c>
      <c r="N13" s="394">
        <v>-0.47203788698219706</v>
      </c>
    </row>
    <row r="14" spans="1:14">
      <c r="A14" s="387" t="s">
        <v>88</v>
      </c>
      <c r="B14" s="391">
        <v>144.20833333333334</v>
      </c>
      <c r="C14" s="391">
        <v>122.375</v>
      </c>
      <c r="D14" s="391">
        <v>155.33333333333331</v>
      </c>
      <c r="E14" s="391">
        <v>95.666666666666657</v>
      </c>
      <c r="F14" s="391">
        <v>110</v>
      </c>
      <c r="G14" s="391">
        <v>113.95833333333337</v>
      </c>
      <c r="H14" s="391">
        <v>63.499800000000008</v>
      </c>
      <c r="I14" s="391">
        <v>164.66670000000002</v>
      </c>
      <c r="J14" s="392">
        <v>137.37489999999997</v>
      </c>
      <c r="K14" s="392">
        <v>102.2084</v>
      </c>
      <c r="L14" s="392">
        <v>116.666666666667</v>
      </c>
      <c r="M14" s="393">
        <v>136.759722222222</v>
      </c>
      <c r="N14" s="394">
        <v>-0.14692231915260567</v>
      </c>
    </row>
    <row r="15" spans="1:14">
      <c r="A15" s="387" t="s">
        <v>89</v>
      </c>
      <c r="B15" s="391">
        <v>422.1666666666668</v>
      </c>
      <c r="C15" s="391">
        <v>404.08333333333343</v>
      </c>
      <c r="D15" s="391">
        <v>377.16666666666663</v>
      </c>
      <c r="E15" s="391">
        <v>411.83333333333337</v>
      </c>
      <c r="F15" s="391">
        <v>360</v>
      </c>
      <c r="G15" s="391">
        <v>431.99999999999989</v>
      </c>
      <c r="H15" s="391">
        <v>238.79180000000002</v>
      </c>
      <c r="I15" s="391">
        <v>259.66660000000002</v>
      </c>
      <c r="J15" s="392">
        <v>340.29179999999997</v>
      </c>
      <c r="K15" s="392">
        <v>389.20829999999995</v>
      </c>
      <c r="L15" s="392">
        <v>366.375</v>
      </c>
      <c r="M15" s="393">
        <v>386.027777777778</v>
      </c>
      <c r="N15" s="394">
        <v>-5.0910268403253078E-2</v>
      </c>
    </row>
    <row r="16" spans="1:14">
      <c r="A16" s="387" t="s">
        <v>90</v>
      </c>
      <c r="B16" s="391">
        <v>481.75</v>
      </c>
      <c r="C16" s="391">
        <v>556.375</v>
      </c>
      <c r="D16" s="391">
        <v>652.29166666666674</v>
      </c>
      <c r="E16" s="391">
        <v>659.25</v>
      </c>
      <c r="F16" s="391">
        <v>550</v>
      </c>
      <c r="G16" s="391">
        <v>519.20833333333337</v>
      </c>
      <c r="H16" s="391">
        <v>583.24990000000003</v>
      </c>
      <c r="I16" s="391">
        <v>635.52080000000001</v>
      </c>
      <c r="J16" s="392">
        <v>427.58320000000003</v>
      </c>
      <c r="K16" s="392">
        <v>563.87490000000003</v>
      </c>
      <c r="L16" s="392">
        <v>493.60416666666703</v>
      </c>
      <c r="M16" s="393">
        <v>583.59097222222204</v>
      </c>
      <c r="N16" s="394">
        <v>-0.15419499244976242</v>
      </c>
    </row>
    <row r="17" spans="1:33">
      <c r="A17" s="387" t="s">
        <v>91</v>
      </c>
      <c r="B17" s="391">
        <v>865.66666666666663</v>
      </c>
      <c r="C17" s="391">
        <v>840.66666666666663</v>
      </c>
      <c r="D17" s="391">
        <v>682.875</v>
      </c>
      <c r="E17" s="391">
        <v>787.95833333333326</v>
      </c>
      <c r="F17" s="391">
        <v>733</v>
      </c>
      <c r="G17" s="391">
        <v>773.79169999999999</v>
      </c>
      <c r="H17" s="391">
        <v>623.74980000000005</v>
      </c>
      <c r="I17" s="391">
        <v>693.83320000000003</v>
      </c>
      <c r="J17" s="392">
        <v>841.37519999999995</v>
      </c>
      <c r="K17" s="392">
        <v>780.5</v>
      </c>
      <c r="L17" s="392">
        <v>653.20833333333303</v>
      </c>
      <c r="M17" s="393">
        <v>747.57777777777801</v>
      </c>
      <c r="N17" s="394">
        <v>-0.12623361374513309</v>
      </c>
    </row>
    <row r="18" spans="1:33">
      <c r="A18" s="387"/>
      <c r="B18" s="391"/>
      <c r="C18" s="391"/>
      <c r="D18" s="391"/>
      <c r="E18" s="395"/>
      <c r="F18" s="396"/>
      <c r="G18" s="396"/>
      <c r="H18" s="396"/>
      <c r="I18" s="396"/>
      <c r="J18" s="396"/>
      <c r="K18" s="396"/>
      <c r="L18" s="396"/>
      <c r="M18" s="396"/>
      <c r="N18" s="394"/>
    </row>
    <row r="19" spans="1:33">
      <c r="A19" s="387" t="s">
        <v>19</v>
      </c>
      <c r="B19" s="391">
        <v>5331.8750000000009</v>
      </c>
      <c r="C19" s="391">
        <v>5094.8125000000009</v>
      </c>
      <c r="D19" s="391">
        <v>4815.7708333333339</v>
      </c>
      <c r="E19" s="391">
        <v>5345.958333333333</v>
      </c>
      <c r="F19" s="391">
        <v>4916</v>
      </c>
      <c r="G19" s="391">
        <v>4573.2583666666669</v>
      </c>
      <c r="H19" s="391">
        <v>4145.4163000000008</v>
      </c>
      <c r="I19" s="391">
        <v>4007.3980000000001</v>
      </c>
      <c r="J19" s="391">
        <v>4104.5374000000002</v>
      </c>
      <c r="K19" s="391">
        <v>4813.0834999999997</v>
      </c>
      <c r="L19" s="391">
        <v>4278.1666666666661</v>
      </c>
      <c r="M19" s="397">
        <v>4800.1645833333332</v>
      </c>
      <c r="N19" s="394"/>
    </row>
    <row r="20" spans="1:33" ht="12.75" customHeight="1">
      <c r="A20" s="497" t="s">
        <v>92</v>
      </c>
      <c r="B20" s="391"/>
      <c r="C20" s="391"/>
      <c r="D20" s="391"/>
      <c r="E20" s="391"/>
      <c r="F20" s="397"/>
      <c r="G20" s="397"/>
      <c r="H20" s="397"/>
      <c r="I20" s="397"/>
      <c r="J20" s="397"/>
      <c r="K20" s="396"/>
      <c r="L20" s="396"/>
      <c r="M20" s="398"/>
      <c r="N20" s="399"/>
    </row>
    <row r="21" spans="1:33">
      <c r="A21" s="498"/>
      <c r="B21" s="400">
        <v>0.10631935164057826</v>
      </c>
      <c r="C21" s="400">
        <v>6.1382877930834967E-2</v>
      </c>
      <c r="D21" s="400">
        <v>3.2511906058778628E-3</v>
      </c>
      <c r="E21" s="400">
        <v>0.1137031325748814</v>
      </c>
      <c r="F21" s="400">
        <v>2.0028776493275169E-2</v>
      </c>
      <c r="G21" s="400">
        <v>-4.7270507651864246E-2</v>
      </c>
      <c r="H21" s="400">
        <v>-0.1364012154097145</v>
      </c>
      <c r="I21" s="400">
        <v>-0.16515404202720474</v>
      </c>
      <c r="J21" s="400">
        <v>-0.14834290842292741</v>
      </c>
      <c r="K21" s="400">
        <v>2.6913486907349515E-3</v>
      </c>
      <c r="L21" s="400">
        <v>-0.10874583727380882</v>
      </c>
      <c r="M21" s="401"/>
      <c r="N21" s="402"/>
    </row>
    <row r="22" spans="1:33" ht="22.5" customHeight="1">
      <c r="A22" s="492" t="s">
        <v>207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</row>
    <row r="23" spans="1:33">
      <c r="A23" s="403"/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</row>
    <row r="26" spans="1:33" ht="15.75">
      <c r="P26" s="494" t="s">
        <v>108</v>
      </c>
      <c r="Q26" s="494"/>
      <c r="R26" s="494"/>
      <c r="S26" s="494"/>
      <c r="U26" s="494" t="s">
        <v>202</v>
      </c>
      <c r="V26" s="494"/>
      <c r="W26" s="494"/>
      <c r="X26" s="494"/>
      <c r="Y26" s="494"/>
      <c r="Z26" s="494"/>
      <c r="AA26" s="494"/>
      <c r="AB26" s="494"/>
      <c r="AC26" s="494"/>
      <c r="AD26" s="494"/>
      <c r="AE26" s="494"/>
      <c r="AF26" s="494"/>
      <c r="AG26" s="494"/>
    </row>
    <row r="27" spans="1:33" ht="15.75">
      <c r="P27" s="494" t="s">
        <v>109</v>
      </c>
      <c r="Q27" s="494"/>
      <c r="R27" s="494"/>
      <c r="S27" s="494"/>
      <c r="U27" s="494" t="s">
        <v>204</v>
      </c>
      <c r="V27" s="494"/>
      <c r="W27" s="494"/>
      <c r="X27" s="494"/>
      <c r="Y27" s="494"/>
      <c r="Z27" s="494"/>
      <c r="AA27" s="494"/>
      <c r="AB27" s="494"/>
      <c r="AC27" s="494"/>
      <c r="AD27" s="494"/>
      <c r="AE27" s="494"/>
      <c r="AF27" s="494"/>
      <c r="AG27" s="494"/>
    </row>
    <row r="28" spans="1:33">
      <c r="P28" s="357"/>
      <c r="Q28" s="357"/>
      <c r="R28" s="357"/>
      <c r="S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</row>
    <row r="29" spans="1:33">
      <c r="P29" s="358"/>
      <c r="Q29" s="359" t="s">
        <v>110</v>
      </c>
      <c r="R29" s="359" t="s">
        <v>111</v>
      </c>
      <c r="S29" s="358"/>
      <c r="U29" s="357"/>
      <c r="V29" s="357"/>
      <c r="W29" s="371" t="s">
        <v>119</v>
      </c>
      <c r="X29" s="372"/>
      <c r="Y29" s="372"/>
      <c r="Z29" s="373"/>
      <c r="AA29" s="371" t="s">
        <v>127</v>
      </c>
      <c r="AB29" s="372"/>
      <c r="AC29" s="372"/>
      <c r="AD29" s="373"/>
      <c r="AE29" s="371" t="s">
        <v>131</v>
      </c>
      <c r="AF29" s="372"/>
      <c r="AG29" s="372"/>
    </row>
    <row r="30" spans="1:33">
      <c r="P30" s="360" t="s">
        <v>55</v>
      </c>
      <c r="Q30" s="360" t="s">
        <v>211</v>
      </c>
      <c r="R30" s="360" t="s">
        <v>211</v>
      </c>
      <c r="S30" s="360" t="s">
        <v>112</v>
      </c>
      <c r="U30" s="357"/>
      <c r="V30" s="357"/>
      <c r="W30" s="374" t="s">
        <v>120</v>
      </c>
      <c r="X30" s="375"/>
      <c r="Y30" s="375"/>
      <c r="Z30" s="373"/>
      <c r="AA30" s="374" t="s">
        <v>121</v>
      </c>
      <c r="AB30" s="375"/>
      <c r="AC30" s="375"/>
      <c r="AD30" s="373"/>
      <c r="AE30" s="374" t="s">
        <v>122</v>
      </c>
      <c r="AF30" s="375"/>
      <c r="AG30" s="375"/>
    </row>
    <row r="31" spans="1:33">
      <c r="P31" s="361" t="s">
        <v>114</v>
      </c>
      <c r="Q31" s="361" t="s">
        <v>115</v>
      </c>
      <c r="R31" s="361" t="s">
        <v>116</v>
      </c>
      <c r="S31" s="362" t="s">
        <v>113</v>
      </c>
      <c r="U31" s="360" t="s">
        <v>55</v>
      </c>
      <c r="V31" s="360"/>
      <c r="W31" s="360" t="s">
        <v>110</v>
      </c>
      <c r="X31" s="360" t="s">
        <v>117</v>
      </c>
      <c r="Y31" s="360" t="s">
        <v>118</v>
      </c>
      <c r="Z31" s="376"/>
      <c r="AA31" s="360" t="s">
        <v>110</v>
      </c>
      <c r="AB31" s="360" t="s">
        <v>117</v>
      </c>
      <c r="AC31" s="360" t="s">
        <v>118</v>
      </c>
      <c r="AD31" s="376"/>
      <c r="AE31" s="360" t="s">
        <v>110</v>
      </c>
      <c r="AF31" s="360" t="s">
        <v>117</v>
      </c>
      <c r="AG31" s="360" t="s">
        <v>118</v>
      </c>
    </row>
    <row r="32" spans="1:33">
      <c r="P32" s="363">
        <v>43101</v>
      </c>
      <c r="Q32" s="364">
        <f>'Summary Sheet_SC_Migrated'!C12/1000</f>
        <v>2117768.4992320002</v>
      </c>
      <c r="R32" s="364">
        <f>'Summary Sheet_SC_Migrated'!D12/1000</f>
        <v>2211605.0127320206</v>
      </c>
      <c r="S32" s="364">
        <f>R32-Q32</f>
        <v>93836.513500020374</v>
      </c>
      <c r="U32" s="363">
        <v>43101</v>
      </c>
      <c r="V32" s="377"/>
      <c r="W32" s="364">
        <f>'Summary Sheet_SC_Migrated'!J11</f>
        <v>1245600.4971179999</v>
      </c>
      <c r="X32" s="364">
        <f>'Summary Sheet_SC_Migrated'!K11</f>
        <v>1320394.2791770399</v>
      </c>
      <c r="Y32" s="364">
        <f>'Summary Sheet_SC_Migrated'!L11</f>
        <v>74793.782059039921</v>
      </c>
      <c r="Z32" s="364">
        <f>'Summary Sheet_SC_Migrated'!M11</f>
        <v>0</v>
      </c>
      <c r="AA32" s="364">
        <f>'Summary Sheet_SC_Migrated'!N11</f>
        <v>270133.33044799994</v>
      </c>
      <c r="AB32" s="364">
        <f>'Summary Sheet_SC_Migrated'!O11</f>
        <v>279781.97774060897</v>
      </c>
      <c r="AC32" s="364">
        <f>'Summary Sheet_SC_Migrated'!P11</f>
        <v>9648.6472926090355</v>
      </c>
      <c r="AD32" s="364">
        <f>'Summary Sheet_SC_Migrated'!Q11</f>
        <v>0</v>
      </c>
      <c r="AE32" s="364">
        <f>'Summary Sheet_SC_Migrated'!R11</f>
        <v>268814.533635</v>
      </c>
      <c r="AF32" s="364">
        <f>'Summary Sheet_SC_Migrated'!S11</f>
        <v>275020.41123306943</v>
      </c>
      <c r="AG32" s="364">
        <f>'Summary Sheet_SC_Migrated'!T11</f>
        <v>6205.8775980694336</v>
      </c>
    </row>
    <row r="33" spans="16:33">
      <c r="P33" s="363">
        <v>43132</v>
      </c>
      <c r="Q33" s="364">
        <f>'Summary Sheet_SC_Migrated'!C13/1000</f>
        <v>1966820.0154419995</v>
      </c>
      <c r="R33" s="364">
        <f>'Summary Sheet_SC_Migrated'!D13/1000</f>
        <v>1910362.6419264956</v>
      </c>
      <c r="S33" s="364">
        <f t="shared" ref="S33:S43" si="0">R33-Q33</f>
        <v>-56457.373515503947</v>
      </c>
      <c r="U33" s="363">
        <v>43132</v>
      </c>
      <c r="V33" s="377"/>
      <c r="W33" s="364">
        <f>'Summary Sheet_SC_Migrated'!J12</f>
        <v>1123202.8302799999</v>
      </c>
      <c r="X33" s="364">
        <f>'Summary Sheet_SC_Migrated'!K12</f>
        <v>1078333.7287120998</v>
      </c>
      <c r="Y33" s="364">
        <f>'Summary Sheet_SC_Migrated'!L12</f>
        <v>-44869.101567900041</v>
      </c>
      <c r="Z33" s="364">
        <f>'Summary Sheet_SC_Migrated'!M12</f>
        <v>0</v>
      </c>
      <c r="AA33" s="364">
        <f>'Summary Sheet_SC_Migrated'!N12</f>
        <v>250689.17238099998</v>
      </c>
      <c r="AB33" s="364">
        <f>'Summary Sheet_SC_Migrated'!O12</f>
        <v>244834.49947686828</v>
      </c>
      <c r="AC33" s="364">
        <f>'Summary Sheet_SC_Migrated'!P12</f>
        <v>-5854.6729041317012</v>
      </c>
      <c r="AD33" s="364">
        <f>'Summary Sheet_SC_Migrated'!Q12</f>
        <v>0</v>
      </c>
      <c r="AE33" s="364">
        <f>'Summary Sheet_SC_Migrated'!R12</f>
        <v>261333.806633</v>
      </c>
      <c r="AF33" s="364">
        <f>'Summary Sheet_SC_Migrated'!S12</f>
        <v>257490.77044194311</v>
      </c>
      <c r="AG33" s="364">
        <f>'Summary Sheet_SC_Migrated'!T12</f>
        <v>-3843.0361910568899</v>
      </c>
    </row>
    <row r="34" spans="16:33">
      <c r="P34" s="363">
        <v>43160</v>
      </c>
      <c r="Q34" s="364">
        <f>'Summary Sheet_SC_Migrated'!C14/1000</f>
        <v>1943634.1985739998</v>
      </c>
      <c r="R34" s="364">
        <f>'Summary Sheet_SC_Migrated'!D14/1000</f>
        <v>1949460.3565087842</v>
      </c>
      <c r="S34" s="364">
        <f t="shared" si="0"/>
        <v>5826.1579347844236</v>
      </c>
      <c r="U34" s="363">
        <v>43160</v>
      </c>
      <c r="V34" s="377"/>
      <c r="W34" s="364">
        <f>'Summary Sheet_SC_Migrated'!J13</f>
        <v>1119823.6269689999</v>
      </c>
      <c r="X34" s="364">
        <f>'Summary Sheet_SC_Migrated'!K13</f>
        <v>1124218.3040027621</v>
      </c>
      <c r="Y34" s="364">
        <f>'Summary Sheet_SC_Migrated'!L13</f>
        <v>4394.6770337622147</v>
      </c>
      <c r="Z34" s="364">
        <f>'Summary Sheet_SC_Migrated'!M13</f>
        <v>0</v>
      </c>
      <c r="AA34" s="364">
        <f>'Summary Sheet_SC_Migrated'!N13</f>
        <v>249868.97207899997</v>
      </c>
      <c r="AB34" s="364">
        <f>'Summary Sheet_SC_Migrated'!O13</f>
        <v>250632.99138437043</v>
      </c>
      <c r="AC34" s="364">
        <f>'Summary Sheet_SC_Migrated'!P13</f>
        <v>764.019305370457</v>
      </c>
      <c r="AD34" s="364">
        <f>'Summary Sheet_SC_Migrated'!Q13</f>
        <v>0</v>
      </c>
      <c r="AE34" s="364">
        <f>'Summary Sheet_SC_Migrated'!R13</f>
        <v>262628.04123100004</v>
      </c>
      <c r="AF34" s="364">
        <f>'Summary Sheet_SC_Migrated'!S13</f>
        <v>263238.83784569387</v>
      </c>
      <c r="AG34" s="364">
        <f>'Summary Sheet_SC_Migrated'!T13</f>
        <v>610.796614693827</v>
      </c>
    </row>
    <row r="35" spans="16:33">
      <c r="P35" s="363">
        <v>43191</v>
      </c>
      <c r="Q35" s="364">
        <f>'Summary Sheet_SC_Migrated'!C15/1000</f>
        <v>1699164.0937230003</v>
      </c>
      <c r="R35" s="364">
        <f>'Summary Sheet_SC_Migrated'!D15/1000</f>
        <v>1718136.0180731823</v>
      </c>
      <c r="S35" s="364">
        <f t="shared" si="0"/>
        <v>18971.92435018206</v>
      </c>
      <c r="U35" s="363">
        <v>43191</v>
      </c>
      <c r="V35" s="377"/>
      <c r="W35" s="364">
        <f>'Summary Sheet_SC_Migrated'!J14</f>
        <v>924598.02489300002</v>
      </c>
      <c r="X35" s="364">
        <f>'Summary Sheet_SC_Migrated'!K14</f>
        <v>940942.93963610567</v>
      </c>
      <c r="Y35" s="364">
        <f>'Summary Sheet_SC_Migrated'!L14</f>
        <v>16344.914743105648</v>
      </c>
      <c r="Z35" s="364">
        <f>'Summary Sheet_SC_Migrated'!M14</f>
        <v>0</v>
      </c>
      <c r="AA35" s="364">
        <f>'Summary Sheet_SC_Migrated'!N14</f>
        <v>222462.811071</v>
      </c>
      <c r="AB35" s="364">
        <f>'Summary Sheet_SC_Migrated'!O14</f>
        <v>223928.7650888752</v>
      </c>
      <c r="AC35" s="364">
        <f>'Summary Sheet_SC_Migrated'!P14</f>
        <v>1465.9540178751922</v>
      </c>
      <c r="AD35" s="364">
        <f>'Summary Sheet_SC_Migrated'!Q14</f>
        <v>0</v>
      </c>
      <c r="AE35" s="364">
        <f>'Summary Sheet_SC_Migrated'!R14</f>
        <v>243873.52108700003</v>
      </c>
      <c r="AF35" s="364">
        <f>'Summary Sheet_SC_Migrated'!S14</f>
        <v>244498.00844735318</v>
      </c>
      <c r="AG35" s="364">
        <f>'Summary Sheet_SC_Migrated'!T14</f>
        <v>624.48736035314505</v>
      </c>
    </row>
    <row r="36" spans="16:33">
      <c r="P36" s="363">
        <v>43221</v>
      </c>
      <c r="Q36" s="364">
        <f>'Summary Sheet_SC_Migrated'!C16/1000</f>
        <v>1490892.2272010001</v>
      </c>
      <c r="R36" s="364">
        <f>'Summary Sheet_SC_Migrated'!D16/1000</f>
        <v>1542507.0703846565</v>
      </c>
      <c r="S36" s="364">
        <f t="shared" si="0"/>
        <v>51614.843183656456</v>
      </c>
      <c r="U36" s="363">
        <v>43221</v>
      </c>
      <c r="V36" s="377"/>
      <c r="W36" s="364">
        <f>'Summary Sheet_SC_Migrated'!J15</f>
        <v>741369.50304700003</v>
      </c>
      <c r="X36" s="364">
        <f>'Summary Sheet_SC_Migrated'!K15</f>
        <v>790422.19592384121</v>
      </c>
      <c r="Y36" s="364">
        <f>'Summary Sheet_SC_Migrated'!L15</f>
        <v>49052.692876841174</v>
      </c>
      <c r="Z36" s="364">
        <f>'Summary Sheet_SC_Migrated'!M15</f>
        <v>0</v>
      </c>
      <c r="AA36" s="364">
        <f>'Summary Sheet_SC_Migrated'!N15</f>
        <v>203775.022662</v>
      </c>
      <c r="AB36" s="364">
        <f>'Summary Sheet_SC_Migrated'!O15</f>
        <v>206369.81499173975</v>
      </c>
      <c r="AC36" s="364">
        <f>'Summary Sheet_SC_Migrated'!P15</f>
        <v>2594.7923297397501</v>
      </c>
      <c r="AD36" s="364">
        <f>'Summary Sheet_SC_Migrated'!Q15</f>
        <v>0</v>
      </c>
      <c r="AE36" s="364">
        <f>'Summary Sheet_SC_Migrated'!R15</f>
        <v>238525.41172299997</v>
      </c>
      <c r="AF36" s="364">
        <f>'Summary Sheet_SC_Migrated'!S15</f>
        <v>238067.85406721814</v>
      </c>
      <c r="AG36" s="364">
        <f>'Summary Sheet_SC_Migrated'!T15</f>
        <v>-457.55765578182763</v>
      </c>
    </row>
    <row r="37" spans="16:33">
      <c r="P37" s="363">
        <v>43252</v>
      </c>
      <c r="Q37" s="364">
        <f>'Summary Sheet_SC_Migrated'!C17/1000</f>
        <v>1402796.9860940001</v>
      </c>
      <c r="R37" s="364">
        <f>'Summary Sheet_SC_Migrated'!D17/1000</f>
        <v>1393796.2647921757</v>
      </c>
      <c r="S37" s="364">
        <f t="shared" si="0"/>
        <v>-9000.7213018243201</v>
      </c>
      <c r="U37" s="363">
        <v>43252</v>
      </c>
      <c r="V37" s="377"/>
      <c r="W37" s="364">
        <f>'Summary Sheet_SC_Migrated'!J16</f>
        <v>663353.18537899991</v>
      </c>
      <c r="X37" s="364">
        <f>'Summary Sheet_SC_Migrated'!K16</f>
        <v>657526.52312316094</v>
      </c>
      <c r="Y37" s="364">
        <f>'Summary Sheet_SC_Migrated'!L16</f>
        <v>-5826.662255838979</v>
      </c>
      <c r="Z37" s="364">
        <f>'Summary Sheet_SC_Migrated'!M16</f>
        <v>0</v>
      </c>
      <c r="AA37" s="364">
        <f>'Summary Sheet_SC_Migrated'!N16</f>
        <v>201892.25566099994</v>
      </c>
      <c r="AB37" s="364">
        <f>'Summary Sheet_SC_Migrated'!O16</f>
        <v>200762.53352060576</v>
      </c>
      <c r="AC37" s="364">
        <f>'Summary Sheet_SC_Migrated'!P16</f>
        <v>-1129.7221403941803</v>
      </c>
      <c r="AD37" s="364">
        <f>'Summary Sheet_SC_Migrated'!Q16</f>
        <v>0</v>
      </c>
      <c r="AE37" s="364">
        <f>'Summary Sheet_SC_Migrated'!R16</f>
        <v>233343.840501</v>
      </c>
      <c r="AF37" s="364">
        <f>'Summary Sheet_SC_Migrated'!S16</f>
        <v>232295.85397816802</v>
      </c>
      <c r="AG37" s="364">
        <f>'Summary Sheet_SC_Migrated'!T16</f>
        <v>-1047.9865228319832</v>
      </c>
    </row>
    <row r="38" spans="16:33">
      <c r="P38" s="363">
        <v>43282</v>
      </c>
      <c r="Q38" s="364">
        <f>'Summary Sheet_SC_Migrated'!C18/1000</f>
        <v>1444305.0904159998</v>
      </c>
      <c r="R38" s="364">
        <f>'Summary Sheet_SC_Migrated'!D18/1000</f>
        <v>1366445.615433343</v>
      </c>
      <c r="S38" s="364">
        <f t="shared" si="0"/>
        <v>-77859.474982656771</v>
      </c>
      <c r="U38" s="363">
        <v>43282</v>
      </c>
      <c r="V38" s="377"/>
      <c r="W38" s="364">
        <f>'Summary Sheet_SC_Migrated'!J17</f>
        <v>670337.02335200005</v>
      </c>
      <c r="X38" s="364">
        <f>'Summary Sheet_SC_Migrated'!K17</f>
        <v>619908.53963391413</v>
      </c>
      <c r="Y38" s="364">
        <f>'Summary Sheet_SC_Migrated'!L17</f>
        <v>-50428.483718085918</v>
      </c>
      <c r="Z38" s="364">
        <f>'Summary Sheet_SC_Migrated'!M17</f>
        <v>0</v>
      </c>
      <c r="AA38" s="364">
        <f>'Summary Sheet_SC_Migrated'!N17</f>
        <v>209797.70127400002</v>
      </c>
      <c r="AB38" s="364">
        <f>'Summary Sheet_SC_Migrated'!O17</f>
        <v>200016.31627326907</v>
      </c>
      <c r="AC38" s="364">
        <f>'Summary Sheet_SC_Migrated'!P17</f>
        <v>-9781.385000730952</v>
      </c>
      <c r="AD38" s="364">
        <f>'Summary Sheet_SC_Migrated'!Q17</f>
        <v>0</v>
      </c>
      <c r="AE38" s="364">
        <f>'Summary Sheet_SC_Migrated'!R17</f>
        <v>237185.04438699997</v>
      </c>
      <c r="AF38" s="364">
        <f>'Summary Sheet_SC_Migrated'!S17</f>
        <v>228158.95745728532</v>
      </c>
      <c r="AG38" s="364">
        <f>'Summary Sheet_SC_Migrated'!T17</f>
        <v>-9026.0869297146564</v>
      </c>
    </row>
    <row r="39" spans="16:33">
      <c r="P39" s="363">
        <v>43313</v>
      </c>
      <c r="Q39" s="364">
        <f>'Summary Sheet_SC_Migrated'!C19/1000</f>
        <v>1582213.5467269998</v>
      </c>
      <c r="R39" s="364">
        <f>'Summary Sheet_SC_Migrated'!D19/1000</f>
        <v>1541279.5864041082</v>
      </c>
      <c r="S39" s="364">
        <f t="shared" si="0"/>
        <v>-40933.960322891595</v>
      </c>
      <c r="U39" s="363">
        <v>43313</v>
      </c>
      <c r="V39" s="377"/>
      <c r="W39" s="364">
        <f>'Summary Sheet_SC_Migrated'!J18</f>
        <v>735328.69555099995</v>
      </c>
      <c r="X39" s="364">
        <f>'Summary Sheet_SC_Migrated'!K18</f>
        <v>708817.12199245114</v>
      </c>
      <c r="Y39" s="364">
        <f>'Summary Sheet_SC_Migrated'!L18</f>
        <v>-26511.573558548815</v>
      </c>
      <c r="Z39" s="364">
        <f>'Summary Sheet_SC_Migrated'!M18</f>
        <v>0</v>
      </c>
      <c r="AA39" s="364">
        <f>'Summary Sheet_SC_Migrated'!N18</f>
        <v>226735.50328899999</v>
      </c>
      <c r="AB39" s="364">
        <f>'Summary Sheet_SC_Migrated'!O18</f>
        <v>221592.13746986</v>
      </c>
      <c r="AC39" s="364">
        <f>'Summary Sheet_SC_Migrated'!P18</f>
        <v>-5143.3658191399882</v>
      </c>
      <c r="AD39" s="364">
        <f>'Summary Sheet_SC_Migrated'!Q18</f>
        <v>0</v>
      </c>
      <c r="AE39" s="364">
        <f>'Summary Sheet_SC_Migrated'!R18</f>
        <v>268208.49714699999</v>
      </c>
      <c r="AF39" s="364">
        <f>'Summary Sheet_SC_Migrated'!S18</f>
        <v>263466.25528199086</v>
      </c>
      <c r="AG39" s="364">
        <f>'Summary Sheet_SC_Migrated'!T18</f>
        <v>-4742.2418650091277</v>
      </c>
    </row>
    <row r="40" spans="16:33">
      <c r="P40" s="363">
        <v>43344</v>
      </c>
      <c r="Q40" s="364">
        <f>'Summary Sheet_SC_Migrated'!C20/1000</f>
        <v>1463713.5275370001</v>
      </c>
      <c r="R40" s="364">
        <f>'Summary Sheet_SC_Migrated'!D20/1000</f>
        <v>1469977.7426955875</v>
      </c>
      <c r="S40" s="364">
        <f t="shared" si="0"/>
        <v>6264.2151585873216</v>
      </c>
      <c r="U40" s="363">
        <v>43344</v>
      </c>
      <c r="V40" s="377"/>
      <c r="W40" s="364">
        <f>'Summary Sheet_SC_Migrated'!J19</f>
        <v>680363.49579099996</v>
      </c>
      <c r="X40" s="364">
        <f>'Summary Sheet_SC_Migrated'!K19</f>
        <v>684422.40077883576</v>
      </c>
      <c r="Y40" s="364">
        <f>'Summary Sheet_SC_Migrated'!L19</f>
        <v>4058.904987835791</v>
      </c>
      <c r="Z40" s="364">
        <f>'Summary Sheet_SC_Migrated'!M19</f>
        <v>0</v>
      </c>
      <c r="AA40" s="364">
        <f>'Summary Sheet_SC_Migrated'!N19</f>
        <v>214191.13250400001</v>
      </c>
      <c r="AB40" s="364">
        <f>'Summary Sheet_SC_Migrated'!O19</f>
        <v>214978.31497620078</v>
      </c>
      <c r="AC40" s="364">
        <f>'Summary Sheet_SC_Migrated'!P19</f>
        <v>787.18247220077319</v>
      </c>
      <c r="AD40" s="364">
        <f>'Summary Sheet_SC_Migrated'!Q19</f>
        <v>0</v>
      </c>
      <c r="AE40" s="364">
        <f>'Summary Sheet_SC_Migrated'!R19</f>
        <v>242319.38924600004</v>
      </c>
      <c r="AF40" s="364">
        <f>'Summary Sheet_SC_Migrated'!S19</f>
        <v>243044.45128200177</v>
      </c>
      <c r="AG40" s="364">
        <f>'Summary Sheet_SC_Migrated'!T19</f>
        <v>725.06203600173467</v>
      </c>
    </row>
    <row r="41" spans="16:33">
      <c r="P41" s="363">
        <v>43374</v>
      </c>
      <c r="Q41" s="364">
        <f>'Summary Sheet_SC_Migrated'!C21/1000</f>
        <v>1419110.7897040001</v>
      </c>
      <c r="R41" s="364">
        <f>'Summary Sheet_SC_Migrated'!D21/1000</f>
        <v>1431038.0517473032</v>
      </c>
      <c r="S41" s="364">
        <f t="shared" si="0"/>
        <v>11927.262043303112</v>
      </c>
      <c r="U41" s="363">
        <v>43374</v>
      </c>
      <c r="V41" s="377"/>
      <c r="W41" s="364">
        <f>'Summary Sheet_SC_Migrated'!J20</f>
        <v>687720.73388199997</v>
      </c>
      <c r="X41" s="364">
        <f>'Summary Sheet_SC_Migrated'!K20</f>
        <v>697805.19490895129</v>
      </c>
      <c r="Y41" s="364">
        <f>'Summary Sheet_SC_Migrated'!L20</f>
        <v>10084.461026951321</v>
      </c>
      <c r="Z41" s="364">
        <f>'Summary Sheet_SC_Migrated'!M20</f>
        <v>0</v>
      </c>
      <c r="AA41" s="364">
        <f>'Summary Sheet_SC_Migrated'!N20</f>
        <v>199477.82797099999</v>
      </c>
      <c r="AB41" s="364">
        <f>'Summary Sheet_SC_Migrated'!O20</f>
        <v>200345.67675547747</v>
      </c>
      <c r="AC41" s="364">
        <f>'Summary Sheet_SC_Migrated'!P20</f>
        <v>867.84878447747906</v>
      </c>
      <c r="AD41" s="364">
        <f>'Summary Sheet_SC_Migrated'!Q20</f>
        <v>0</v>
      </c>
      <c r="AE41" s="364">
        <f>'Summary Sheet_SC_Migrated'!R20</f>
        <v>230321.88103300001</v>
      </c>
      <c r="AF41" s="364">
        <f>'Summary Sheet_SC_Migrated'!S20</f>
        <v>230660.10035857442</v>
      </c>
      <c r="AG41" s="364">
        <f>'Summary Sheet_SC_Migrated'!T20</f>
        <v>338.21932557440596</v>
      </c>
    </row>
    <row r="42" spans="16:33">
      <c r="P42" s="365">
        <v>43405</v>
      </c>
      <c r="Q42" s="366">
        <f>'Summary Sheet_SC_Migrated'!C22/1000</f>
        <v>1590358.4866519999</v>
      </c>
      <c r="R42" s="366">
        <f>'Summary Sheet_SC_Migrated'!D22/1000</f>
        <v>1659759.6181684327</v>
      </c>
      <c r="S42" s="366">
        <f t="shared" si="0"/>
        <v>69401.131516432855</v>
      </c>
      <c r="U42" s="363">
        <v>43405</v>
      </c>
      <c r="V42" s="377"/>
      <c r="W42" s="364">
        <f>'Summary Sheet_SC_Migrated'!J21</f>
        <v>842221.07113299996</v>
      </c>
      <c r="X42" s="364">
        <f>'Summary Sheet_SC_Migrated'!K21</f>
        <v>899431.99971165601</v>
      </c>
      <c r="Y42" s="364">
        <f>'Summary Sheet_SC_Migrated'!L21</f>
        <v>57210.92857865605</v>
      </c>
      <c r="Z42" s="364">
        <f>'Summary Sheet_SC_Migrated'!M21</f>
        <v>0</v>
      </c>
      <c r="AA42" s="364">
        <f>'Summary Sheet_SC_Migrated'!N21</f>
        <v>210676.67024499999</v>
      </c>
      <c r="AB42" s="364">
        <f>'Summary Sheet_SC_Migrated'!O21</f>
        <v>216898.39123826221</v>
      </c>
      <c r="AC42" s="364">
        <f>'Summary Sheet_SC_Migrated'!P21</f>
        <v>6221.7209932622209</v>
      </c>
      <c r="AD42" s="364">
        <f>'Summary Sheet_SC_Migrated'!Q21</f>
        <v>0</v>
      </c>
      <c r="AE42" s="364">
        <f>'Summary Sheet_SC_Migrated'!R21</f>
        <v>236703.8505</v>
      </c>
      <c r="AF42" s="364">
        <f>'Summary Sheet_SC_Migrated'!S21</f>
        <v>240221.48283968517</v>
      </c>
      <c r="AG42" s="364">
        <f>'Summary Sheet_SC_Migrated'!T21</f>
        <v>3517.6323396851658</v>
      </c>
    </row>
    <row r="43" spans="16:33">
      <c r="P43" s="367">
        <v>43435</v>
      </c>
      <c r="Q43" s="368">
        <f>'Summary Sheet_SC_Migrated'!C23/1000</f>
        <v>1912905.138671</v>
      </c>
      <c r="R43" s="368">
        <f>'Summary Sheet_SC_Migrated'!D23/1000</f>
        <v>2006770.8585626197</v>
      </c>
      <c r="S43" s="368">
        <f t="shared" si="0"/>
        <v>93865.719891619636</v>
      </c>
      <c r="U43" s="367">
        <v>43435</v>
      </c>
      <c r="V43" s="378"/>
      <c r="W43" s="368">
        <f>'Summary Sheet_SC_Migrated'!J22</f>
        <v>1085744.61167</v>
      </c>
      <c r="X43" s="368">
        <f>'Summary Sheet_SC_Migrated'!K22</f>
        <v>1160576.0444485361</v>
      </c>
      <c r="Y43" s="368">
        <f>'Summary Sheet_SC_Migrated'!L22</f>
        <v>74831.432778536109</v>
      </c>
      <c r="Z43" s="364">
        <f>'Summary Sheet_SC_Migrated'!M22</f>
        <v>0</v>
      </c>
      <c r="AA43" s="364">
        <f>'Summary Sheet_SC_Migrated'!N22</f>
        <v>239354.61277900002</v>
      </c>
      <c r="AB43" s="364">
        <f>'Summary Sheet_SC_Migrated'!O22</f>
        <v>248908.60486827782</v>
      </c>
      <c r="AC43" s="368">
        <f>'Summary Sheet_SC_Migrated'!P22</f>
        <v>9553.9920892778027</v>
      </c>
      <c r="AD43" s="364">
        <f>'Summary Sheet_SC_Migrated'!Q22</f>
        <v>0</v>
      </c>
      <c r="AE43" s="368">
        <f>'Summary Sheet_SC_Migrated'!R22</f>
        <v>261157.84510500001</v>
      </c>
      <c r="AF43" s="368">
        <f>'Summary Sheet_SC_Migrated'!S22</f>
        <v>267503.15375746274</v>
      </c>
      <c r="AG43" s="368">
        <f>'Summary Sheet_SC_Migrated'!T22</f>
        <v>6345.3086524627288</v>
      </c>
    </row>
    <row r="44" spans="16:33">
      <c r="P44" s="369" t="s">
        <v>19</v>
      </c>
      <c r="Q44" s="370">
        <f>SUM(Q32:Q43)</f>
        <v>20033682.599972997</v>
      </c>
      <c r="R44" s="370">
        <f t="shared" ref="R44:S44" si="1">SUM(R32:R43)</f>
        <v>20201138.837428708</v>
      </c>
      <c r="S44" s="370">
        <f t="shared" si="1"/>
        <v>167456.2374557096</v>
      </c>
      <c r="U44" s="363" t="s">
        <v>19</v>
      </c>
      <c r="V44" s="377"/>
      <c r="W44" s="379">
        <f>SUM(W32:W43)</f>
        <v>10519663.299064999</v>
      </c>
      <c r="X44" s="379">
        <f t="shared" ref="X44:Y44" si="2">SUM(X32:X43)</f>
        <v>10682799.272049353</v>
      </c>
      <c r="Y44" s="379">
        <f t="shared" si="2"/>
        <v>163135.97298435448</v>
      </c>
      <c r="Z44" s="379"/>
      <c r="AA44" s="380">
        <f>SUM(AA32:AA43)</f>
        <v>2699055.0123640001</v>
      </c>
      <c r="AB44" s="380">
        <f t="shared" ref="AB44:AC44" si="3">SUM(AB32:AB43)</f>
        <v>2709050.0237844158</v>
      </c>
      <c r="AC44" s="379">
        <f t="shared" si="3"/>
        <v>9995.011420415889</v>
      </c>
      <c r="AD44" s="379"/>
      <c r="AE44" s="379">
        <f>SUM(AE32:AE43)</f>
        <v>2984415.6622279999</v>
      </c>
      <c r="AF44" s="379">
        <f t="shared" ref="AF44:AG44" si="4">SUM(AF32:AF43)</f>
        <v>2983666.1369904461</v>
      </c>
      <c r="AG44" s="379">
        <f t="shared" si="4"/>
        <v>-749.525237554044</v>
      </c>
    </row>
    <row r="45" spans="16:33"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</row>
    <row r="46" spans="16:33">
      <c r="U46" s="357"/>
      <c r="V46" s="357"/>
      <c r="W46" s="371" t="s">
        <v>130</v>
      </c>
      <c r="X46" s="372"/>
      <c r="Y46" s="372"/>
      <c r="Z46" s="357"/>
      <c r="AA46" s="371" t="s">
        <v>132</v>
      </c>
      <c r="AB46" s="372"/>
      <c r="AC46" s="372"/>
      <c r="AD46" s="373"/>
      <c r="AE46" s="371"/>
      <c r="AF46" s="372"/>
      <c r="AG46" s="372"/>
    </row>
    <row r="47" spans="16:33">
      <c r="U47" s="357"/>
      <c r="V47" s="357"/>
      <c r="W47" s="374" t="s">
        <v>145</v>
      </c>
      <c r="X47" s="375"/>
      <c r="Y47" s="375"/>
      <c r="Z47" s="357"/>
      <c r="AA47" s="374" t="s">
        <v>124</v>
      </c>
      <c r="AB47" s="375"/>
      <c r="AC47" s="375"/>
      <c r="AD47" s="373"/>
      <c r="AE47" s="374"/>
      <c r="AF47" s="375"/>
      <c r="AG47" s="375"/>
    </row>
    <row r="48" spans="16:33">
      <c r="U48" s="360" t="s">
        <v>55</v>
      </c>
      <c r="V48" s="360"/>
      <c r="W48" s="360" t="s">
        <v>110</v>
      </c>
      <c r="X48" s="360" t="s">
        <v>117</v>
      </c>
      <c r="Y48" s="360" t="s">
        <v>118</v>
      </c>
      <c r="Z48" s="357"/>
      <c r="AA48" s="360" t="s">
        <v>110</v>
      </c>
      <c r="AB48" s="360" t="s">
        <v>117</v>
      </c>
      <c r="AC48" s="360" t="s">
        <v>118</v>
      </c>
      <c r="AD48" s="376"/>
      <c r="AE48" s="360"/>
      <c r="AF48" s="360"/>
      <c r="AG48" s="360"/>
    </row>
    <row r="49" spans="21:33">
      <c r="U49" s="363">
        <v>43101</v>
      </c>
      <c r="V49" s="377"/>
      <c r="W49" s="364">
        <f>'Summary Sheet_SC_Migrated'!J28</f>
        <v>161945.518912</v>
      </c>
      <c r="X49" s="364">
        <f>'Summary Sheet_SC_Migrated'!K28</f>
        <v>162654.94741299798</v>
      </c>
      <c r="Y49" s="364">
        <f>'Summary Sheet_SC_Migrated'!L28</f>
        <v>709.42850099797943</v>
      </c>
      <c r="Z49" s="364">
        <f>'Summary Sheet_SC_Migrated'!M28</f>
        <v>0</v>
      </c>
      <c r="AA49" s="364">
        <f>'Summary Sheet_SC_Migrated'!N28</f>
        <v>123559.46893399999</v>
      </c>
      <c r="AB49" s="364">
        <f>'Summary Sheet_SC_Migrated'!O28</f>
        <v>124319.62165838922</v>
      </c>
      <c r="AC49" s="364">
        <f>'Summary Sheet_SC_Migrated'!P28</f>
        <v>760.15272438923421</v>
      </c>
      <c r="AD49" s="364">
        <f>'Summary Sheet_SC_Migrated'!Q28</f>
        <v>0</v>
      </c>
      <c r="AE49" s="364"/>
      <c r="AF49" s="364"/>
      <c r="AG49" s="364"/>
    </row>
    <row r="50" spans="21:33">
      <c r="U50" s="363">
        <v>43132</v>
      </c>
      <c r="V50" s="377"/>
      <c r="W50" s="364">
        <f>'Summary Sheet_SC_Migrated'!J29</f>
        <v>162491.21689099999</v>
      </c>
      <c r="X50" s="364">
        <f>'Summary Sheet_SC_Migrated'!K29</f>
        <v>162076.18813975566</v>
      </c>
      <c r="Y50" s="364">
        <f>'Summary Sheet_SC_Migrated'!L29</f>
        <v>-415.02875124433194</v>
      </c>
      <c r="Z50" s="364">
        <f>'Summary Sheet_SC_Migrated'!M29</f>
        <v>0</v>
      </c>
      <c r="AA50" s="364">
        <f>'Summary Sheet_SC_Migrated'!N29</f>
        <v>126618.34970199999</v>
      </c>
      <c r="AB50" s="364">
        <f>'Summary Sheet_SC_Migrated'!O29</f>
        <v>126158.42660357823</v>
      </c>
      <c r="AC50" s="364">
        <f>'Summary Sheet_SC_Migrated'!P29</f>
        <v>-459.92309842175746</v>
      </c>
      <c r="AD50" s="364">
        <f>'Summary Sheet_SC_Migrated'!Q29</f>
        <v>0</v>
      </c>
      <c r="AE50" s="364"/>
      <c r="AF50" s="364"/>
      <c r="AG50" s="364"/>
    </row>
    <row r="51" spans="21:33">
      <c r="U51" s="363">
        <v>43160</v>
      </c>
      <c r="V51" s="377"/>
      <c r="W51" s="364">
        <f>'Summary Sheet_SC_Migrated'!J30</f>
        <v>151988.86018899997</v>
      </c>
      <c r="X51" s="364">
        <f>'Summary Sheet_SC_Migrated'!K30</f>
        <v>151966.75668221177</v>
      </c>
      <c r="Y51" s="364">
        <f>'Summary Sheet_SC_Migrated'!L30</f>
        <v>-22.103506788203958</v>
      </c>
      <c r="Z51" s="364">
        <f>'Summary Sheet_SC_Migrated'!M30</f>
        <v>0</v>
      </c>
      <c r="AA51" s="364">
        <f>'Summary Sheet_SC_Migrated'!N30</f>
        <v>110877.300106</v>
      </c>
      <c r="AB51" s="364">
        <f>'Summary Sheet_SC_Migrated'!O30</f>
        <v>110857.57846770901</v>
      </c>
      <c r="AC51" s="364">
        <f>'Summary Sheet_SC_Migrated'!P30</f>
        <v>-19.72163829098281</v>
      </c>
      <c r="AD51" s="364">
        <f>'Summary Sheet_SC_Migrated'!Q30</f>
        <v>0</v>
      </c>
      <c r="AE51" s="364"/>
      <c r="AF51" s="364"/>
      <c r="AG51" s="364"/>
    </row>
    <row r="52" spans="21:33">
      <c r="U52" s="363">
        <v>43191</v>
      </c>
      <c r="V52" s="377"/>
      <c r="W52" s="364">
        <f>'Summary Sheet_SC_Migrated'!J31</f>
        <v>148167.97019699999</v>
      </c>
      <c r="X52" s="364">
        <f>'Summary Sheet_SC_Migrated'!K31</f>
        <v>148293.77701945524</v>
      </c>
      <c r="Y52" s="364">
        <f>'Summary Sheet_SC_Migrated'!L31</f>
        <v>125.80682245525531</v>
      </c>
      <c r="Z52" s="364">
        <f>'Summary Sheet_SC_Migrated'!M31</f>
        <v>0</v>
      </c>
      <c r="AA52" s="364">
        <f>'Summary Sheet_SC_Migrated'!N31</f>
        <v>117463.880595</v>
      </c>
      <c r="AB52" s="364">
        <f>'Summary Sheet_SC_Migrated'!O31</f>
        <v>117599.96542809371</v>
      </c>
      <c r="AC52" s="364">
        <f>'Summary Sheet_SC_Migrated'!P31</f>
        <v>136.08483309371513</v>
      </c>
      <c r="AD52" s="364">
        <f>'Summary Sheet_SC_Migrated'!Q31</f>
        <v>0</v>
      </c>
      <c r="AE52" s="364"/>
      <c r="AF52" s="364"/>
      <c r="AG52" s="364"/>
    </row>
    <row r="53" spans="21:33">
      <c r="U53" s="363">
        <v>43221</v>
      </c>
      <c r="V53" s="377"/>
      <c r="W53" s="364">
        <f>'Summary Sheet_SC_Migrated'!J32</f>
        <v>153898.36760900001</v>
      </c>
      <c r="X53" s="364">
        <f>'Summary Sheet_SC_Migrated'!K32</f>
        <v>153561.16555504245</v>
      </c>
      <c r="Y53" s="364">
        <f>'Summary Sheet_SC_Migrated'!L32</f>
        <v>-337.20205395756057</v>
      </c>
      <c r="Z53" s="364">
        <f>'Summary Sheet_SC_Migrated'!M32</f>
        <v>0</v>
      </c>
      <c r="AA53" s="364">
        <f>'Summary Sheet_SC_Migrated'!N32</f>
        <v>114577.56447499999</v>
      </c>
      <c r="AB53" s="364">
        <f>'Summary Sheet_SC_Migrated'!O32</f>
        <v>114722.20927907091</v>
      </c>
      <c r="AC53" s="364">
        <f>'Summary Sheet_SC_Migrated'!P32</f>
        <v>144.64480407092196</v>
      </c>
      <c r="AD53" s="364">
        <f>'Summary Sheet_SC_Migrated'!Q32</f>
        <v>0</v>
      </c>
      <c r="AE53" s="364"/>
      <c r="AF53" s="364"/>
      <c r="AG53" s="364"/>
    </row>
    <row r="54" spans="21:33">
      <c r="U54" s="363">
        <v>43252</v>
      </c>
      <c r="V54" s="377"/>
      <c r="W54" s="364">
        <f>'Summary Sheet_SC_Migrated'!J33</f>
        <v>158918.754403</v>
      </c>
      <c r="X54" s="364">
        <f>'Summary Sheet_SC_Migrated'!K33</f>
        <v>158307.52856235244</v>
      </c>
      <c r="Y54" s="364">
        <f>'Summary Sheet_SC_Migrated'!L33</f>
        <v>-611.22584064755938</v>
      </c>
      <c r="Z54" s="364">
        <f>'Summary Sheet_SC_Migrated'!M33</f>
        <v>0</v>
      </c>
      <c r="AA54" s="364">
        <f>'Summary Sheet_SC_Migrated'!N33</f>
        <v>109383.43788</v>
      </c>
      <c r="AB54" s="364">
        <f>'Summary Sheet_SC_Migrated'!O33</f>
        <v>109154.88831337505</v>
      </c>
      <c r="AC54" s="364">
        <f>'Summary Sheet_SC_Migrated'!P33</f>
        <v>-228.54956662494806</v>
      </c>
      <c r="AD54" s="364">
        <f>'Summary Sheet_SC_Migrated'!Q33</f>
        <v>0</v>
      </c>
      <c r="AE54" s="364"/>
      <c r="AF54" s="364"/>
      <c r="AG54" s="364"/>
    </row>
    <row r="55" spans="21:33">
      <c r="U55" s="363">
        <v>43282</v>
      </c>
      <c r="V55" s="377"/>
      <c r="W55" s="364">
        <f>'Summary Sheet_SC_Migrated'!J34</f>
        <v>167929.15865</v>
      </c>
      <c r="X55" s="364">
        <f>'Summary Sheet_SC_Migrated'!K34</f>
        <v>162605.57110219254</v>
      </c>
      <c r="Y55" s="364">
        <f>'Summary Sheet_SC_Migrated'!L34</f>
        <v>-5323.5875478074595</v>
      </c>
      <c r="Z55" s="364">
        <f>'Summary Sheet_SC_Migrated'!M34</f>
        <v>0</v>
      </c>
      <c r="AA55" s="364">
        <f>'Summary Sheet_SC_Migrated'!N34</f>
        <v>123016.44895800001</v>
      </c>
      <c r="AB55" s="364">
        <f>'Summary Sheet_SC_Migrated'!O34</f>
        <v>120876.05571495113</v>
      </c>
      <c r="AC55" s="364">
        <f>'Summary Sheet_SC_Migrated'!P34</f>
        <v>-2140.3932430488785</v>
      </c>
      <c r="AD55" s="364">
        <f>'Summary Sheet_SC_Migrated'!Q34</f>
        <v>0</v>
      </c>
      <c r="AE55" s="364"/>
      <c r="AF55" s="364"/>
      <c r="AG55" s="364"/>
    </row>
    <row r="56" spans="21:33">
      <c r="U56" s="363">
        <v>43313</v>
      </c>
      <c r="V56" s="377"/>
      <c r="W56" s="364">
        <f>'Summary Sheet_SC_Migrated'!J35</f>
        <v>190164.84236800001</v>
      </c>
      <c r="X56" s="364">
        <f>'Summary Sheet_SC_Migrated'!K35</f>
        <v>187364.45976377869</v>
      </c>
      <c r="Y56" s="364">
        <f>'Summary Sheet_SC_Migrated'!L35</f>
        <v>-2800.3826042213186</v>
      </c>
      <c r="Z56" s="364">
        <f>'Summary Sheet_SC_Migrated'!M35</f>
        <v>0</v>
      </c>
      <c r="AA56" s="364">
        <f>'Summary Sheet_SC_Migrated'!N35</f>
        <v>124369.881037</v>
      </c>
      <c r="AB56" s="364">
        <f>'Summary Sheet_SC_Migrated'!O35</f>
        <v>123294.39476540967</v>
      </c>
      <c r="AC56" s="364">
        <f>'Summary Sheet_SC_Migrated'!P35</f>
        <v>-1075.4862715903291</v>
      </c>
      <c r="AD56" s="364">
        <f>'Summary Sheet_SC_Migrated'!Q35</f>
        <v>0</v>
      </c>
      <c r="AE56" s="364"/>
      <c r="AF56" s="364"/>
      <c r="AG56" s="364"/>
    </row>
    <row r="57" spans="21:33">
      <c r="U57" s="363">
        <v>43344</v>
      </c>
      <c r="V57" s="377"/>
      <c r="W57" s="364">
        <f>'Summary Sheet_SC_Migrated'!J36</f>
        <v>171078.55904699999</v>
      </c>
      <c r="X57" s="364">
        <f>'Summary Sheet_SC_Migrated'!K36</f>
        <v>171506.75852996254</v>
      </c>
      <c r="Y57" s="364">
        <f>'Summary Sheet_SC_Migrated'!L36</f>
        <v>428.19948296254734</v>
      </c>
      <c r="Z57" s="364">
        <f>'Summary Sheet_SC_Migrated'!M36</f>
        <v>0</v>
      </c>
      <c r="AA57" s="364">
        <f>'Summary Sheet_SC_Migrated'!N36</f>
        <v>119715.634309</v>
      </c>
      <c r="AB57" s="364">
        <f>'Summary Sheet_SC_Migrated'!O36</f>
        <v>119877.72411728984</v>
      </c>
      <c r="AC57" s="364">
        <f>'Summary Sheet_SC_Migrated'!P36</f>
        <v>162.08980828983476</v>
      </c>
      <c r="AD57" s="364">
        <f>'Summary Sheet_SC_Migrated'!Q36</f>
        <v>0</v>
      </c>
      <c r="AE57" s="364"/>
      <c r="AF57" s="364"/>
      <c r="AG57" s="364"/>
    </row>
    <row r="58" spans="21:33">
      <c r="U58" s="363">
        <v>43374</v>
      </c>
      <c r="V58" s="377"/>
      <c r="W58" s="364">
        <f>'Summary Sheet_SC_Migrated'!J37</f>
        <v>159565.63705199998</v>
      </c>
      <c r="X58" s="364">
        <f>'Summary Sheet_SC_Migrated'!K37</f>
        <v>159780.69545101014</v>
      </c>
      <c r="Y58" s="364">
        <f>'Summary Sheet_SC_Migrated'!L37</f>
        <v>215.05839901015861</v>
      </c>
      <c r="Z58" s="364">
        <f>'Summary Sheet_SC_Migrated'!M37</f>
        <v>0</v>
      </c>
      <c r="AA58" s="364">
        <f>'Summary Sheet_SC_Migrated'!N37</f>
        <v>116170.97304099999</v>
      </c>
      <c r="AB58" s="364">
        <f>'Summary Sheet_SC_Migrated'!O37</f>
        <v>116401.1140877624</v>
      </c>
      <c r="AC58" s="364">
        <f>'Summary Sheet_SC_Migrated'!P37</f>
        <v>230.14104676240822</v>
      </c>
      <c r="AD58" s="364">
        <f>'Summary Sheet_SC_Migrated'!Q37</f>
        <v>0</v>
      </c>
      <c r="AE58" s="364"/>
      <c r="AF58" s="364"/>
      <c r="AG58" s="364"/>
    </row>
    <row r="59" spans="21:33">
      <c r="U59" s="363">
        <v>43405</v>
      </c>
      <c r="V59" s="377"/>
      <c r="W59" s="364">
        <f>'Summary Sheet_SC_Migrated'!J38</f>
        <v>149973.65151900001</v>
      </c>
      <c r="X59" s="364">
        <f>'Summary Sheet_SC_Migrated'!K38</f>
        <v>150603.08498597846</v>
      </c>
      <c r="Y59" s="364">
        <f>'Summary Sheet_SC_Migrated'!L38</f>
        <v>629.43346697845845</v>
      </c>
      <c r="Z59" s="364">
        <f>'Summary Sheet_SC_Migrated'!M38</f>
        <v>0</v>
      </c>
      <c r="AA59" s="364">
        <f>'Summary Sheet_SC_Migrated'!N38</f>
        <v>105107.27142</v>
      </c>
      <c r="AB59" s="364">
        <f>'Summary Sheet_SC_Migrated'!O38</f>
        <v>105748.33570033347</v>
      </c>
      <c r="AC59" s="364">
        <f>'Summary Sheet_SC_Migrated'!P38</f>
        <v>641.0642803334631</v>
      </c>
      <c r="AD59" s="364">
        <f>'Summary Sheet_SC_Migrated'!Q38</f>
        <v>0</v>
      </c>
      <c r="AE59" s="364"/>
      <c r="AF59" s="364"/>
      <c r="AG59" s="364"/>
    </row>
    <row r="60" spans="21:33">
      <c r="U60" s="367">
        <v>43435</v>
      </c>
      <c r="V60" s="378"/>
      <c r="W60" s="368">
        <f>'Summary Sheet_SC_Migrated'!J39</f>
        <v>164290.905692</v>
      </c>
      <c r="X60" s="368">
        <f>'Summary Sheet_SC_Migrated'!K39</f>
        <v>165023.30607721899</v>
      </c>
      <c r="Y60" s="368">
        <f>'Summary Sheet_SC_Migrated'!L39</f>
        <v>732.4003852189926</v>
      </c>
      <c r="Z60" s="364">
        <f>'Summary Sheet_SC_Migrated'!M39</f>
        <v>0</v>
      </c>
      <c r="AA60" s="368">
        <f>'Summary Sheet_SC_Migrated'!N39</f>
        <v>120611.35738</v>
      </c>
      <c r="AB60" s="368">
        <f>'Summary Sheet_SC_Migrated'!O39</f>
        <v>121372.51768935187</v>
      </c>
      <c r="AC60" s="368">
        <f>'Summary Sheet_SC_Migrated'!P39</f>
        <v>761.16030935186427</v>
      </c>
      <c r="AD60" s="364">
        <f>'Summary Sheet_SC_Migrated'!Q39</f>
        <v>0</v>
      </c>
      <c r="AE60" s="368"/>
      <c r="AF60" s="368"/>
      <c r="AG60" s="368"/>
    </row>
    <row r="61" spans="21:33">
      <c r="U61" s="363" t="s">
        <v>19</v>
      </c>
      <c r="V61" s="377"/>
      <c r="W61" s="379">
        <f>SUM(W49:W60)</f>
        <v>1940413.4425290001</v>
      </c>
      <c r="X61" s="379">
        <f t="shared" ref="X61:AC61" si="5">SUM(X49:X60)</f>
        <v>1933744.239281957</v>
      </c>
      <c r="Y61" s="379">
        <f t="shared" si="5"/>
        <v>-6669.2032470430422</v>
      </c>
      <c r="Z61" s="357"/>
      <c r="AA61" s="379">
        <f t="shared" si="5"/>
        <v>1411471.5678369999</v>
      </c>
      <c r="AB61" s="379">
        <f t="shared" si="5"/>
        <v>1410382.8318253146</v>
      </c>
      <c r="AC61" s="379">
        <f t="shared" si="5"/>
        <v>-1088.7360116854543</v>
      </c>
      <c r="AD61" s="379"/>
      <c r="AE61" s="379"/>
      <c r="AF61" s="379"/>
      <c r="AG61" s="379"/>
    </row>
    <row r="62" spans="21:33"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</row>
    <row r="63" spans="21:33">
      <c r="U63" s="357"/>
      <c r="V63" s="373"/>
      <c r="W63" s="371" t="s">
        <v>188</v>
      </c>
      <c r="X63" s="372"/>
      <c r="Y63" s="372"/>
      <c r="Z63" s="357"/>
      <c r="AA63" s="371" t="s">
        <v>125</v>
      </c>
      <c r="AB63" s="372"/>
      <c r="AC63" s="372"/>
      <c r="AD63" s="373"/>
      <c r="AE63" s="371" t="s">
        <v>25</v>
      </c>
      <c r="AF63" s="372"/>
      <c r="AG63" s="372"/>
    </row>
    <row r="64" spans="21:33">
      <c r="U64" s="357"/>
      <c r="V64" s="373"/>
      <c r="W64" s="231" t="s">
        <v>205</v>
      </c>
      <c r="X64" s="375"/>
      <c r="Y64" s="375"/>
      <c r="Z64" s="357"/>
      <c r="AA64" s="374" t="s">
        <v>126</v>
      </c>
      <c r="AB64" s="375"/>
      <c r="AC64" s="375"/>
      <c r="AD64" s="373"/>
      <c r="AE64" s="374" t="s">
        <v>129</v>
      </c>
      <c r="AF64" s="375"/>
      <c r="AG64" s="375"/>
    </row>
    <row r="65" spans="21:33">
      <c r="U65" s="360" t="s">
        <v>55</v>
      </c>
      <c r="V65" s="376"/>
      <c r="W65" s="360" t="s">
        <v>110</v>
      </c>
      <c r="X65" s="360" t="s">
        <v>117</v>
      </c>
      <c r="Y65" s="360" t="s">
        <v>118</v>
      </c>
      <c r="Z65" s="357"/>
      <c r="AA65" s="360" t="s">
        <v>110</v>
      </c>
      <c r="AB65" s="360" t="s">
        <v>117</v>
      </c>
      <c r="AC65" s="360" t="s">
        <v>118</v>
      </c>
      <c r="AD65" s="376"/>
      <c r="AE65" s="360" t="s">
        <v>110</v>
      </c>
      <c r="AF65" s="360" t="s">
        <v>117</v>
      </c>
      <c r="AG65" s="360" t="s">
        <v>118</v>
      </c>
    </row>
    <row r="66" spans="21:33">
      <c r="U66" s="363">
        <v>43101</v>
      </c>
      <c r="V66" s="379"/>
      <c r="W66" s="364">
        <f>'Summary Sheet_SC_Migrated'!J45</f>
        <v>32012.128000000001</v>
      </c>
      <c r="X66" s="364">
        <f>'Summary Sheet_SC_Migrated'!K45</f>
        <v>32265.142927465688</v>
      </c>
      <c r="Y66" s="364">
        <f>'Summary Sheet_SC_Migrated'!L45</f>
        <v>253.01492746568692</v>
      </c>
      <c r="Z66" s="364">
        <f>'Summary Sheet_SC_Migrated'!M45</f>
        <v>0</v>
      </c>
      <c r="AA66" s="364">
        <f>'Summary Sheet_SC_Migrated'!N45</f>
        <v>14705.562185000001</v>
      </c>
      <c r="AB66" s="364">
        <f>'Summary Sheet_SC_Migrated'!O45</f>
        <v>16135.887624979556</v>
      </c>
      <c r="AC66" s="364">
        <f>'Summary Sheet_SC_Migrated'!P45</f>
        <v>1430.3254399795551</v>
      </c>
      <c r="AD66" s="364">
        <f>'Summary Sheet_SC_Migrated'!Q45</f>
        <v>0</v>
      </c>
      <c r="AE66" s="364">
        <f>'Summary Sheet_SC_Migrated'!R45</f>
        <v>997.46</v>
      </c>
      <c r="AF66" s="364">
        <f>'Summary Sheet_SC_Migrated'!S45</f>
        <v>1032.7449574701111</v>
      </c>
      <c r="AG66" s="364">
        <f>'Summary Sheet_SC_Migrated'!T45</f>
        <v>35.284957470111067</v>
      </c>
    </row>
    <row r="67" spans="21:33">
      <c r="U67" s="363">
        <v>43132</v>
      </c>
      <c r="V67" s="379"/>
      <c r="W67" s="364">
        <f>'Summary Sheet_SC_Migrated'!J46</f>
        <v>28239.23</v>
      </c>
      <c r="X67" s="364">
        <f>'Summary Sheet_SC_Migrated'!K46</f>
        <v>28104.739462931564</v>
      </c>
      <c r="Y67" s="364">
        <f>'Summary Sheet_SC_Migrated'!L46</f>
        <v>-134.49053706843551</v>
      </c>
      <c r="Z67" s="364">
        <f>'Summary Sheet_SC_Migrated'!M46</f>
        <v>0</v>
      </c>
      <c r="AA67" s="364">
        <f>'Summary Sheet_SC_Migrated'!N46</f>
        <v>13348.269554999999</v>
      </c>
      <c r="AB67" s="364">
        <f>'Summary Sheet_SC_Migrated'!O46</f>
        <v>12488.203885918338</v>
      </c>
      <c r="AC67" s="364">
        <f>'Summary Sheet_SC_Migrated'!P46</f>
        <v>-860.06566908166133</v>
      </c>
      <c r="AD67" s="364">
        <f>'Summary Sheet_SC_Migrated'!Q46</f>
        <v>0</v>
      </c>
      <c r="AE67" s="364">
        <f>'Summary Sheet_SC_Migrated'!R46</f>
        <v>897.14</v>
      </c>
      <c r="AF67" s="364">
        <f>'Summary Sheet_SC_Migrated'!S46</f>
        <v>876.08520340055566</v>
      </c>
      <c r="AG67" s="364">
        <f>'Summary Sheet_SC_Migrated'!T46</f>
        <v>-21.05479659944433</v>
      </c>
    </row>
    <row r="68" spans="21:33">
      <c r="U68" s="363">
        <v>43160</v>
      </c>
      <c r="V68" s="379"/>
      <c r="W68" s="364">
        <f>'Summary Sheet_SC_Migrated'!J47</f>
        <v>32729.637999999999</v>
      </c>
      <c r="X68" s="364">
        <f>'Summary Sheet_SC_Migrated'!K47</f>
        <v>32716.701484274214</v>
      </c>
      <c r="Y68" s="364">
        <f>'Summary Sheet_SC_Migrated'!L47</f>
        <v>-12.936515725785284</v>
      </c>
      <c r="Z68" s="364">
        <f>'Summary Sheet_SC_Migrated'!M47</f>
        <v>0</v>
      </c>
      <c r="AA68" s="364">
        <f>'Summary Sheet_SC_Migrated'!N47</f>
        <v>14774.1</v>
      </c>
      <c r="AB68" s="364">
        <f>'Summary Sheet_SC_Migrated'!O47</f>
        <v>14883.732220817168</v>
      </c>
      <c r="AC68" s="364">
        <f>'Summary Sheet_SC_Migrated'!P47</f>
        <v>109.63222081716776</v>
      </c>
      <c r="AD68" s="364">
        <f>'Summary Sheet_SC_Migrated'!Q47</f>
        <v>0</v>
      </c>
      <c r="AE68" s="364">
        <f>'Summary Sheet_SC_Migrated'!R47</f>
        <v>943.66</v>
      </c>
      <c r="AF68" s="364">
        <f>'Summary Sheet_SC_Migrated'!S47</f>
        <v>945.45442094594455</v>
      </c>
      <c r="AG68" s="364">
        <f>'Summary Sheet_SC_Migrated'!T47</f>
        <v>1.7944209459445801</v>
      </c>
    </row>
    <row r="69" spans="21:33">
      <c r="U69" s="363">
        <v>43191</v>
      </c>
      <c r="V69" s="379"/>
      <c r="W69" s="364">
        <f>'Summary Sheet_SC_Migrated'!J48</f>
        <v>29653.347000000002</v>
      </c>
      <c r="X69" s="364">
        <f>'Summary Sheet_SC_Migrated'!K48</f>
        <v>29697.056929431554</v>
      </c>
      <c r="Y69" s="364">
        <f>'Summary Sheet_SC_Migrated'!L48</f>
        <v>43.709929431552155</v>
      </c>
      <c r="Z69" s="364">
        <f>'Summary Sheet_SC_Migrated'!M48</f>
        <v>0</v>
      </c>
      <c r="AA69" s="364">
        <f>'Summary Sheet_SC_Migrated'!N48</f>
        <v>12167.918880000001</v>
      </c>
      <c r="AB69" s="364">
        <f>'Summary Sheet_SC_Migrated'!O48</f>
        <v>12390.292650166386</v>
      </c>
      <c r="AC69" s="364">
        <f>'Summary Sheet_SC_Migrated'!P48</f>
        <v>222.37377016638493</v>
      </c>
      <c r="AD69" s="364">
        <f>'Summary Sheet_SC_Migrated'!Q48</f>
        <v>0</v>
      </c>
      <c r="AE69" s="364">
        <f>'Summary Sheet_SC_Migrated'!R48</f>
        <v>776.62</v>
      </c>
      <c r="AF69" s="364">
        <f>'Summary Sheet_SC_Migrated'!S48</f>
        <v>785.21287370111099</v>
      </c>
      <c r="AG69" s="364">
        <f>'Summary Sheet_SC_Migrated'!T48</f>
        <v>8.5928737011109888</v>
      </c>
    </row>
    <row r="70" spans="21:33">
      <c r="U70" s="363">
        <v>43221</v>
      </c>
      <c r="V70" s="379"/>
      <c r="W70" s="364">
        <f>'Summary Sheet_SC_Migrated'!J49</f>
        <v>28626.892</v>
      </c>
      <c r="X70" s="364">
        <f>'Summary Sheet_SC_Migrated'!K49</f>
        <v>28628.284304680983</v>
      </c>
      <c r="Y70" s="364">
        <f>'Summary Sheet_SC_Migrated'!L49</f>
        <v>1.3923046809832158</v>
      </c>
      <c r="Z70" s="364">
        <f>'Summary Sheet_SC_Migrated'!M49</f>
        <v>0</v>
      </c>
      <c r="AA70" s="364">
        <f>'Summary Sheet_SC_Migrated'!N49</f>
        <v>9528.3856850000011</v>
      </c>
      <c r="AB70" s="364">
        <f>'Summary Sheet_SC_Migrated'!O49</f>
        <v>10114.283391297085</v>
      </c>
      <c r="AC70" s="364">
        <f>'Summary Sheet_SC_Migrated'!P49</f>
        <v>585.89770629708437</v>
      </c>
      <c r="AD70" s="364">
        <f>'Summary Sheet_SC_Migrated'!Q49</f>
        <v>0</v>
      </c>
      <c r="AE70" s="364">
        <f>'Summary Sheet_SC_Migrated'!R49</f>
        <v>591.08000000000004</v>
      </c>
      <c r="AF70" s="364">
        <f>'Summary Sheet_SC_Migrated'!S49</f>
        <v>621.26287176566677</v>
      </c>
      <c r="AG70" s="364">
        <f>'Summary Sheet_SC_Migrated'!T49</f>
        <v>30.182871765666732</v>
      </c>
    </row>
    <row r="71" spans="21:33">
      <c r="U71" s="363">
        <v>43252</v>
      </c>
      <c r="V71" s="379"/>
      <c r="W71" s="364">
        <f>'Summary Sheet_SC_Migrated'!J50</f>
        <v>27309.827000000001</v>
      </c>
      <c r="X71" s="364">
        <f>'Summary Sheet_SC_Migrated'!K50</f>
        <v>27190.187886630079</v>
      </c>
      <c r="Y71" s="364">
        <f>'Summary Sheet_SC_Migrated'!L50</f>
        <v>-119.63911336992169</v>
      </c>
      <c r="Z71" s="364">
        <f>'Summary Sheet_SC_Migrated'!M50</f>
        <v>0</v>
      </c>
      <c r="AA71" s="364">
        <f>'Summary Sheet_SC_Migrated'!N50</f>
        <v>8207.9652699999988</v>
      </c>
      <c r="AB71" s="364">
        <f>'Summary Sheet_SC_Migrated'!O50</f>
        <v>8171.7635611658325</v>
      </c>
      <c r="AC71" s="364">
        <f>'Summary Sheet_SC_Migrated'!P50</f>
        <v>-36.201708834166311</v>
      </c>
      <c r="AD71" s="364">
        <f>'Summary Sheet_SC_Migrated'!Q50</f>
        <v>0</v>
      </c>
      <c r="AE71" s="364">
        <f>'Summary Sheet_SC_Migrated'!R50</f>
        <v>387.72</v>
      </c>
      <c r="AF71" s="364">
        <f>'Summary Sheet_SC_Migrated'!S50</f>
        <v>386.98584671727775</v>
      </c>
      <c r="AG71" s="364">
        <f>'Summary Sheet_SC_Migrated'!T50</f>
        <v>-0.73415328272227498</v>
      </c>
    </row>
    <row r="72" spans="21:33">
      <c r="U72" s="363">
        <v>43282</v>
      </c>
      <c r="V72" s="379"/>
      <c r="W72" s="364">
        <f>'Summary Sheet_SC_Migrated'!J51</f>
        <v>29390.128000000001</v>
      </c>
      <c r="X72" s="364">
        <f>'Summary Sheet_SC_Migrated'!K51</f>
        <v>28550.127058388924</v>
      </c>
      <c r="Y72" s="364">
        <f>'Summary Sheet_SC_Migrated'!L51</f>
        <v>-840.000941611077</v>
      </c>
      <c r="Z72" s="364">
        <f>'Summary Sheet_SC_Migrated'!M51</f>
        <v>0</v>
      </c>
      <c r="AA72" s="364">
        <f>'Summary Sheet_SC_Migrated'!N51</f>
        <v>6333.3257949999997</v>
      </c>
      <c r="AB72" s="364">
        <f>'Summary Sheet_SC_Migrated'!O51</f>
        <v>6020.139461885834</v>
      </c>
      <c r="AC72" s="364">
        <f>'Summary Sheet_SC_Migrated'!P51</f>
        <v>-313.18633311416579</v>
      </c>
      <c r="AD72" s="364">
        <f>'Summary Sheet_SC_Migrated'!Q51</f>
        <v>0</v>
      </c>
      <c r="AE72" s="364">
        <f>'Summary Sheet_SC_Migrated'!R51</f>
        <v>316.26</v>
      </c>
      <c r="AF72" s="364">
        <f>'Summary Sheet_SC_Migrated'!S51</f>
        <v>309.90873145594446</v>
      </c>
      <c r="AG72" s="364">
        <f>'Summary Sheet_SC_Migrated'!T51</f>
        <v>-6.3512685440555288</v>
      </c>
    </row>
    <row r="73" spans="21:33">
      <c r="U73" s="363">
        <v>43313</v>
      </c>
      <c r="V73" s="379"/>
      <c r="W73" s="364">
        <f>'Summary Sheet_SC_Migrated'!J52</f>
        <v>31555.887999999999</v>
      </c>
      <c r="X73" s="364">
        <f>'Summary Sheet_SC_Migrated'!K52</f>
        <v>31061.730158659415</v>
      </c>
      <c r="Y73" s="364">
        <f>'Summary Sheet_SC_Migrated'!L52</f>
        <v>-494.15784134058413</v>
      </c>
      <c r="Z73" s="364">
        <f>'Summary Sheet_SC_Migrated'!M52</f>
        <v>0</v>
      </c>
      <c r="AA73" s="364">
        <f>'Summary Sheet_SC_Migrated'!N52</f>
        <v>5565.0993349999999</v>
      </c>
      <c r="AB73" s="364">
        <f>'Summary Sheet_SC_Migrated'!O52</f>
        <v>5401.6825063993338</v>
      </c>
      <c r="AC73" s="364">
        <f>'Summary Sheet_SC_Migrated'!P52</f>
        <v>-163.41682860066612</v>
      </c>
      <c r="AD73" s="364">
        <f>'Summary Sheet_SC_Migrated'!Q52</f>
        <v>0</v>
      </c>
      <c r="AE73" s="364">
        <f>'Summary Sheet_SC_Migrated'!R52</f>
        <v>285.14</v>
      </c>
      <c r="AF73" s="364">
        <f>'Summary Sheet_SC_Migrated'!S52</f>
        <v>281.80446555922219</v>
      </c>
      <c r="AG73" s="364">
        <f>'Summary Sheet_SC_Migrated'!T52</f>
        <v>-3.335534440777792</v>
      </c>
    </row>
    <row r="74" spans="21:33">
      <c r="U74" s="363">
        <v>43344</v>
      </c>
      <c r="V74" s="379"/>
      <c r="W74" s="364">
        <f>'Summary Sheet_SC_Migrated'!J53</f>
        <v>30000.577000000001</v>
      </c>
      <c r="X74" s="364">
        <f>'Summary Sheet_SC_Migrated'!K53</f>
        <v>30077.867822852579</v>
      </c>
      <c r="Y74" s="364">
        <f>'Summary Sheet_SC_Migrated'!L53</f>
        <v>77.290822852577548</v>
      </c>
      <c r="Z74" s="364">
        <f>'Summary Sheet_SC_Migrated'!M53</f>
        <v>0</v>
      </c>
      <c r="AA74" s="364">
        <f>'Summary Sheet_SC_Migrated'!N53</f>
        <v>5746.4796399999996</v>
      </c>
      <c r="AB74" s="364">
        <f>'Summary Sheet_SC_Migrated'!O53</f>
        <v>5771.4554030173331</v>
      </c>
      <c r="AC74" s="364">
        <f>'Summary Sheet_SC_Migrated'!P53</f>
        <v>24.97576301733352</v>
      </c>
      <c r="AD74" s="364">
        <f>'Summary Sheet_SC_Migrated'!Q53</f>
        <v>0</v>
      </c>
      <c r="AE74" s="364">
        <f>'Summary Sheet_SC_Migrated'!R53</f>
        <v>298.26</v>
      </c>
      <c r="AF74" s="364">
        <f>'Summary Sheet_SC_Migrated'!S53</f>
        <v>298.76978542688892</v>
      </c>
      <c r="AG74" s="364">
        <f>'Summary Sheet_SC_Migrated'!T53</f>
        <v>0.50978542688892503</v>
      </c>
    </row>
    <row r="75" spans="21:33">
      <c r="U75" s="363">
        <v>43374</v>
      </c>
      <c r="V75" s="379"/>
      <c r="W75" s="364">
        <f>'Summary Sheet_SC_Migrated'!J54</f>
        <v>17504.791000000001</v>
      </c>
      <c r="X75" s="364">
        <f>'Summary Sheet_SC_Migrated'!K54</f>
        <v>17561.251389233144</v>
      </c>
      <c r="Y75" s="364">
        <f>'Summary Sheet_SC_Migrated'!L54</f>
        <v>56.46038923314336</v>
      </c>
      <c r="Z75" s="364">
        <f>'Summary Sheet_SC_Migrated'!M54</f>
        <v>0</v>
      </c>
      <c r="AA75" s="364">
        <f>'Summary Sheet_SC_Migrated'!N54</f>
        <v>7995.505725</v>
      </c>
      <c r="AB75" s="364">
        <f>'Summary Sheet_SC_Migrated'!O54</f>
        <v>8125.2624549187503</v>
      </c>
      <c r="AC75" s="364">
        <f>'Summary Sheet_SC_Migrated'!P54</f>
        <v>129.75672991875035</v>
      </c>
      <c r="AD75" s="364">
        <f>'Summary Sheet_SC_Migrated'!Q54</f>
        <v>0</v>
      </c>
      <c r="AE75" s="364">
        <f>'Summary Sheet_SC_Migrated'!R54</f>
        <v>353.44</v>
      </c>
      <c r="AF75" s="364">
        <f>'Summary Sheet_SC_Migrated'!S54</f>
        <v>358.75634137555562</v>
      </c>
      <c r="AG75" s="364">
        <f>'Summary Sheet_SC_Migrated'!T54</f>
        <v>5.3163413755556235</v>
      </c>
    </row>
    <row r="76" spans="21:33">
      <c r="U76" s="363">
        <v>43405</v>
      </c>
      <c r="V76" s="379"/>
      <c r="W76" s="364">
        <f>'Summary Sheet_SC_Migrated'!J55</f>
        <v>35966.337</v>
      </c>
      <c r="X76" s="364">
        <f>'Summary Sheet_SC_Migrated'!K55</f>
        <v>36213.003418887114</v>
      </c>
      <c r="Y76" s="364">
        <f>'Summary Sheet_SC_Migrated'!L55</f>
        <v>246.66641888711456</v>
      </c>
      <c r="Z76" s="364">
        <f>'Summary Sheet_SC_Migrated'!M55</f>
        <v>0</v>
      </c>
      <c r="AA76" s="364">
        <f>'Summary Sheet_SC_Migrated'!N55</f>
        <v>9194.1588350000002</v>
      </c>
      <c r="AB76" s="364">
        <f>'Summary Sheet_SC_Migrated'!O55</f>
        <v>10099.571836292311</v>
      </c>
      <c r="AC76" s="364">
        <f>'Summary Sheet_SC_Migrated'!P55</f>
        <v>905.41300129231058</v>
      </c>
      <c r="AD76" s="364">
        <f>'Summary Sheet_SC_Migrated'!Q55</f>
        <v>0</v>
      </c>
      <c r="AE76" s="364">
        <f>'Summary Sheet_SC_Migrated'!R55</f>
        <v>515.476</v>
      </c>
      <c r="AF76" s="364">
        <f>'Summary Sheet_SC_Migrated'!S55</f>
        <v>543.74843733811099</v>
      </c>
      <c r="AG76" s="364">
        <f>'Summary Sheet_SC_Migrated'!T55</f>
        <v>28.27243733811099</v>
      </c>
    </row>
    <row r="77" spans="21:33">
      <c r="U77" s="367">
        <v>43435</v>
      </c>
      <c r="V77" s="379"/>
      <c r="W77" s="368">
        <f>'Summary Sheet_SC_Migrated'!J56</f>
        <v>28404.613000000001</v>
      </c>
      <c r="X77" s="368">
        <f>'Summary Sheet_SC_Migrated'!K56</f>
        <v>28641.915342897297</v>
      </c>
      <c r="Y77" s="368">
        <f>'Summary Sheet_SC_Migrated'!L56</f>
        <v>237.3023428972956</v>
      </c>
      <c r="Z77" s="364">
        <f>'Summary Sheet_SC_Migrated'!M56</f>
        <v>0</v>
      </c>
      <c r="AA77" s="368">
        <f>'Summary Sheet_SC_Migrated'!N56</f>
        <v>12572.569045</v>
      </c>
      <c r="AB77" s="368">
        <f>'Summary Sheet_SC_Migrated'!O56</f>
        <v>13941.74482969275</v>
      </c>
      <c r="AC77" s="368">
        <f>'Summary Sheet_SC_Migrated'!P56</f>
        <v>1369.1757846927503</v>
      </c>
      <c r="AD77" s="364">
        <f>'Summary Sheet_SC_Migrated'!Q56</f>
        <v>0</v>
      </c>
      <c r="AE77" s="368">
        <f>'Summary Sheet_SC_Migrated'!R56</f>
        <v>768.62400000000002</v>
      </c>
      <c r="AF77" s="368">
        <f>'Summary Sheet_SC_Migrated'!S56</f>
        <v>803.57154918188905</v>
      </c>
      <c r="AG77" s="368">
        <f>'Summary Sheet_SC_Migrated'!T56</f>
        <v>34.94754918188903</v>
      </c>
    </row>
    <row r="78" spans="21:33">
      <c r="U78" s="363" t="s">
        <v>19</v>
      </c>
      <c r="V78" s="379"/>
      <c r="W78" s="379">
        <f>SUM(W66:W77)</f>
        <v>351393.39600000001</v>
      </c>
      <c r="X78" s="379">
        <f t="shared" ref="X78:AG78" si="6">SUM(X66:X77)</f>
        <v>350708.00818633253</v>
      </c>
      <c r="Y78" s="379">
        <f t="shared" si="6"/>
        <v>-685.38781366745025</v>
      </c>
      <c r="Z78" s="357"/>
      <c r="AA78" s="379">
        <f t="shared" si="6"/>
        <v>120139.33994999999</v>
      </c>
      <c r="AB78" s="379">
        <f t="shared" si="6"/>
        <v>123544.01982655066</v>
      </c>
      <c r="AC78" s="379">
        <f t="shared" si="6"/>
        <v>3404.6798765506774</v>
      </c>
      <c r="AD78" s="379"/>
      <c r="AE78" s="379">
        <f t="shared" si="6"/>
        <v>7130.88</v>
      </c>
      <c r="AF78" s="379">
        <f t="shared" si="6"/>
        <v>7244.3054843382797</v>
      </c>
      <c r="AG78" s="379">
        <f t="shared" si="6"/>
        <v>113.42548433827801</v>
      </c>
    </row>
    <row r="79" spans="21:33"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</row>
    <row r="80" spans="21:33">
      <c r="U80" s="357"/>
      <c r="V80" s="357"/>
      <c r="W80" s="371" t="s">
        <v>19</v>
      </c>
      <c r="X80" s="372"/>
      <c r="Y80" s="372"/>
      <c r="Z80" s="357"/>
      <c r="AA80" s="357"/>
      <c r="AB80" s="357"/>
      <c r="AC80" s="357"/>
      <c r="AD80" s="357"/>
      <c r="AE80" s="357"/>
      <c r="AF80" s="357"/>
      <c r="AG80" s="357"/>
    </row>
    <row r="81" spans="21:33">
      <c r="U81" s="357"/>
      <c r="V81" s="357"/>
      <c r="W81" s="231" t="s">
        <v>206</v>
      </c>
      <c r="X81" s="375"/>
      <c r="Y81" s="375"/>
      <c r="Z81" s="357"/>
      <c r="AA81" s="357"/>
      <c r="AB81" s="357"/>
      <c r="AC81" s="357"/>
      <c r="AD81" s="357"/>
      <c r="AE81" s="357"/>
      <c r="AF81" s="357"/>
      <c r="AG81" s="357"/>
    </row>
    <row r="82" spans="21:33">
      <c r="U82" s="360" t="s">
        <v>55</v>
      </c>
      <c r="V82" s="357"/>
      <c r="W82" s="360" t="s">
        <v>110</v>
      </c>
      <c r="X82" s="360" t="s">
        <v>117</v>
      </c>
      <c r="Y82" s="360" t="s">
        <v>118</v>
      </c>
      <c r="Z82" s="357"/>
      <c r="AA82" s="357"/>
      <c r="AB82" s="357"/>
      <c r="AC82" s="357"/>
      <c r="AD82" s="357"/>
      <c r="AE82" s="357"/>
      <c r="AF82" s="357"/>
      <c r="AG82" s="357"/>
    </row>
    <row r="83" spans="21:33">
      <c r="U83" s="363">
        <v>43101</v>
      </c>
      <c r="V83" s="357"/>
      <c r="W83" s="364">
        <f>W32+AA32+AE32+W49+AA49+W66+AA66+AE66</f>
        <v>2117768.4992320002</v>
      </c>
      <c r="X83" s="364">
        <f t="shared" ref="X83:X94" si="7">X32+AB32+AF32+X49+AB49+X66+AB66+AF66</f>
        <v>2211605.0127320206</v>
      </c>
      <c r="Y83" s="364">
        <f>X83-W83</f>
        <v>93836.513500020374</v>
      </c>
      <c r="Z83" s="357"/>
      <c r="AA83" s="357"/>
      <c r="AB83" s="357"/>
      <c r="AC83" s="357"/>
      <c r="AD83" s="357"/>
      <c r="AE83" s="357"/>
      <c r="AF83" s="357"/>
      <c r="AG83" s="357"/>
    </row>
    <row r="84" spans="21:33">
      <c r="U84" s="363">
        <v>43132</v>
      </c>
      <c r="V84" s="357"/>
      <c r="W84" s="364">
        <f t="shared" ref="W84:W94" si="8">W33+AA33+AE33+W50+AA50+W67+AA67+AE67</f>
        <v>1966820.0154419995</v>
      </c>
      <c r="X84" s="364">
        <f t="shared" si="7"/>
        <v>1910362.6419264956</v>
      </c>
      <c r="Y84" s="364">
        <f t="shared" ref="Y84:Y94" si="9">X84-W84</f>
        <v>-56457.373515503947</v>
      </c>
      <c r="Z84" s="357"/>
      <c r="AA84" s="357"/>
      <c r="AB84" s="357"/>
      <c r="AC84" s="357"/>
      <c r="AD84" s="357"/>
      <c r="AE84" s="357"/>
      <c r="AF84" s="357"/>
      <c r="AG84" s="357"/>
    </row>
    <row r="85" spans="21:33">
      <c r="U85" s="363">
        <v>43160</v>
      </c>
      <c r="V85" s="357"/>
      <c r="W85" s="364">
        <f t="shared" si="8"/>
        <v>1943634.1985739998</v>
      </c>
      <c r="X85" s="364">
        <f t="shared" si="7"/>
        <v>1949460.3565087842</v>
      </c>
      <c r="Y85" s="364">
        <f t="shared" si="9"/>
        <v>5826.1579347844236</v>
      </c>
      <c r="Z85" s="357"/>
      <c r="AA85" s="357"/>
      <c r="AB85" s="357"/>
      <c r="AC85" s="357"/>
      <c r="AD85" s="357"/>
      <c r="AE85" s="357"/>
      <c r="AF85" s="357"/>
      <c r="AG85" s="357"/>
    </row>
    <row r="86" spans="21:33">
      <c r="U86" s="363">
        <v>43191</v>
      </c>
      <c r="V86" s="357"/>
      <c r="W86" s="364">
        <f t="shared" si="8"/>
        <v>1699164.0937230003</v>
      </c>
      <c r="X86" s="364">
        <f t="shared" si="7"/>
        <v>1718136.0180731823</v>
      </c>
      <c r="Y86" s="364">
        <f t="shared" si="9"/>
        <v>18971.92435018206</v>
      </c>
      <c r="Z86" s="357"/>
      <c r="AA86" s="357"/>
      <c r="AB86" s="357"/>
      <c r="AC86" s="357"/>
      <c r="AD86" s="357"/>
      <c r="AE86" s="357"/>
      <c r="AF86" s="357"/>
      <c r="AG86" s="357"/>
    </row>
    <row r="87" spans="21:33">
      <c r="U87" s="363">
        <v>43221</v>
      </c>
      <c r="V87" s="357"/>
      <c r="W87" s="364">
        <f t="shared" si="8"/>
        <v>1490892.2272010001</v>
      </c>
      <c r="X87" s="364">
        <f t="shared" si="7"/>
        <v>1542507.0703846563</v>
      </c>
      <c r="Y87" s="364">
        <f t="shared" si="9"/>
        <v>51614.843183656223</v>
      </c>
      <c r="Z87" s="357"/>
      <c r="AA87" s="357"/>
      <c r="AB87" s="357"/>
      <c r="AC87" s="357"/>
      <c r="AD87" s="357"/>
      <c r="AE87" s="357"/>
      <c r="AF87" s="357"/>
      <c r="AG87" s="357"/>
    </row>
    <row r="88" spans="21:33">
      <c r="U88" s="363">
        <v>43252</v>
      </c>
      <c r="V88" s="357"/>
      <c r="W88" s="364">
        <f t="shared" si="8"/>
        <v>1402796.9860940001</v>
      </c>
      <c r="X88" s="364">
        <f t="shared" si="7"/>
        <v>1393796.2647921757</v>
      </c>
      <c r="Y88" s="364">
        <f t="shared" si="9"/>
        <v>-9000.7213018243201</v>
      </c>
      <c r="Z88" s="357"/>
      <c r="AA88" s="357"/>
      <c r="AB88" s="357"/>
      <c r="AC88" s="357"/>
      <c r="AD88" s="357"/>
      <c r="AE88" s="357"/>
      <c r="AF88" s="357"/>
      <c r="AG88" s="357"/>
    </row>
    <row r="89" spans="21:33">
      <c r="U89" s="363">
        <v>43282</v>
      </c>
      <c r="V89" s="357"/>
      <c r="W89" s="364">
        <f t="shared" si="8"/>
        <v>1444305.0904159998</v>
      </c>
      <c r="X89" s="364">
        <f t="shared" si="7"/>
        <v>1366445.615433343</v>
      </c>
      <c r="Y89" s="364">
        <f t="shared" si="9"/>
        <v>-77859.474982656771</v>
      </c>
      <c r="Z89" s="357"/>
      <c r="AA89" s="357"/>
      <c r="AB89" s="357"/>
      <c r="AC89" s="357"/>
      <c r="AD89" s="357"/>
      <c r="AE89" s="357"/>
      <c r="AF89" s="357"/>
      <c r="AG89" s="357"/>
    </row>
    <row r="90" spans="21:33">
      <c r="U90" s="363">
        <v>43313</v>
      </c>
      <c r="V90" s="357"/>
      <c r="W90" s="364">
        <f t="shared" si="8"/>
        <v>1582213.5467269998</v>
      </c>
      <c r="X90" s="364">
        <f t="shared" si="7"/>
        <v>1541279.5864041082</v>
      </c>
      <c r="Y90" s="364">
        <f t="shared" si="9"/>
        <v>-40933.960322891595</v>
      </c>
      <c r="Z90" s="357"/>
      <c r="AA90" s="357"/>
      <c r="AB90" s="357"/>
      <c r="AC90" s="357"/>
      <c r="AD90" s="357"/>
      <c r="AE90" s="357"/>
      <c r="AF90" s="357"/>
      <c r="AG90" s="357"/>
    </row>
    <row r="91" spans="21:33">
      <c r="U91" s="363">
        <v>43344</v>
      </c>
      <c r="V91" s="357"/>
      <c r="W91" s="364">
        <f t="shared" si="8"/>
        <v>1463713.5275370001</v>
      </c>
      <c r="X91" s="364">
        <f t="shared" si="7"/>
        <v>1469977.7426955875</v>
      </c>
      <c r="Y91" s="364">
        <f t="shared" si="9"/>
        <v>6264.2151585873216</v>
      </c>
      <c r="Z91" s="357"/>
      <c r="AA91" s="357"/>
      <c r="AB91" s="357"/>
      <c r="AC91" s="357"/>
      <c r="AD91" s="357"/>
      <c r="AE91" s="357"/>
      <c r="AF91" s="357"/>
      <c r="AG91" s="357"/>
    </row>
    <row r="92" spans="21:33">
      <c r="U92" s="363">
        <v>43374</v>
      </c>
      <c r="V92" s="357"/>
      <c r="W92" s="364">
        <f t="shared" si="8"/>
        <v>1419110.7897040001</v>
      </c>
      <c r="X92" s="364">
        <f t="shared" si="7"/>
        <v>1431038.0517473032</v>
      </c>
      <c r="Y92" s="364">
        <f t="shared" si="9"/>
        <v>11927.262043303112</v>
      </c>
      <c r="Z92" s="357"/>
      <c r="AA92" s="357"/>
      <c r="AB92" s="357"/>
      <c r="AC92" s="357"/>
      <c r="AD92" s="357"/>
      <c r="AE92" s="357"/>
      <c r="AF92" s="357"/>
      <c r="AG92" s="357"/>
    </row>
    <row r="93" spans="21:33">
      <c r="U93" s="363">
        <v>43405</v>
      </c>
      <c r="V93" s="357"/>
      <c r="W93" s="364">
        <f t="shared" si="8"/>
        <v>1590358.4866519999</v>
      </c>
      <c r="X93" s="364">
        <f t="shared" si="7"/>
        <v>1659759.6181684327</v>
      </c>
      <c r="Y93" s="364">
        <f t="shared" si="9"/>
        <v>69401.131516432855</v>
      </c>
      <c r="Z93" s="357"/>
      <c r="AA93" s="357"/>
      <c r="AB93" s="357"/>
      <c r="AC93" s="357"/>
      <c r="AD93" s="357"/>
      <c r="AE93" s="357"/>
      <c r="AF93" s="357"/>
      <c r="AG93" s="357"/>
    </row>
    <row r="94" spans="21:33">
      <c r="U94" s="367">
        <v>43435</v>
      </c>
      <c r="V94" s="357"/>
      <c r="W94" s="368">
        <f t="shared" si="8"/>
        <v>1912905.138671</v>
      </c>
      <c r="X94" s="368">
        <f t="shared" si="7"/>
        <v>2006770.8585626197</v>
      </c>
      <c r="Y94" s="368">
        <f t="shared" si="9"/>
        <v>93865.719891619636</v>
      </c>
      <c r="Z94" s="357"/>
      <c r="AA94" s="357"/>
      <c r="AB94" s="357"/>
      <c r="AC94" s="357"/>
      <c r="AD94" s="357"/>
      <c r="AE94" s="357"/>
      <c r="AF94" s="357"/>
      <c r="AG94" s="357"/>
    </row>
    <row r="95" spans="21:33">
      <c r="U95" s="363" t="s">
        <v>19</v>
      </c>
      <c r="V95" s="357"/>
      <c r="W95" s="379">
        <f>SUM(W83:W94)</f>
        <v>20033682.599972997</v>
      </c>
      <c r="X95" s="379">
        <f t="shared" ref="X95:Y95" si="10">SUM(X83:X94)</f>
        <v>20201138.837428708</v>
      </c>
      <c r="Y95" s="379">
        <f t="shared" si="10"/>
        <v>167456.23745570937</v>
      </c>
      <c r="Z95" s="357"/>
      <c r="AA95" s="357"/>
      <c r="AB95" s="357"/>
      <c r="AC95" s="357"/>
      <c r="AD95" s="357"/>
      <c r="AE95" s="357"/>
      <c r="AF95" s="357"/>
      <c r="AG95" s="357"/>
    </row>
  </sheetData>
  <mergeCells count="9">
    <mergeCell ref="A22:N22"/>
    <mergeCell ref="A1:N1"/>
    <mergeCell ref="P26:S26"/>
    <mergeCell ref="P27:S27"/>
    <mergeCell ref="U26:AG26"/>
    <mergeCell ref="U27:AG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7"/>
  <sheetViews>
    <sheetView workbookViewId="0">
      <selection activeCell="J62" sqref="J62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6" customWidth="1"/>
    <col min="7" max="7" width="9.5703125" customWidth="1"/>
    <col min="9" max="9" width="1" customWidth="1"/>
    <col min="10" max="11" width="10.7109375" customWidth="1"/>
    <col min="12" max="12" width="9.7109375" customWidth="1"/>
    <col min="13" max="13" width="0.7109375" customWidth="1"/>
    <col min="14" max="15" width="10.7109375" customWidth="1"/>
    <col min="16" max="16" width="10.7109375" bestFit="1" customWidth="1"/>
    <col min="17" max="17" width="0.7109375" customWidth="1"/>
    <col min="18" max="19" width="10.7109375" customWidth="1"/>
  </cols>
  <sheetData>
    <row r="1" spans="1:20">
      <c r="B1" s="24"/>
      <c r="C1" s="24"/>
      <c r="D1" s="24"/>
      <c r="E1" s="24"/>
    </row>
    <row r="2" spans="1:20">
      <c r="A2" s="25" t="s">
        <v>136</v>
      </c>
      <c r="B2" s="25"/>
      <c r="C2" s="25"/>
      <c r="D2" s="25"/>
      <c r="E2" s="25"/>
    </row>
    <row r="3" spans="1:20">
      <c r="A3" s="25" t="s">
        <v>208</v>
      </c>
      <c r="B3" s="25"/>
      <c r="C3" s="25"/>
      <c r="D3" s="25"/>
      <c r="E3" s="25"/>
    </row>
    <row r="4" spans="1:20">
      <c r="A4" s="26" t="s">
        <v>165</v>
      </c>
      <c r="B4" s="26"/>
      <c r="C4" s="26"/>
      <c r="D4" s="26"/>
      <c r="E4" s="26"/>
    </row>
    <row r="5" spans="1:20" ht="15.75" customHeight="1">
      <c r="A5" s="25"/>
      <c r="B5" s="25"/>
      <c r="C5" s="25"/>
      <c r="D5" s="25"/>
      <c r="E5" s="25"/>
      <c r="H5" s="499" t="s">
        <v>210</v>
      </c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</row>
    <row r="6" spans="1:20" ht="15.75">
      <c r="A6" s="27"/>
      <c r="B6" s="24"/>
      <c r="C6" s="24"/>
      <c r="D6" s="24"/>
      <c r="E6" s="24"/>
      <c r="H6" s="499" t="s">
        <v>204</v>
      </c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</row>
    <row r="7" spans="1:20">
      <c r="A7" s="28" t="s">
        <v>12</v>
      </c>
      <c r="B7" s="29"/>
      <c r="C7" s="29"/>
      <c r="D7" s="29"/>
      <c r="E7" s="24"/>
      <c r="F7" s="30"/>
    </row>
    <row r="8" spans="1:20">
      <c r="A8" s="31" t="s">
        <v>13</v>
      </c>
      <c r="B8" s="32" t="s">
        <v>14</v>
      </c>
      <c r="C8" s="32"/>
      <c r="D8" s="32"/>
      <c r="E8" s="33"/>
      <c r="F8" s="30"/>
      <c r="J8" s="228" t="s">
        <v>119</v>
      </c>
      <c r="K8" s="229"/>
      <c r="L8" s="229"/>
      <c r="M8" s="230"/>
      <c r="N8" s="228" t="s">
        <v>127</v>
      </c>
      <c r="O8" s="229"/>
      <c r="P8" s="229"/>
      <c r="Q8" s="230"/>
      <c r="R8" s="228" t="s">
        <v>131</v>
      </c>
      <c r="S8" s="229"/>
      <c r="T8" s="229"/>
    </row>
    <row r="9" spans="1:20">
      <c r="A9" s="27"/>
      <c r="B9" s="34"/>
      <c r="C9" s="35"/>
      <c r="D9" s="36"/>
      <c r="E9" s="34"/>
      <c r="F9" s="30"/>
      <c r="J9" s="231" t="s">
        <v>120</v>
      </c>
      <c r="K9" s="232"/>
      <c r="L9" s="232"/>
      <c r="M9" s="230"/>
      <c r="N9" s="231" t="s">
        <v>121</v>
      </c>
      <c r="O9" s="232"/>
      <c r="P9" s="232"/>
      <c r="Q9" s="230"/>
      <c r="R9" s="231" t="s">
        <v>122</v>
      </c>
      <c r="S9" s="232"/>
      <c r="T9" s="232"/>
    </row>
    <row r="10" spans="1:20">
      <c r="A10" s="37">
        <v>1</v>
      </c>
      <c r="B10" s="38"/>
      <c r="C10" s="39" t="s">
        <v>15</v>
      </c>
      <c r="D10" s="40" t="s">
        <v>16</v>
      </c>
      <c r="E10" s="41" t="s">
        <v>137</v>
      </c>
      <c r="F10" s="40"/>
      <c r="H10" s="223" t="s">
        <v>55</v>
      </c>
      <c r="I10" s="223"/>
      <c r="J10" s="223" t="s">
        <v>110</v>
      </c>
      <c r="K10" s="223" t="s">
        <v>117</v>
      </c>
      <c r="L10" s="223" t="s">
        <v>118</v>
      </c>
      <c r="M10" s="24"/>
      <c r="N10" s="223" t="s">
        <v>110</v>
      </c>
      <c r="O10" s="223" t="s">
        <v>117</v>
      </c>
      <c r="P10" s="223" t="s">
        <v>118</v>
      </c>
      <c r="Q10" s="24"/>
      <c r="R10" s="223" t="s">
        <v>110</v>
      </c>
      <c r="S10" s="223" t="s">
        <v>117</v>
      </c>
      <c r="T10" s="223" t="s">
        <v>118</v>
      </c>
    </row>
    <row r="11" spans="1:20">
      <c r="A11" s="37">
        <f t="shared" ref="A11:A35" si="0">A10+1</f>
        <v>2</v>
      </c>
      <c r="B11" s="38"/>
      <c r="C11" s="160" t="s">
        <v>137</v>
      </c>
      <c r="D11" s="43" t="s">
        <v>137</v>
      </c>
      <c r="E11" s="44" t="s">
        <v>17</v>
      </c>
      <c r="F11" s="406"/>
      <c r="G11" s="120"/>
      <c r="H11" s="224">
        <f t="shared" ref="H11:H22" si="1">B12</f>
        <v>43101</v>
      </c>
      <c r="I11" s="58"/>
      <c r="J11" s="278">
        <f t="array" ref="J11:J22">TRANSPOSE('Actual Total Usage'!B9:M9)/1000</f>
        <v>1245600.4971179999</v>
      </c>
      <c r="K11" s="278">
        <f t="array" ref="K11:K22">TRANSPOSE('Normalized Total Usage'!B9:M9)/1000</f>
        <v>1320394.2791770399</v>
      </c>
      <c r="L11" s="278">
        <f>K11-J11</f>
        <v>74793.782059039921</v>
      </c>
      <c r="M11" s="278"/>
      <c r="N11" s="278">
        <f>'Summary Sheet_ Pre Migration'!O11+'Sch 40 Migration Weather Adj.'!C43</f>
        <v>270133.33044799994</v>
      </c>
      <c r="O11" s="278">
        <f>'Summary Sheet_ Pre Migration'!P11+'Sch 40 Migration Weather Adj.'!D43</f>
        <v>279781.97774060897</v>
      </c>
      <c r="P11" s="278">
        <f>O11-N11</f>
        <v>9648.6472926090355</v>
      </c>
      <c r="Q11" s="278"/>
      <c r="R11" s="278">
        <f>'Summary Sheet_ Pre Migration'!S11+'Sch 40 Migration Weather Adj.'!G43</f>
        <v>268814.533635</v>
      </c>
      <c r="S11" s="278">
        <f>'Summary Sheet_ Pre Migration'!T11+'Sch 40 Migration Weather Adj.'!H43</f>
        <v>275020.41123306943</v>
      </c>
      <c r="T11" s="278">
        <f>S11-R11</f>
        <v>6205.8775980694336</v>
      </c>
    </row>
    <row r="12" spans="1:20">
      <c r="A12" s="37">
        <f t="shared" si="0"/>
        <v>3</v>
      </c>
      <c r="B12" s="45">
        <v>43101</v>
      </c>
      <c r="C12" s="291">
        <f>J62*1000</f>
        <v>2117768499.2320001</v>
      </c>
      <c r="D12" s="292">
        <f>K62*1000</f>
        <v>2211605012.7320204</v>
      </c>
      <c r="E12" s="277">
        <f t="shared" ref="E12:E23" si="2">+D12-C12</f>
        <v>93836513.500020266</v>
      </c>
      <c r="F12" s="30"/>
      <c r="G12" s="138"/>
      <c r="H12" s="224">
        <f t="shared" si="1"/>
        <v>43132</v>
      </c>
      <c r="I12" s="58"/>
      <c r="J12" s="278">
        <v>1123202.8302799999</v>
      </c>
      <c r="K12" s="278">
        <v>1078333.7287120998</v>
      </c>
      <c r="L12" s="278">
        <f t="shared" ref="L12:L22" si="3">K12-J12</f>
        <v>-44869.101567900041</v>
      </c>
      <c r="M12" s="278"/>
      <c r="N12" s="278">
        <f>'Summary Sheet_ Pre Migration'!O12+'Sch 40 Migration Weather Adj.'!C44</f>
        <v>250689.17238099998</v>
      </c>
      <c r="O12" s="278">
        <f>'Summary Sheet_ Pre Migration'!P12+'Sch 40 Migration Weather Adj.'!D44</f>
        <v>244834.49947686828</v>
      </c>
      <c r="P12" s="278">
        <f t="shared" ref="P12:P22" si="4">O12-N12</f>
        <v>-5854.6729041317012</v>
      </c>
      <c r="Q12" s="278"/>
      <c r="R12" s="278">
        <f>'Summary Sheet_ Pre Migration'!S12+'Sch 40 Migration Weather Adj.'!G44</f>
        <v>261333.806633</v>
      </c>
      <c r="S12" s="278">
        <f>'Summary Sheet_ Pre Migration'!T12+'Sch 40 Migration Weather Adj.'!H44</f>
        <v>257490.77044194311</v>
      </c>
      <c r="T12" s="278">
        <f t="shared" ref="T12:T22" si="5">S12-R12</f>
        <v>-3843.0361910568899</v>
      </c>
    </row>
    <row r="13" spans="1:20">
      <c r="A13" s="37">
        <f t="shared" si="0"/>
        <v>4</v>
      </c>
      <c r="B13" s="45">
        <v>43132</v>
      </c>
      <c r="C13" s="291">
        <f t="shared" ref="C13:C23" si="6">J63*1000</f>
        <v>1966820015.4419994</v>
      </c>
      <c r="D13" s="292">
        <f t="shared" ref="D13:D23" si="7">K63*1000</f>
        <v>1910362641.9264956</v>
      </c>
      <c r="E13" s="277">
        <f t="shared" si="2"/>
        <v>-56457373.515503883</v>
      </c>
      <c r="F13" s="30"/>
      <c r="G13" s="138"/>
      <c r="H13" s="224">
        <f t="shared" si="1"/>
        <v>43160</v>
      </c>
      <c r="I13" s="58"/>
      <c r="J13" s="278">
        <v>1119823.6269689999</v>
      </c>
      <c r="K13" s="278">
        <v>1124218.3040027621</v>
      </c>
      <c r="L13" s="278">
        <f t="shared" si="3"/>
        <v>4394.6770337622147</v>
      </c>
      <c r="M13" s="278"/>
      <c r="N13" s="278">
        <f>'Summary Sheet_ Pre Migration'!O13+'Sch 40 Migration Weather Adj.'!C45</f>
        <v>249868.97207899997</v>
      </c>
      <c r="O13" s="278">
        <f>'Summary Sheet_ Pre Migration'!P13+'Sch 40 Migration Weather Adj.'!D45</f>
        <v>250632.99138437043</v>
      </c>
      <c r="P13" s="278">
        <f t="shared" si="4"/>
        <v>764.019305370457</v>
      </c>
      <c r="Q13" s="278"/>
      <c r="R13" s="278">
        <f>'Summary Sheet_ Pre Migration'!S13+'Sch 40 Migration Weather Adj.'!G45</f>
        <v>262628.04123100004</v>
      </c>
      <c r="S13" s="278">
        <f>'Summary Sheet_ Pre Migration'!T13+'Sch 40 Migration Weather Adj.'!H45</f>
        <v>263238.83784569387</v>
      </c>
      <c r="T13" s="278">
        <f t="shared" si="5"/>
        <v>610.796614693827</v>
      </c>
    </row>
    <row r="14" spans="1:20">
      <c r="A14" s="37">
        <f t="shared" si="0"/>
        <v>5</v>
      </c>
      <c r="B14" s="45">
        <v>43160</v>
      </c>
      <c r="C14" s="291">
        <f t="shared" si="6"/>
        <v>1943634198.5739999</v>
      </c>
      <c r="D14" s="292">
        <f t="shared" si="7"/>
        <v>1949460356.5087843</v>
      </c>
      <c r="E14" s="277">
        <f t="shared" si="2"/>
        <v>5826157.9347844124</v>
      </c>
      <c r="G14" s="138"/>
      <c r="H14" s="224">
        <f t="shared" si="1"/>
        <v>43191</v>
      </c>
      <c r="I14" s="58"/>
      <c r="J14" s="278">
        <v>924598.02489300002</v>
      </c>
      <c r="K14" s="278">
        <v>940942.93963610567</v>
      </c>
      <c r="L14" s="278">
        <f t="shared" si="3"/>
        <v>16344.914743105648</v>
      </c>
      <c r="M14" s="278"/>
      <c r="N14" s="278">
        <f>'Summary Sheet_ Pre Migration'!O14+'Sch 40 Migration Weather Adj.'!C46</f>
        <v>222462.811071</v>
      </c>
      <c r="O14" s="278">
        <f>'Summary Sheet_ Pre Migration'!P14+'Sch 40 Migration Weather Adj.'!D46</f>
        <v>223928.7650888752</v>
      </c>
      <c r="P14" s="278">
        <f t="shared" si="4"/>
        <v>1465.9540178751922</v>
      </c>
      <c r="Q14" s="278"/>
      <c r="R14" s="278">
        <f>'Summary Sheet_ Pre Migration'!S14+'Sch 40 Migration Weather Adj.'!G46</f>
        <v>243873.52108700003</v>
      </c>
      <c r="S14" s="278">
        <f>'Summary Sheet_ Pre Migration'!T14+'Sch 40 Migration Weather Adj.'!H46</f>
        <v>244498.00844735318</v>
      </c>
      <c r="T14" s="278">
        <f t="shared" si="5"/>
        <v>624.48736035314505</v>
      </c>
    </row>
    <row r="15" spans="1:20">
      <c r="A15" s="37">
        <f t="shared" si="0"/>
        <v>6</v>
      </c>
      <c r="B15" s="45">
        <v>43191</v>
      </c>
      <c r="C15" s="291">
        <f t="shared" si="6"/>
        <v>1699164093.7230003</v>
      </c>
      <c r="D15" s="292">
        <f t="shared" si="7"/>
        <v>1718136018.0731823</v>
      </c>
      <c r="E15" s="277">
        <f t="shared" si="2"/>
        <v>18971924.350182056</v>
      </c>
      <c r="G15" s="341"/>
      <c r="H15" s="224">
        <f t="shared" si="1"/>
        <v>43221</v>
      </c>
      <c r="I15" s="58"/>
      <c r="J15" s="278">
        <v>741369.50304700003</v>
      </c>
      <c r="K15" s="278">
        <v>790422.19592384121</v>
      </c>
      <c r="L15" s="278">
        <f t="shared" si="3"/>
        <v>49052.692876841174</v>
      </c>
      <c r="M15" s="278"/>
      <c r="N15" s="278">
        <f>'Summary Sheet_ Pre Migration'!O15+'Sch 40 Migration Weather Adj.'!C47</f>
        <v>203775.022662</v>
      </c>
      <c r="O15" s="278">
        <f>'Summary Sheet_ Pre Migration'!P15+'Sch 40 Migration Weather Adj.'!D47</f>
        <v>206369.81499173975</v>
      </c>
      <c r="P15" s="278">
        <f t="shared" si="4"/>
        <v>2594.7923297397501</v>
      </c>
      <c r="Q15" s="278"/>
      <c r="R15" s="278">
        <f>'Summary Sheet_ Pre Migration'!S15+'Sch 40 Migration Weather Adj.'!G47</f>
        <v>238525.41172299997</v>
      </c>
      <c r="S15" s="278">
        <f>'Summary Sheet_ Pre Migration'!T15+'Sch 40 Migration Weather Adj.'!H47</f>
        <v>238067.85406721814</v>
      </c>
      <c r="T15" s="278">
        <f t="shared" si="5"/>
        <v>-457.55765578182763</v>
      </c>
    </row>
    <row r="16" spans="1:20">
      <c r="A16" s="37">
        <f t="shared" si="0"/>
        <v>7</v>
      </c>
      <c r="B16" s="45">
        <v>43221</v>
      </c>
      <c r="C16" s="291">
        <f t="shared" si="6"/>
        <v>1490892227.201</v>
      </c>
      <c r="D16" s="292">
        <f t="shared" si="7"/>
        <v>1542507070.3846564</v>
      </c>
      <c r="E16" s="277">
        <f t="shared" si="2"/>
        <v>51614843.183656454</v>
      </c>
      <c r="G16" s="138"/>
      <c r="H16" s="224">
        <f t="shared" si="1"/>
        <v>43252</v>
      </c>
      <c r="I16" s="58"/>
      <c r="J16" s="278">
        <v>663353.18537899991</v>
      </c>
      <c r="K16" s="278">
        <v>657526.52312316094</v>
      </c>
      <c r="L16" s="278">
        <f t="shared" si="3"/>
        <v>-5826.662255838979</v>
      </c>
      <c r="M16" s="278"/>
      <c r="N16" s="278">
        <f>'Summary Sheet_ Pre Migration'!O16+'Sch 40 Migration Weather Adj.'!C48</f>
        <v>201892.25566099994</v>
      </c>
      <c r="O16" s="278">
        <f>'Summary Sheet_ Pre Migration'!P16+'Sch 40 Migration Weather Adj.'!D48</f>
        <v>200762.53352060576</v>
      </c>
      <c r="P16" s="278">
        <f t="shared" si="4"/>
        <v>-1129.7221403941803</v>
      </c>
      <c r="Q16" s="278"/>
      <c r="R16" s="278">
        <f>'Summary Sheet_ Pre Migration'!S16+'Sch 40 Migration Weather Adj.'!G48</f>
        <v>233343.840501</v>
      </c>
      <c r="S16" s="278">
        <f>'Summary Sheet_ Pre Migration'!T16+'Sch 40 Migration Weather Adj.'!H48</f>
        <v>232295.85397816802</v>
      </c>
      <c r="T16" s="278">
        <f t="shared" si="5"/>
        <v>-1047.9865228319832</v>
      </c>
    </row>
    <row r="17" spans="1:20">
      <c r="A17" s="37">
        <f t="shared" si="0"/>
        <v>8</v>
      </c>
      <c r="B17" s="45">
        <v>43252</v>
      </c>
      <c r="C17" s="291">
        <f t="shared" si="6"/>
        <v>1402796986.0940001</v>
      </c>
      <c r="D17" s="292">
        <f t="shared" si="7"/>
        <v>1393796264.7921758</v>
      </c>
      <c r="E17" s="277">
        <f t="shared" si="2"/>
        <v>-9000721.3018243313</v>
      </c>
      <c r="G17" s="138"/>
      <c r="H17" s="224">
        <f t="shared" si="1"/>
        <v>43282</v>
      </c>
      <c r="I17" s="58"/>
      <c r="J17" s="278">
        <v>670337.02335200005</v>
      </c>
      <c r="K17" s="278">
        <v>619908.53963391413</v>
      </c>
      <c r="L17" s="278">
        <f t="shared" si="3"/>
        <v>-50428.483718085918</v>
      </c>
      <c r="M17" s="278"/>
      <c r="N17" s="278">
        <f>'Summary Sheet_ Pre Migration'!O17+'Sch 40 Migration Weather Adj.'!C49</f>
        <v>209797.70127400002</v>
      </c>
      <c r="O17" s="278">
        <f>'Summary Sheet_ Pre Migration'!P17+'Sch 40 Migration Weather Adj.'!D49</f>
        <v>200016.31627326907</v>
      </c>
      <c r="P17" s="278">
        <f t="shared" si="4"/>
        <v>-9781.385000730952</v>
      </c>
      <c r="Q17" s="278"/>
      <c r="R17" s="278">
        <f>'Summary Sheet_ Pre Migration'!S17+'Sch 40 Migration Weather Adj.'!G49</f>
        <v>237185.04438699997</v>
      </c>
      <c r="S17" s="278">
        <f>'Summary Sheet_ Pre Migration'!T17+'Sch 40 Migration Weather Adj.'!H49</f>
        <v>228158.95745728532</v>
      </c>
      <c r="T17" s="278">
        <f t="shared" si="5"/>
        <v>-9026.0869297146564</v>
      </c>
    </row>
    <row r="18" spans="1:20">
      <c r="A18" s="37">
        <f t="shared" si="0"/>
        <v>9</v>
      </c>
      <c r="B18" s="45">
        <v>43282</v>
      </c>
      <c r="C18" s="291">
        <f t="shared" si="6"/>
        <v>1444305090.4159997</v>
      </c>
      <c r="D18" s="292">
        <f t="shared" si="7"/>
        <v>1366445615.4333429</v>
      </c>
      <c r="E18" s="277">
        <f t="shared" si="2"/>
        <v>-77859474.982656717</v>
      </c>
      <c r="G18" s="138"/>
      <c r="H18" s="224">
        <f t="shared" si="1"/>
        <v>43313</v>
      </c>
      <c r="I18" s="58"/>
      <c r="J18" s="278">
        <v>735328.69555099995</v>
      </c>
      <c r="K18" s="278">
        <v>708817.12199245114</v>
      </c>
      <c r="L18" s="278">
        <f t="shared" si="3"/>
        <v>-26511.573558548815</v>
      </c>
      <c r="M18" s="278"/>
      <c r="N18" s="278">
        <f>'Summary Sheet_ Pre Migration'!O18+'Sch 40 Migration Weather Adj.'!C50</f>
        <v>226735.50328899999</v>
      </c>
      <c r="O18" s="278">
        <f>'Summary Sheet_ Pre Migration'!P18+'Sch 40 Migration Weather Adj.'!D50</f>
        <v>221592.13746986</v>
      </c>
      <c r="P18" s="278">
        <f t="shared" si="4"/>
        <v>-5143.3658191399882</v>
      </c>
      <c r="Q18" s="278"/>
      <c r="R18" s="278">
        <f>'Summary Sheet_ Pre Migration'!S18+'Sch 40 Migration Weather Adj.'!G50</f>
        <v>268208.49714699999</v>
      </c>
      <c r="S18" s="278">
        <f>'Summary Sheet_ Pre Migration'!T18+'Sch 40 Migration Weather Adj.'!H50</f>
        <v>263466.25528199086</v>
      </c>
      <c r="T18" s="278">
        <f t="shared" si="5"/>
        <v>-4742.2418650091277</v>
      </c>
    </row>
    <row r="19" spans="1:20">
      <c r="A19" s="37">
        <f t="shared" si="0"/>
        <v>10</v>
      </c>
      <c r="B19" s="45">
        <v>43313</v>
      </c>
      <c r="C19" s="291">
        <f t="shared" si="6"/>
        <v>1582213546.7269998</v>
      </c>
      <c r="D19" s="292">
        <f t="shared" si="7"/>
        <v>1541279586.4041083</v>
      </c>
      <c r="E19" s="277">
        <f t="shared" si="2"/>
        <v>-40933960.322891474</v>
      </c>
      <c r="G19" s="138"/>
      <c r="H19" s="224">
        <f t="shared" si="1"/>
        <v>43344</v>
      </c>
      <c r="I19" s="58"/>
      <c r="J19" s="278">
        <v>680363.49579099996</v>
      </c>
      <c r="K19" s="278">
        <v>684422.40077883576</v>
      </c>
      <c r="L19" s="278">
        <f t="shared" si="3"/>
        <v>4058.904987835791</v>
      </c>
      <c r="M19" s="278"/>
      <c r="N19" s="278">
        <f>'Summary Sheet_ Pre Migration'!O19+'Sch 40 Migration Weather Adj.'!C51</f>
        <v>214191.13250400001</v>
      </c>
      <c r="O19" s="278">
        <f>'Summary Sheet_ Pre Migration'!P19+'Sch 40 Migration Weather Adj.'!D51</f>
        <v>214978.31497620078</v>
      </c>
      <c r="P19" s="278">
        <f t="shared" si="4"/>
        <v>787.18247220077319</v>
      </c>
      <c r="Q19" s="278"/>
      <c r="R19" s="278">
        <f>'Summary Sheet_ Pre Migration'!S19+'Sch 40 Migration Weather Adj.'!G51</f>
        <v>242319.38924600004</v>
      </c>
      <c r="S19" s="278">
        <f>'Summary Sheet_ Pre Migration'!T19+'Sch 40 Migration Weather Adj.'!H51</f>
        <v>243044.45128200177</v>
      </c>
      <c r="T19" s="278">
        <f t="shared" si="5"/>
        <v>725.06203600173467</v>
      </c>
    </row>
    <row r="20" spans="1:20">
      <c r="A20" s="37">
        <f t="shared" si="0"/>
        <v>11</v>
      </c>
      <c r="B20" s="45">
        <v>43344</v>
      </c>
      <c r="C20" s="291">
        <f t="shared" si="6"/>
        <v>1463713527.5370002</v>
      </c>
      <c r="D20" s="292">
        <f t="shared" si="7"/>
        <v>1469977742.6955874</v>
      </c>
      <c r="E20" s="277">
        <f t="shared" si="2"/>
        <v>6264215.1585872173</v>
      </c>
      <c r="G20" s="138"/>
      <c r="H20" s="224">
        <f t="shared" si="1"/>
        <v>43374</v>
      </c>
      <c r="I20" s="58"/>
      <c r="J20" s="278">
        <v>687720.73388199997</v>
      </c>
      <c r="K20" s="278">
        <v>697805.19490895129</v>
      </c>
      <c r="L20" s="278">
        <f t="shared" si="3"/>
        <v>10084.461026951321</v>
      </c>
      <c r="M20" s="278"/>
      <c r="N20" s="278">
        <f>'Summary Sheet_ Pre Migration'!O20+'Sch 40 Migration Weather Adj.'!C52</f>
        <v>199477.82797099999</v>
      </c>
      <c r="O20" s="278">
        <f>'Summary Sheet_ Pre Migration'!P20+'Sch 40 Migration Weather Adj.'!D52</f>
        <v>200345.67675547747</v>
      </c>
      <c r="P20" s="278">
        <f t="shared" si="4"/>
        <v>867.84878447747906</v>
      </c>
      <c r="Q20" s="278"/>
      <c r="R20" s="278">
        <f>'Summary Sheet_ Pre Migration'!S20+'Sch 40 Migration Weather Adj.'!G52</f>
        <v>230321.88103300001</v>
      </c>
      <c r="S20" s="278">
        <f>'Summary Sheet_ Pre Migration'!T20+'Sch 40 Migration Weather Adj.'!H52</f>
        <v>230660.10035857442</v>
      </c>
      <c r="T20" s="278">
        <f t="shared" si="5"/>
        <v>338.21932557440596</v>
      </c>
    </row>
    <row r="21" spans="1:20">
      <c r="A21" s="37">
        <f t="shared" si="0"/>
        <v>12</v>
      </c>
      <c r="B21" s="45">
        <v>43374</v>
      </c>
      <c r="C21" s="291">
        <f t="shared" si="6"/>
        <v>1419110789.704</v>
      </c>
      <c r="D21" s="292">
        <f t="shared" si="7"/>
        <v>1431038051.7473032</v>
      </c>
      <c r="E21" s="277">
        <f t="shared" si="2"/>
        <v>11927262.043303251</v>
      </c>
      <c r="G21" s="138"/>
      <c r="H21" s="224">
        <f t="shared" si="1"/>
        <v>43405</v>
      </c>
      <c r="I21" s="58"/>
      <c r="J21" s="278">
        <v>842221.07113299996</v>
      </c>
      <c r="K21" s="278">
        <v>899431.99971165601</v>
      </c>
      <c r="L21" s="278">
        <f t="shared" si="3"/>
        <v>57210.92857865605</v>
      </c>
      <c r="M21" s="278"/>
      <c r="N21" s="278">
        <f>'Summary Sheet_ Pre Migration'!O21+'Sch 40 Migration Weather Adj.'!C53</f>
        <v>210676.67024499999</v>
      </c>
      <c r="O21" s="278">
        <f>'Summary Sheet_ Pre Migration'!P21+'Sch 40 Migration Weather Adj.'!D53</f>
        <v>216898.39123826221</v>
      </c>
      <c r="P21" s="278">
        <f t="shared" si="4"/>
        <v>6221.7209932622209</v>
      </c>
      <c r="Q21" s="278"/>
      <c r="R21" s="278">
        <f>'Summary Sheet_ Pre Migration'!S21+'Sch 40 Migration Weather Adj.'!G53</f>
        <v>236703.8505</v>
      </c>
      <c r="S21" s="278">
        <f>'Summary Sheet_ Pre Migration'!T21+'Sch 40 Migration Weather Adj.'!H53</f>
        <v>240221.48283968517</v>
      </c>
      <c r="T21" s="278">
        <f t="shared" si="5"/>
        <v>3517.6323396851658</v>
      </c>
    </row>
    <row r="22" spans="1:20">
      <c r="A22" s="37">
        <f t="shared" si="0"/>
        <v>13</v>
      </c>
      <c r="B22" s="45">
        <v>43405</v>
      </c>
      <c r="C22" s="291">
        <f t="shared" si="6"/>
        <v>1590358486.652</v>
      </c>
      <c r="D22" s="292">
        <f t="shared" si="7"/>
        <v>1659759618.1684327</v>
      </c>
      <c r="E22" s="277">
        <f t="shared" si="2"/>
        <v>69401131.516432762</v>
      </c>
      <c r="G22" s="138"/>
      <c r="H22" s="226">
        <f t="shared" si="1"/>
        <v>43435</v>
      </c>
      <c r="I22" s="167"/>
      <c r="J22" s="279">
        <v>1085744.61167</v>
      </c>
      <c r="K22" s="279">
        <v>1160576.0444485361</v>
      </c>
      <c r="L22" s="279">
        <f t="shared" si="3"/>
        <v>74831.432778536109</v>
      </c>
      <c r="M22" s="278"/>
      <c r="N22" s="278">
        <f>'Summary Sheet_ Pre Migration'!O22+'Sch 40 Migration Weather Adj.'!C54</f>
        <v>239354.61277900002</v>
      </c>
      <c r="O22" s="278">
        <f>'Summary Sheet_ Pre Migration'!P22+'Sch 40 Migration Weather Adj.'!D54</f>
        <v>248908.60486827782</v>
      </c>
      <c r="P22" s="279">
        <f t="shared" si="4"/>
        <v>9553.9920892778027</v>
      </c>
      <c r="Q22" s="278"/>
      <c r="R22" s="279">
        <f>'Summary Sheet_ Pre Migration'!S22+'Sch 40 Migration Weather Adj.'!G54</f>
        <v>261157.84510500001</v>
      </c>
      <c r="S22" s="279">
        <f>'Summary Sheet_ Pre Migration'!T22+'Sch 40 Migration Weather Adj.'!H54</f>
        <v>267503.15375746274</v>
      </c>
      <c r="T22" s="279">
        <f t="shared" si="5"/>
        <v>6345.3086524627288</v>
      </c>
    </row>
    <row r="23" spans="1:20">
      <c r="A23" s="37">
        <f t="shared" si="0"/>
        <v>14</v>
      </c>
      <c r="B23" s="45">
        <v>43435</v>
      </c>
      <c r="C23" s="293">
        <f t="shared" si="6"/>
        <v>1912905138.671</v>
      </c>
      <c r="D23" s="294">
        <f t="shared" si="7"/>
        <v>2006770858.5626197</v>
      </c>
      <c r="E23" s="277">
        <f t="shared" si="2"/>
        <v>93865719.891619682</v>
      </c>
      <c r="G23" s="138"/>
      <c r="H23" s="224" t="s">
        <v>19</v>
      </c>
      <c r="I23" s="58"/>
      <c r="J23" s="77">
        <f>SUM(J11:J22)</f>
        <v>10519663.299064999</v>
      </c>
      <c r="K23" s="77">
        <f t="shared" ref="K23:L23" si="8">SUM(K11:K22)</f>
        <v>10682799.272049353</v>
      </c>
      <c r="L23" s="77">
        <f t="shared" si="8"/>
        <v>163135.97298435448</v>
      </c>
      <c r="M23" s="77"/>
      <c r="N23" s="356">
        <f>SUM(N11:N22)</f>
        <v>2699055.0123640001</v>
      </c>
      <c r="O23" s="356">
        <f t="shared" ref="O23:P23" si="9">SUM(O11:O22)</f>
        <v>2709050.0237844158</v>
      </c>
      <c r="P23" s="77">
        <f t="shared" si="9"/>
        <v>9995.011420415889</v>
      </c>
      <c r="Q23" s="77"/>
      <c r="R23" s="77">
        <f>SUM(R11:R22)</f>
        <v>2984415.6622279999</v>
      </c>
      <c r="S23" s="77">
        <f t="shared" ref="S23:T23" si="10">SUM(S11:S22)</f>
        <v>2983666.1369904461</v>
      </c>
      <c r="T23" s="77">
        <f t="shared" si="10"/>
        <v>-749.525237554044</v>
      </c>
    </row>
    <row r="24" spans="1:20">
      <c r="A24" s="37">
        <f t="shared" si="0"/>
        <v>15</v>
      </c>
      <c r="B24" s="24"/>
      <c r="C24" s="65">
        <f>SUM(C12:C23)</f>
        <v>20033682599.973</v>
      </c>
      <c r="D24" s="189">
        <f>SUM(D12:D23)</f>
        <v>20201138837.428707</v>
      </c>
      <c r="E24" s="189">
        <f>SUM(E12:E23)</f>
        <v>167456237.4557097</v>
      </c>
    </row>
    <row r="25" spans="1:20">
      <c r="A25" s="37">
        <f t="shared" si="0"/>
        <v>16</v>
      </c>
      <c r="B25" s="34"/>
      <c r="C25" s="46"/>
      <c r="D25" s="46"/>
      <c r="E25" s="47"/>
      <c r="J25" s="228" t="s">
        <v>130</v>
      </c>
      <c r="K25" s="229"/>
      <c r="L25" s="229"/>
      <c r="N25" s="228" t="s">
        <v>132</v>
      </c>
      <c r="O25" s="229"/>
      <c r="P25" s="229"/>
      <c r="Q25" s="230"/>
      <c r="R25" s="228"/>
      <c r="S25" s="229"/>
      <c r="T25" s="229"/>
    </row>
    <row r="26" spans="1:20">
      <c r="A26" s="37">
        <f t="shared" si="0"/>
        <v>17</v>
      </c>
      <c r="B26" s="318" t="s">
        <v>147</v>
      </c>
      <c r="C26" s="48" t="s">
        <v>0</v>
      </c>
      <c r="D26" s="49"/>
      <c r="E26" s="277">
        <f>'Sales Adj._SCMigrated'!B9</f>
        <v>163135972.98435408</v>
      </c>
      <c r="F26" s="64"/>
      <c r="G26" s="78"/>
      <c r="J26" s="231" t="s">
        <v>145</v>
      </c>
      <c r="K26" s="232"/>
      <c r="L26" s="232"/>
      <c r="N26" s="231" t="s">
        <v>124</v>
      </c>
      <c r="O26" s="232"/>
      <c r="P26" s="232"/>
      <c r="Q26" s="230"/>
      <c r="R26" s="231"/>
      <c r="S26" s="232"/>
      <c r="T26" s="232"/>
    </row>
    <row r="27" spans="1:20">
      <c r="A27" s="37">
        <f t="shared" si="0"/>
        <v>18</v>
      </c>
      <c r="B27" s="321" t="s">
        <v>148</v>
      </c>
      <c r="C27" s="48" t="s">
        <v>1</v>
      </c>
      <c r="D27" s="48"/>
      <c r="E27" s="277">
        <f>'Sales Adj._SCMigrated'!B10</f>
        <v>9995011.420415869</v>
      </c>
      <c r="F27" s="64"/>
      <c r="G27" s="78"/>
      <c r="H27" s="223" t="s">
        <v>55</v>
      </c>
      <c r="I27" s="223"/>
      <c r="J27" s="223" t="s">
        <v>110</v>
      </c>
      <c r="K27" s="223" t="s">
        <v>117</v>
      </c>
      <c r="L27" s="223" t="s">
        <v>118</v>
      </c>
      <c r="N27" s="223" t="s">
        <v>110</v>
      </c>
      <c r="O27" s="223" t="s">
        <v>117</v>
      </c>
      <c r="P27" s="223" t="s">
        <v>118</v>
      </c>
      <c r="Q27" s="24"/>
      <c r="R27" s="223"/>
      <c r="S27" s="223"/>
      <c r="T27" s="223"/>
    </row>
    <row r="28" spans="1:20">
      <c r="A28" s="37">
        <f t="shared" si="0"/>
        <v>19</v>
      </c>
      <c r="B28" s="48"/>
      <c r="C28" s="51" t="s">
        <v>2</v>
      </c>
      <c r="D28" s="52"/>
      <c r="E28" s="277">
        <f>'Sales Adj._SCMigrated'!B11</f>
        <v>-749525.23755413201</v>
      </c>
      <c r="F28" s="64"/>
      <c r="G28" s="78"/>
      <c r="H28" s="224">
        <f t="shared" ref="H28:H39" si="11">H11</f>
        <v>43101</v>
      </c>
      <c r="I28" s="58"/>
      <c r="J28" s="278">
        <f>'Summary Sheet_ Pre Migration'!K28+'Sch 40 Migration Weather Adj.'!K43</f>
        <v>161945.518912</v>
      </c>
      <c r="K28" s="278">
        <f>'Summary Sheet_ Pre Migration'!L28+'Sch 40 Migration Weather Adj.'!L43</f>
        <v>162654.94741299798</v>
      </c>
      <c r="L28" s="278">
        <f>K28-J28</f>
        <v>709.42850099797943</v>
      </c>
      <c r="M28" s="278"/>
      <c r="N28" s="278">
        <f>'Summary Sheet_ Pre Migration'!O28+'Sch 40 Migration Weather Adj.'!O43</f>
        <v>123559.46893399999</v>
      </c>
      <c r="O28" s="278">
        <f>'Summary Sheet_ Pre Migration'!P28+'Sch 40 Migration Weather Adj.'!P43</f>
        <v>124319.62165838922</v>
      </c>
      <c r="P28" s="278">
        <f>O28-N28</f>
        <v>760.15272438923421</v>
      </c>
      <c r="Q28" s="278"/>
      <c r="R28" s="278"/>
      <c r="S28" s="278"/>
      <c r="T28" s="278"/>
    </row>
    <row r="29" spans="1:20">
      <c r="A29" s="37">
        <f t="shared" si="0"/>
        <v>20</v>
      </c>
      <c r="B29" s="53"/>
      <c r="C29" s="48" t="s">
        <v>3</v>
      </c>
      <c r="D29" s="51"/>
      <c r="E29" s="277">
        <f>'Sales Adj._SCMigrated'!B12</f>
        <v>-6669203.2470430685</v>
      </c>
      <c r="F29" s="64"/>
      <c r="G29" s="78"/>
      <c r="H29" s="224">
        <f t="shared" si="11"/>
        <v>43132</v>
      </c>
      <c r="I29" s="58"/>
      <c r="J29" s="278">
        <f>'Summary Sheet_ Pre Migration'!K29+'Sch 40 Migration Weather Adj.'!K44</f>
        <v>162491.21689099999</v>
      </c>
      <c r="K29" s="278">
        <f>'Summary Sheet_ Pre Migration'!L29+'Sch 40 Migration Weather Adj.'!L44</f>
        <v>162076.18813975566</v>
      </c>
      <c r="L29" s="278">
        <f t="shared" ref="L29:L39" si="12">K29-J29</f>
        <v>-415.02875124433194</v>
      </c>
      <c r="M29" s="278"/>
      <c r="N29" s="278">
        <f>'Summary Sheet_ Pre Migration'!O29+'Sch 40 Migration Weather Adj.'!O44</f>
        <v>126618.34970199999</v>
      </c>
      <c r="O29" s="278">
        <f>'Summary Sheet_ Pre Migration'!P29+'Sch 40 Migration Weather Adj.'!P44</f>
        <v>126158.42660357823</v>
      </c>
      <c r="P29" s="278">
        <f t="shared" ref="P29:P39" si="13">O29-N29</f>
        <v>-459.92309842175746</v>
      </c>
      <c r="Q29" s="278"/>
      <c r="R29" s="278"/>
      <c r="S29" s="278"/>
      <c r="T29" s="278"/>
    </row>
    <row r="30" spans="1:20">
      <c r="A30" s="37">
        <f t="shared" si="0"/>
        <v>21</v>
      </c>
      <c r="B30" s="48"/>
      <c r="C30" s="51" t="s">
        <v>4</v>
      </c>
      <c r="D30" s="48"/>
      <c r="E30" s="277">
        <f>'Sales Adj._SCMigrated'!B13</f>
        <v>0</v>
      </c>
      <c r="F30" s="64"/>
      <c r="G30" s="78"/>
      <c r="H30" s="224">
        <f t="shared" si="11"/>
        <v>43160</v>
      </c>
      <c r="I30" s="58"/>
      <c r="J30" s="278">
        <f>'Summary Sheet_ Pre Migration'!K30+'Sch 40 Migration Weather Adj.'!K45</f>
        <v>151988.86018899997</v>
      </c>
      <c r="K30" s="278">
        <f>'Summary Sheet_ Pre Migration'!L30+'Sch 40 Migration Weather Adj.'!L45</f>
        <v>151966.75668221177</v>
      </c>
      <c r="L30" s="278">
        <f t="shared" si="12"/>
        <v>-22.103506788203958</v>
      </c>
      <c r="M30" s="278"/>
      <c r="N30" s="278">
        <f>'Summary Sheet_ Pre Migration'!O30+'Sch 40 Migration Weather Adj.'!O45</f>
        <v>110877.300106</v>
      </c>
      <c r="O30" s="278">
        <f>'Summary Sheet_ Pre Migration'!P30+'Sch 40 Migration Weather Adj.'!P45</f>
        <v>110857.57846770901</v>
      </c>
      <c r="P30" s="278">
        <f t="shared" si="13"/>
        <v>-19.72163829098281</v>
      </c>
      <c r="Q30" s="278"/>
      <c r="R30" s="278"/>
      <c r="S30" s="278"/>
      <c r="T30" s="278"/>
    </row>
    <row r="31" spans="1:20">
      <c r="A31" s="37">
        <f t="shared" si="0"/>
        <v>22</v>
      </c>
      <c r="B31" s="48"/>
      <c r="C31" s="51" t="s">
        <v>5</v>
      </c>
      <c r="D31" s="48"/>
      <c r="E31" s="277">
        <f>'Sales Adj._SCMigrated'!B14</f>
        <v>-1088736.0116855022</v>
      </c>
      <c r="F31" s="64"/>
      <c r="G31" s="78"/>
      <c r="H31" s="224">
        <f t="shared" si="11"/>
        <v>43191</v>
      </c>
      <c r="I31" s="58"/>
      <c r="J31" s="278">
        <f>'Summary Sheet_ Pre Migration'!K31+'Sch 40 Migration Weather Adj.'!K46</f>
        <v>148167.97019699999</v>
      </c>
      <c r="K31" s="278">
        <f>'Summary Sheet_ Pre Migration'!L31+'Sch 40 Migration Weather Adj.'!L46</f>
        <v>148293.77701945524</v>
      </c>
      <c r="L31" s="278">
        <f t="shared" si="12"/>
        <v>125.80682245525531</v>
      </c>
      <c r="M31" s="278"/>
      <c r="N31" s="278">
        <f>'Summary Sheet_ Pre Migration'!O31+'Sch 40 Migration Weather Adj.'!O46</f>
        <v>117463.880595</v>
      </c>
      <c r="O31" s="278">
        <f>'Summary Sheet_ Pre Migration'!P31+'Sch 40 Migration Weather Adj.'!P46</f>
        <v>117599.96542809371</v>
      </c>
      <c r="P31" s="278">
        <f t="shared" si="13"/>
        <v>136.08483309371513</v>
      </c>
      <c r="Q31" s="278"/>
      <c r="R31" s="278"/>
      <c r="S31" s="278"/>
      <c r="T31" s="278"/>
    </row>
    <row r="32" spans="1:20">
      <c r="A32" s="37">
        <f t="shared" si="0"/>
        <v>23</v>
      </c>
      <c r="B32" s="48"/>
      <c r="C32" s="48" t="s">
        <v>188</v>
      </c>
      <c r="D32" s="48"/>
      <c r="E32" s="277">
        <f>'Sales Adj._SCMigrated'!B15</f>
        <v>-685387.81366745022</v>
      </c>
      <c r="F32" s="64"/>
      <c r="G32" s="78"/>
      <c r="H32" s="224">
        <f t="shared" si="11"/>
        <v>43221</v>
      </c>
      <c r="I32" s="58"/>
      <c r="J32" s="278">
        <f>'Summary Sheet_ Pre Migration'!K32+'Sch 40 Migration Weather Adj.'!K47</f>
        <v>153898.36760900001</v>
      </c>
      <c r="K32" s="278">
        <f>'Summary Sheet_ Pre Migration'!L32+'Sch 40 Migration Weather Adj.'!L47</f>
        <v>153561.16555504245</v>
      </c>
      <c r="L32" s="278">
        <f t="shared" si="12"/>
        <v>-337.20205395756057</v>
      </c>
      <c r="M32" s="278"/>
      <c r="N32" s="278">
        <f>'Summary Sheet_ Pre Migration'!O32+'Sch 40 Migration Weather Adj.'!O47</f>
        <v>114577.56447499999</v>
      </c>
      <c r="O32" s="278">
        <f>'Summary Sheet_ Pre Migration'!P32+'Sch 40 Migration Weather Adj.'!P47</f>
        <v>114722.20927907091</v>
      </c>
      <c r="P32" s="278">
        <f t="shared" si="13"/>
        <v>144.64480407092196</v>
      </c>
      <c r="Q32" s="278"/>
      <c r="R32" s="278"/>
      <c r="S32" s="278"/>
      <c r="T32" s="278"/>
    </row>
    <row r="33" spans="1:21">
      <c r="A33" s="37">
        <f t="shared" si="0"/>
        <v>24</v>
      </c>
      <c r="B33" s="48"/>
      <c r="C33" s="76" t="s">
        <v>7</v>
      </c>
      <c r="D33" s="48"/>
      <c r="E33" s="277">
        <f>SUM('Sales Adj._SCMigrated'!B16:B16)</f>
        <v>3404679.8765506782</v>
      </c>
      <c r="F33" s="64"/>
      <c r="G33" s="78"/>
      <c r="H33" s="224">
        <f t="shared" si="11"/>
        <v>43252</v>
      </c>
      <c r="I33" s="58"/>
      <c r="J33" s="278">
        <f>'Summary Sheet_ Pre Migration'!K33+'Sch 40 Migration Weather Adj.'!K48</f>
        <v>158918.754403</v>
      </c>
      <c r="K33" s="278">
        <f>'Summary Sheet_ Pre Migration'!L33+'Sch 40 Migration Weather Adj.'!L48</f>
        <v>158307.52856235244</v>
      </c>
      <c r="L33" s="278">
        <f t="shared" si="12"/>
        <v>-611.22584064755938</v>
      </c>
      <c r="M33" s="278"/>
      <c r="N33" s="278">
        <f>'Summary Sheet_ Pre Migration'!O33+'Sch 40 Migration Weather Adj.'!O48</f>
        <v>109383.43788</v>
      </c>
      <c r="O33" s="278">
        <f>'Summary Sheet_ Pre Migration'!P33+'Sch 40 Migration Weather Adj.'!P48</f>
        <v>109154.88831337505</v>
      </c>
      <c r="P33" s="278">
        <f t="shared" si="13"/>
        <v>-228.54956662494806</v>
      </c>
      <c r="Q33" s="278"/>
      <c r="R33" s="278"/>
      <c r="S33" s="278"/>
      <c r="T33" s="278"/>
    </row>
    <row r="34" spans="1:21">
      <c r="A34" s="37">
        <f t="shared" si="0"/>
        <v>25</v>
      </c>
      <c r="B34" s="48"/>
      <c r="C34" s="319" t="s">
        <v>8</v>
      </c>
      <c r="D34" s="319"/>
      <c r="E34" s="320">
        <f>'Sales Adj._SCMigrated'!B17</f>
        <v>113425.48433827792</v>
      </c>
      <c r="F34" s="64"/>
      <c r="G34" s="78"/>
      <c r="H34" s="224">
        <f t="shared" si="11"/>
        <v>43282</v>
      </c>
      <c r="I34" s="58"/>
      <c r="J34" s="278">
        <f>'Summary Sheet_ Pre Migration'!K34+'Sch 40 Migration Weather Adj.'!K49</f>
        <v>167929.15865</v>
      </c>
      <c r="K34" s="278">
        <f>'Summary Sheet_ Pre Migration'!L34+'Sch 40 Migration Weather Adj.'!L49</f>
        <v>162605.57110219254</v>
      </c>
      <c r="L34" s="278">
        <f t="shared" si="12"/>
        <v>-5323.5875478074595</v>
      </c>
      <c r="M34" s="278"/>
      <c r="N34" s="278">
        <f>'Summary Sheet_ Pre Migration'!O34+'Sch 40 Migration Weather Adj.'!O49</f>
        <v>123016.44895800001</v>
      </c>
      <c r="O34" s="278">
        <f>'Summary Sheet_ Pre Migration'!P34+'Sch 40 Migration Weather Adj.'!P49</f>
        <v>120876.05571495113</v>
      </c>
      <c r="P34" s="278">
        <f t="shared" si="13"/>
        <v>-2140.3932430488785</v>
      </c>
      <c r="Q34" s="278"/>
      <c r="R34" s="278"/>
      <c r="S34" s="278"/>
      <c r="T34" s="278"/>
    </row>
    <row r="35" spans="1:21">
      <c r="A35" s="37">
        <f t="shared" si="0"/>
        <v>26</v>
      </c>
      <c r="B35" s="48"/>
      <c r="C35" s="318" t="s">
        <v>19</v>
      </c>
      <c r="D35" s="48"/>
      <c r="E35" s="277">
        <f>SUM(E26:E34)</f>
        <v>167456237.45570877</v>
      </c>
      <c r="F35" s="64"/>
      <c r="G35" s="77"/>
      <c r="H35" s="224">
        <f t="shared" si="11"/>
        <v>43313</v>
      </c>
      <c r="I35" s="58"/>
      <c r="J35" s="278">
        <f>'Summary Sheet_ Pre Migration'!K35+'Sch 40 Migration Weather Adj.'!K50</f>
        <v>190164.84236800001</v>
      </c>
      <c r="K35" s="278">
        <f>'Summary Sheet_ Pre Migration'!L35+'Sch 40 Migration Weather Adj.'!L50</f>
        <v>187364.45976377869</v>
      </c>
      <c r="L35" s="278">
        <f t="shared" si="12"/>
        <v>-2800.3826042213186</v>
      </c>
      <c r="M35" s="278"/>
      <c r="N35" s="278">
        <f>'Summary Sheet_ Pre Migration'!O35+'Sch 40 Migration Weather Adj.'!O50</f>
        <v>124369.881037</v>
      </c>
      <c r="O35" s="278">
        <f>'Summary Sheet_ Pre Migration'!P35+'Sch 40 Migration Weather Adj.'!P50</f>
        <v>123294.39476540967</v>
      </c>
      <c r="P35" s="278">
        <f t="shared" si="13"/>
        <v>-1075.4862715903291</v>
      </c>
      <c r="Q35" s="278"/>
      <c r="R35" s="278"/>
      <c r="S35" s="278"/>
      <c r="T35" s="278"/>
    </row>
    <row r="36" spans="1:21">
      <c r="A36" s="37"/>
      <c r="B36" s="24"/>
      <c r="C36" s="24"/>
      <c r="D36" s="24"/>
      <c r="E36" s="24"/>
      <c r="H36" s="224">
        <f t="shared" si="11"/>
        <v>43344</v>
      </c>
      <c r="I36" s="58"/>
      <c r="J36" s="278">
        <f>'Summary Sheet_ Pre Migration'!K36+'Sch 40 Migration Weather Adj.'!K51</f>
        <v>171078.55904699999</v>
      </c>
      <c r="K36" s="278">
        <f>'Summary Sheet_ Pre Migration'!L36+'Sch 40 Migration Weather Adj.'!L51</f>
        <v>171506.75852996254</v>
      </c>
      <c r="L36" s="278">
        <f t="shared" si="12"/>
        <v>428.19948296254734</v>
      </c>
      <c r="M36" s="278"/>
      <c r="N36" s="278">
        <f>'Summary Sheet_ Pre Migration'!O36+'Sch 40 Migration Weather Adj.'!O51</f>
        <v>119715.634309</v>
      </c>
      <c r="O36" s="278">
        <f>'Summary Sheet_ Pre Migration'!P36+'Sch 40 Migration Weather Adj.'!P51</f>
        <v>119877.72411728984</v>
      </c>
      <c r="P36" s="278">
        <f t="shared" si="13"/>
        <v>162.08980828983476</v>
      </c>
      <c r="Q36" s="278"/>
      <c r="R36" s="278"/>
      <c r="S36" s="278"/>
      <c r="T36" s="278"/>
    </row>
    <row r="37" spans="1:21">
      <c r="A37" s="67"/>
      <c r="B37" s="68"/>
      <c r="C37" s="68"/>
      <c r="D37" s="68"/>
      <c r="E37" s="69"/>
      <c r="H37" s="224">
        <f t="shared" si="11"/>
        <v>43374</v>
      </c>
      <c r="I37" s="58"/>
      <c r="J37" s="278">
        <f>'Summary Sheet_ Pre Migration'!K37+'Sch 40 Migration Weather Adj.'!K52</f>
        <v>159565.63705199998</v>
      </c>
      <c r="K37" s="278">
        <f>'Summary Sheet_ Pre Migration'!L37+'Sch 40 Migration Weather Adj.'!L52</f>
        <v>159780.69545101014</v>
      </c>
      <c r="L37" s="278">
        <f t="shared" si="12"/>
        <v>215.05839901015861</v>
      </c>
      <c r="M37" s="278"/>
      <c r="N37" s="278">
        <f>'Summary Sheet_ Pre Migration'!O37+'Sch 40 Migration Weather Adj.'!O52</f>
        <v>116170.97304099999</v>
      </c>
      <c r="O37" s="278">
        <f>'Summary Sheet_ Pre Migration'!P37+'Sch 40 Migration Weather Adj.'!P52</f>
        <v>116401.1140877624</v>
      </c>
      <c r="P37" s="278">
        <f t="shared" si="13"/>
        <v>230.14104676240822</v>
      </c>
      <c r="Q37" s="278"/>
      <c r="R37" s="278"/>
      <c r="S37" s="278"/>
      <c r="T37" s="278"/>
    </row>
    <row r="38" spans="1:21">
      <c r="A38" s="289"/>
      <c r="B38" s="68"/>
      <c r="C38" s="68"/>
      <c r="D38" s="68"/>
      <c r="E38" s="69"/>
      <c r="H38" s="224">
        <f t="shared" si="11"/>
        <v>43405</v>
      </c>
      <c r="I38" s="58"/>
      <c r="J38" s="278">
        <f>'Summary Sheet_ Pre Migration'!K38+'Sch 40 Migration Weather Adj.'!K53</f>
        <v>149973.65151900001</v>
      </c>
      <c r="K38" s="278">
        <f>'Summary Sheet_ Pre Migration'!L38+'Sch 40 Migration Weather Adj.'!L53</f>
        <v>150603.08498597846</v>
      </c>
      <c r="L38" s="278">
        <f t="shared" si="12"/>
        <v>629.43346697845845</v>
      </c>
      <c r="M38" s="278"/>
      <c r="N38" s="278">
        <f>'Summary Sheet_ Pre Migration'!O38+'Sch 40 Migration Weather Adj.'!O53</f>
        <v>105107.27142</v>
      </c>
      <c r="O38" s="278">
        <f>'Summary Sheet_ Pre Migration'!P38+'Sch 40 Migration Weather Adj.'!P53</f>
        <v>105748.33570033347</v>
      </c>
      <c r="P38" s="278">
        <f t="shared" si="13"/>
        <v>641.0642803334631</v>
      </c>
      <c r="Q38" s="278"/>
      <c r="R38" s="278"/>
      <c r="S38" s="278"/>
      <c r="T38" s="278"/>
    </row>
    <row r="39" spans="1:21">
      <c r="A39" s="289"/>
      <c r="B39" s="68"/>
      <c r="C39" s="68"/>
      <c r="D39" s="68"/>
      <c r="E39" s="69"/>
      <c r="H39" s="226">
        <f t="shared" si="11"/>
        <v>43435</v>
      </c>
      <c r="I39" s="167"/>
      <c r="J39" s="279">
        <f>'Summary Sheet_ Pre Migration'!K39+'Sch 40 Migration Weather Adj.'!K54</f>
        <v>164290.905692</v>
      </c>
      <c r="K39" s="279">
        <f>'Summary Sheet_ Pre Migration'!L39+'Sch 40 Migration Weather Adj.'!L54</f>
        <v>165023.30607721899</v>
      </c>
      <c r="L39" s="279">
        <f t="shared" si="12"/>
        <v>732.4003852189926</v>
      </c>
      <c r="M39" s="278"/>
      <c r="N39" s="279">
        <f>'Summary Sheet_ Pre Migration'!O39+'Sch 40 Migration Weather Adj.'!O54</f>
        <v>120611.35738</v>
      </c>
      <c r="O39" s="279">
        <f>'Summary Sheet_ Pre Migration'!P39+'Sch 40 Migration Weather Adj.'!P54</f>
        <v>121372.51768935187</v>
      </c>
      <c r="P39" s="279">
        <f t="shared" si="13"/>
        <v>761.16030935186427</v>
      </c>
      <c r="Q39" s="278"/>
      <c r="R39" s="279"/>
      <c r="S39" s="279"/>
      <c r="T39" s="279"/>
    </row>
    <row r="40" spans="1:21">
      <c r="A40" s="67"/>
      <c r="B40" s="68"/>
      <c r="C40" s="68"/>
      <c r="D40" s="68"/>
      <c r="E40" s="69"/>
      <c r="H40" s="224" t="s">
        <v>19</v>
      </c>
      <c r="I40" s="58"/>
      <c r="J40" s="77">
        <f>SUM(J28:J39)</f>
        <v>1940413.4425290001</v>
      </c>
      <c r="K40" s="77">
        <f t="shared" ref="K40:L40" si="14">SUM(K28:K39)</f>
        <v>1933744.239281957</v>
      </c>
      <c r="L40" s="77">
        <f t="shared" si="14"/>
        <v>-6669.2032470430422</v>
      </c>
      <c r="N40" s="77">
        <f>SUM(N28:N39)</f>
        <v>1411471.5678369999</v>
      </c>
      <c r="O40" s="77">
        <f t="shared" ref="O40:P40" si="15">SUM(O28:O39)</f>
        <v>1410382.8318253146</v>
      </c>
      <c r="P40" s="77">
        <f t="shared" si="15"/>
        <v>-1088.7360116854543</v>
      </c>
      <c r="Q40" s="77"/>
      <c r="R40" s="77"/>
      <c r="S40" s="77"/>
      <c r="T40" s="77"/>
    </row>
    <row r="41" spans="1:21">
      <c r="A41" s="290" t="str">
        <f ca="1">CELL("filename",$A$41)</f>
        <v>J:\GrpRevnu\PUBLIC\# 2019 GRC\Data Requests\Bench Requests\Bench Request No. 011 (proforma updates)\#RevReq-Attrition-COS-Bench-Request-011(R)\[NEW-PSE-WP-JAP03-ELEC-TEMP-ADJ-(2018CBR)-19GRC-06-2019.xlsx]Summary Sheet_SC_Migrated</v>
      </c>
      <c r="B41" s="68"/>
      <c r="C41" s="68"/>
      <c r="D41" s="68"/>
      <c r="E41" s="69"/>
    </row>
    <row r="42" spans="1:21">
      <c r="A42" s="67"/>
      <c r="B42" s="68"/>
      <c r="C42" s="68"/>
      <c r="D42" s="68"/>
      <c r="E42" s="72"/>
      <c r="I42" s="230"/>
      <c r="J42" s="228" t="s">
        <v>188</v>
      </c>
      <c r="K42" s="229"/>
      <c r="L42" s="229"/>
      <c r="N42" s="228" t="s">
        <v>125</v>
      </c>
      <c r="O42" s="229"/>
      <c r="P42" s="229"/>
      <c r="Q42" s="230"/>
      <c r="R42" s="228" t="s">
        <v>25</v>
      </c>
      <c r="S42" s="229"/>
      <c r="T42" s="229"/>
      <c r="U42" s="230"/>
    </row>
    <row r="43" spans="1:21">
      <c r="A43" s="67"/>
      <c r="B43" s="68"/>
      <c r="C43" s="68"/>
      <c r="D43" s="68"/>
      <c r="E43" s="72"/>
      <c r="G43" s="55"/>
      <c r="I43" s="230"/>
      <c r="J43" s="231" t="s">
        <v>205</v>
      </c>
      <c r="K43" s="232"/>
      <c r="L43" s="232"/>
      <c r="N43" s="231" t="s">
        <v>126</v>
      </c>
      <c r="O43" s="232"/>
      <c r="P43" s="232"/>
      <c r="Q43" s="230"/>
      <c r="R43" s="231" t="s">
        <v>129</v>
      </c>
      <c r="S43" s="232"/>
      <c r="T43" s="232"/>
      <c r="U43" s="77"/>
    </row>
    <row r="44" spans="1:21">
      <c r="A44" s="67"/>
      <c r="B44" s="68"/>
      <c r="C44" s="68"/>
      <c r="D44" s="68"/>
      <c r="E44" s="72"/>
      <c r="G44" s="55"/>
      <c r="H44" s="223" t="s">
        <v>55</v>
      </c>
      <c r="I44" s="24"/>
      <c r="J44" s="223" t="s">
        <v>110</v>
      </c>
      <c r="K44" s="223" t="s">
        <v>117</v>
      </c>
      <c r="L44" s="223" t="s">
        <v>118</v>
      </c>
      <c r="N44" s="223" t="s">
        <v>110</v>
      </c>
      <c r="O44" s="223" t="s">
        <v>117</v>
      </c>
      <c r="P44" s="223" t="s">
        <v>118</v>
      </c>
      <c r="Q44" s="24"/>
      <c r="R44" s="223" t="s">
        <v>110</v>
      </c>
      <c r="S44" s="223" t="s">
        <v>117</v>
      </c>
      <c r="T44" s="223" t="s">
        <v>118</v>
      </c>
      <c r="U44" s="24"/>
    </row>
    <row r="45" spans="1:21">
      <c r="A45" s="67"/>
      <c r="B45" s="68"/>
      <c r="C45" s="68"/>
      <c r="D45" s="68"/>
      <c r="E45" s="72"/>
      <c r="H45" s="224">
        <f t="shared" ref="H45:H56" si="16">H28</f>
        <v>43101</v>
      </c>
      <c r="I45" s="77"/>
      <c r="J45" s="278">
        <f>'Sch 40 Migration Weather Adj.'!C61</f>
        <v>32012.128000000001</v>
      </c>
      <c r="K45" s="278">
        <f>'Sch 40 Migration Weather Adj.'!D61</f>
        <v>32265.142927465688</v>
      </c>
      <c r="L45" s="278">
        <f>K45-J45</f>
        <v>253.01492746568692</v>
      </c>
      <c r="N45" s="278">
        <f t="array" ref="N45:N56">TRANSPOSE('Actual Total Usage'!B29:M29)/1000</f>
        <v>14705.562185000001</v>
      </c>
      <c r="O45" s="278">
        <f t="array" ref="O45:O56">TRANSPOSE('Normalized Total Usage'!B29:M29)/1000</f>
        <v>16135.887624979556</v>
      </c>
      <c r="P45" s="278">
        <f t="shared" ref="P45:P56" si="17">O45-N45</f>
        <v>1430.3254399795551</v>
      </c>
      <c r="Q45" s="278"/>
      <c r="R45" s="278">
        <f t="array" ref="R45:R56">TRANSPOSE('Actual Total Usage'!B30:M30)/1000</f>
        <v>997.46</v>
      </c>
      <c r="S45" s="278">
        <f t="array" ref="S45:S56">TRANSPOSE('Normalized Total Usage'!B30:M30)/1000</f>
        <v>1032.7449574701111</v>
      </c>
      <c r="T45" s="278">
        <f t="shared" ref="T45:T56" si="18">S45-R45</f>
        <v>35.284957470111067</v>
      </c>
      <c r="U45" s="77"/>
    </row>
    <row r="46" spans="1:21">
      <c r="A46" s="67"/>
      <c r="B46" s="68"/>
      <c r="C46" s="68"/>
      <c r="D46" s="68"/>
      <c r="E46" s="74"/>
      <c r="H46" s="224">
        <f t="shared" si="16"/>
        <v>43132</v>
      </c>
      <c r="I46" s="77"/>
      <c r="J46" s="278">
        <f>'Sch 40 Migration Weather Adj.'!C62</f>
        <v>28239.23</v>
      </c>
      <c r="K46" s="278">
        <f>'Sch 40 Migration Weather Adj.'!D62</f>
        <v>28104.739462931564</v>
      </c>
      <c r="L46" s="278">
        <f t="shared" ref="L46:L56" si="19">K46-J46</f>
        <v>-134.49053706843551</v>
      </c>
      <c r="N46" s="278">
        <v>13348.269554999999</v>
      </c>
      <c r="O46" s="278">
        <v>12488.203885918338</v>
      </c>
      <c r="P46" s="278">
        <f t="shared" si="17"/>
        <v>-860.06566908166133</v>
      </c>
      <c r="Q46" s="278"/>
      <c r="R46" s="278">
        <v>897.14</v>
      </c>
      <c r="S46" s="278">
        <v>876.08520340055566</v>
      </c>
      <c r="T46" s="278">
        <f t="shared" si="18"/>
        <v>-21.05479659944433</v>
      </c>
      <c r="U46" s="77"/>
    </row>
    <row r="47" spans="1:21">
      <c r="A47" s="67"/>
      <c r="B47" s="68"/>
      <c r="C47" s="68"/>
      <c r="D47" s="68"/>
      <c r="E47" s="72"/>
      <c r="H47" s="224">
        <f t="shared" si="16"/>
        <v>43160</v>
      </c>
      <c r="I47" s="77"/>
      <c r="J47" s="278">
        <f>'Sch 40 Migration Weather Adj.'!C63</f>
        <v>32729.637999999999</v>
      </c>
      <c r="K47" s="278">
        <f>'Sch 40 Migration Weather Adj.'!D63</f>
        <v>32716.701484274214</v>
      </c>
      <c r="L47" s="278">
        <f t="shared" si="19"/>
        <v>-12.936515725785284</v>
      </c>
      <c r="N47" s="278">
        <v>14774.1</v>
      </c>
      <c r="O47" s="278">
        <v>14883.732220817168</v>
      </c>
      <c r="P47" s="278">
        <f t="shared" si="17"/>
        <v>109.63222081716776</v>
      </c>
      <c r="Q47" s="278"/>
      <c r="R47" s="278">
        <v>943.66</v>
      </c>
      <c r="S47" s="278">
        <v>945.45442094594455</v>
      </c>
      <c r="T47" s="278">
        <f t="shared" si="18"/>
        <v>1.7944209459445801</v>
      </c>
      <c r="U47" s="77"/>
    </row>
    <row r="48" spans="1:21">
      <c r="A48" s="56"/>
      <c r="B48" s="34"/>
      <c r="C48" s="34"/>
      <c r="D48" s="34"/>
      <c r="E48" s="34"/>
      <c r="H48" s="224">
        <f t="shared" si="16"/>
        <v>43191</v>
      </c>
      <c r="I48" s="77"/>
      <c r="J48" s="278">
        <f>'Sch 40 Migration Weather Adj.'!C64</f>
        <v>29653.347000000002</v>
      </c>
      <c r="K48" s="278">
        <f>'Sch 40 Migration Weather Adj.'!D64</f>
        <v>29697.056929431554</v>
      </c>
      <c r="L48" s="278">
        <f t="shared" si="19"/>
        <v>43.709929431552155</v>
      </c>
      <c r="N48" s="278">
        <v>12167.918880000001</v>
      </c>
      <c r="O48" s="278">
        <v>12390.292650166386</v>
      </c>
      <c r="P48" s="278">
        <f t="shared" si="17"/>
        <v>222.37377016638493</v>
      </c>
      <c r="Q48" s="278"/>
      <c r="R48" s="278">
        <v>776.62</v>
      </c>
      <c r="S48" s="278">
        <v>785.21287370111099</v>
      </c>
      <c r="T48" s="278">
        <f t="shared" si="18"/>
        <v>8.5928737011109888</v>
      </c>
      <c r="U48" s="77"/>
    </row>
    <row r="49" spans="1:21">
      <c r="A49" s="56"/>
      <c r="B49" s="34"/>
      <c r="C49" s="34"/>
      <c r="D49" s="34"/>
      <c r="E49" s="34"/>
      <c r="H49" s="224">
        <f t="shared" si="16"/>
        <v>43221</v>
      </c>
      <c r="I49" s="77"/>
      <c r="J49" s="278">
        <f>'Sch 40 Migration Weather Adj.'!C65</f>
        <v>28626.892</v>
      </c>
      <c r="K49" s="278">
        <f>'Sch 40 Migration Weather Adj.'!D65</f>
        <v>28628.284304680983</v>
      </c>
      <c r="L49" s="278">
        <f t="shared" si="19"/>
        <v>1.3923046809832158</v>
      </c>
      <c r="N49" s="278">
        <v>9528.3856850000011</v>
      </c>
      <c r="O49" s="278">
        <v>10114.283391297085</v>
      </c>
      <c r="P49" s="278">
        <f t="shared" si="17"/>
        <v>585.89770629708437</v>
      </c>
      <c r="Q49" s="278"/>
      <c r="R49" s="278">
        <v>591.08000000000004</v>
      </c>
      <c r="S49" s="278">
        <v>621.26287176566677</v>
      </c>
      <c r="T49" s="278">
        <f t="shared" si="18"/>
        <v>30.182871765666732</v>
      </c>
      <c r="U49" s="77"/>
    </row>
    <row r="50" spans="1:21">
      <c r="A50" s="56"/>
      <c r="B50" s="34"/>
      <c r="C50" s="34"/>
      <c r="D50" s="34"/>
      <c r="E50" s="34"/>
      <c r="H50" s="224">
        <f t="shared" si="16"/>
        <v>43252</v>
      </c>
      <c r="I50" s="77"/>
      <c r="J50" s="278">
        <f>'Sch 40 Migration Weather Adj.'!C66</f>
        <v>27309.827000000001</v>
      </c>
      <c r="K50" s="278">
        <f>'Sch 40 Migration Weather Adj.'!D66</f>
        <v>27190.187886630079</v>
      </c>
      <c r="L50" s="278">
        <f t="shared" si="19"/>
        <v>-119.63911336992169</v>
      </c>
      <c r="N50" s="278">
        <v>8207.9652699999988</v>
      </c>
      <c r="O50" s="278">
        <v>8171.7635611658325</v>
      </c>
      <c r="P50" s="278">
        <f t="shared" si="17"/>
        <v>-36.201708834166311</v>
      </c>
      <c r="Q50" s="278"/>
      <c r="R50" s="278">
        <v>387.72</v>
      </c>
      <c r="S50" s="278">
        <v>386.98584671727775</v>
      </c>
      <c r="T50" s="278">
        <f t="shared" si="18"/>
        <v>-0.73415328272227498</v>
      </c>
      <c r="U50" s="77"/>
    </row>
    <row r="51" spans="1:21">
      <c r="A51" s="56"/>
      <c r="B51" s="34"/>
      <c r="C51" s="34"/>
      <c r="D51" s="34"/>
      <c r="E51" s="34"/>
      <c r="H51" s="224">
        <f t="shared" si="16"/>
        <v>43282</v>
      </c>
      <c r="I51" s="77"/>
      <c r="J51" s="278">
        <f>'Sch 40 Migration Weather Adj.'!C67</f>
        <v>29390.128000000001</v>
      </c>
      <c r="K51" s="278">
        <f>'Sch 40 Migration Weather Adj.'!D67</f>
        <v>28550.127058388924</v>
      </c>
      <c r="L51" s="278">
        <f t="shared" si="19"/>
        <v>-840.000941611077</v>
      </c>
      <c r="N51" s="278">
        <v>6333.3257949999997</v>
      </c>
      <c r="O51" s="278">
        <v>6020.139461885834</v>
      </c>
      <c r="P51" s="278">
        <f t="shared" si="17"/>
        <v>-313.18633311416579</v>
      </c>
      <c r="Q51" s="278"/>
      <c r="R51" s="278">
        <v>316.26</v>
      </c>
      <c r="S51" s="278">
        <v>309.90873145594446</v>
      </c>
      <c r="T51" s="278">
        <f t="shared" si="18"/>
        <v>-6.3512685440555288</v>
      </c>
      <c r="U51" s="77"/>
    </row>
    <row r="52" spans="1:21">
      <c r="A52" s="56"/>
      <c r="B52" s="34"/>
      <c r="C52" s="34"/>
      <c r="D52" s="34"/>
      <c r="E52" s="34"/>
      <c r="H52" s="224">
        <f t="shared" si="16"/>
        <v>43313</v>
      </c>
      <c r="I52" s="77"/>
      <c r="J52" s="278">
        <f>'Sch 40 Migration Weather Adj.'!C68</f>
        <v>31555.887999999999</v>
      </c>
      <c r="K52" s="278">
        <f>'Sch 40 Migration Weather Adj.'!D68</f>
        <v>31061.730158659415</v>
      </c>
      <c r="L52" s="278">
        <f t="shared" si="19"/>
        <v>-494.15784134058413</v>
      </c>
      <c r="N52" s="278">
        <v>5565.0993349999999</v>
      </c>
      <c r="O52" s="278">
        <v>5401.6825063993338</v>
      </c>
      <c r="P52" s="278">
        <f t="shared" si="17"/>
        <v>-163.41682860066612</v>
      </c>
      <c r="Q52" s="278"/>
      <c r="R52" s="278">
        <v>285.14</v>
      </c>
      <c r="S52" s="278">
        <v>281.80446555922219</v>
      </c>
      <c r="T52" s="278">
        <f t="shared" si="18"/>
        <v>-3.335534440777792</v>
      </c>
      <c r="U52" s="77"/>
    </row>
    <row r="53" spans="1:21">
      <c r="H53" s="224">
        <f t="shared" si="16"/>
        <v>43344</v>
      </c>
      <c r="I53" s="77"/>
      <c r="J53" s="278">
        <f>'Sch 40 Migration Weather Adj.'!C69</f>
        <v>30000.577000000001</v>
      </c>
      <c r="K53" s="278">
        <f>'Sch 40 Migration Weather Adj.'!D69</f>
        <v>30077.867822852579</v>
      </c>
      <c r="L53" s="278">
        <f t="shared" si="19"/>
        <v>77.290822852577548</v>
      </c>
      <c r="N53" s="278">
        <v>5746.4796399999996</v>
      </c>
      <c r="O53" s="278">
        <v>5771.4554030173331</v>
      </c>
      <c r="P53" s="278">
        <f t="shared" si="17"/>
        <v>24.97576301733352</v>
      </c>
      <c r="Q53" s="278"/>
      <c r="R53" s="278">
        <v>298.26</v>
      </c>
      <c r="S53" s="278">
        <v>298.76978542688892</v>
      </c>
      <c r="T53" s="278">
        <f t="shared" si="18"/>
        <v>0.50978542688892503</v>
      </c>
      <c r="U53" s="77"/>
    </row>
    <row r="54" spans="1:21">
      <c r="H54" s="224">
        <f t="shared" si="16"/>
        <v>43374</v>
      </c>
      <c r="I54" s="77"/>
      <c r="J54" s="278">
        <f>'Sch 40 Migration Weather Adj.'!C70</f>
        <v>17504.791000000001</v>
      </c>
      <c r="K54" s="278">
        <f>'Sch 40 Migration Weather Adj.'!D70</f>
        <v>17561.251389233144</v>
      </c>
      <c r="L54" s="278">
        <f t="shared" si="19"/>
        <v>56.46038923314336</v>
      </c>
      <c r="N54" s="278">
        <v>7995.505725</v>
      </c>
      <c r="O54" s="278">
        <v>8125.2624549187503</v>
      </c>
      <c r="P54" s="278">
        <f t="shared" si="17"/>
        <v>129.75672991875035</v>
      </c>
      <c r="Q54" s="278"/>
      <c r="R54" s="278">
        <v>353.44</v>
      </c>
      <c r="S54" s="278">
        <v>358.75634137555562</v>
      </c>
      <c r="T54" s="278">
        <f t="shared" si="18"/>
        <v>5.3163413755556235</v>
      </c>
      <c r="U54" s="77"/>
    </row>
    <row r="55" spans="1:21">
      <c r="H55" s="224">
        <f t="shared" si="16"/>
        <v>43405</v>
      </c>
      <c r="I55" s="77"/>
      <c r="J55" s="278">
        <f>'Sch 40 Migration Weather Adj.'!C71</f>
        <v>35966.337</v>
      </c>
      <c r="K55" s="278">
        <f>'Sch 40 Migration Weather Adj.'!D71</f>
        <v>36213.003418887114</v>
      </c>
      <c r="L55" s="278">
        <f t="shared" si="19"/>
        <v>246.66641888711456</v>
      </c>
      <c r="N55" s="278">
        <v>9194.1588350000002</v>
      </c>
      <c r="O55" s="278">
        <v>10099.571836292311</v>
      </c>
      <c r="P55" s="278">
        <f t="shared" si="17"/>
        <v>905.41300129231058</v>
      </c>
      <c r="Q55" s="278"/>
      <c r="R55" s="278">
        <v>515.476</v>
      </c>
      <c r="S55" s="278">
        <v>543.74843733811099</v>
      </c>
      <c r="T55" s="278">
        <f t="shared" si="18"/>
        <v>28.27243733811099</v>
      </c>
      <c r="U55" s="77"/>
    </row>
    <row r="56" spans="1:21">
      <c r="H56" s="226">
        <f t="shared" si="16"/>
        <v>43435</v>
      </c>
      <c r="I56" s="77"/>
      <c r="J56" s="279">
        <f>'Sch 40 Migration Weather Adj.'!C72</f>
        <v>28404.613000000001</v>
      </c>
      <c r="K56" s="279">
        <f>'Sch 40 Migration Weather Adj.'!D72</f>
        <v>28641.915342897297</v>
      </c>
      <c r="L56" s="279">
        <f t="shared" si="19"/>
        <v>237.3023428972956</v>
      </c>
      <c r="N56" s="279">
        <v>12572.569045</v>
      </c>
      <c r="O56" s="279">
        <v>13941.74482969275</v>
      </c>
      <c r="P56" s="279">
        <f t="shared" si="17"/>
        <v>1369.1757846927503</v>
      </c>
      <c r="Q56" s="278"/>
      <c r="R56" s="279">
        <v>768.62400000000002</v>
      </c>
      <c r="S56" s="279">
        <v>803.57154918188905</v>
      </c>
      <c r="T56" s="279">
        <f t="shared" si="18"/>
        <v>34.94754918188903</v>
      </c>
      <c r="U56" s="77"/>
    </row>
    <row r="57" spans="1:21">
      <c r="H57" s="224" t="s">
        <v>19</v>
      </c>
      <c r="I57" s="77"/>
      <c r="J57" s="77">
        <f>SUM(J45:J56)</f>
        <v>351393.39600000001</v>
      </c>
      <c r="K57" s="77">
        <f t="shared" ref="K57:L57" si="20">SUM(K45:K56)</f>
        <v>350708.00818633253</v>
      </c>
      <c r="L57" s="77">
        <f t="shared" si="20"/>
        <v>-685.38781366745025</v>
      </c>
      <c r="N57" s="77">
        <f>SUM(N45:N56)</f>
        <v>120139.33994999999</v>
      </c>
      <c r="O57" s="77">
        <f>SUM(O45:O56)</f>
        <v>123544.01982655066</v>
      </c>
      <c r="P57" s="77">
        <f>SUM(P45:P56)</f>
        <v>3404.6798765506774</v>
      </c>
      <c r="Q57" s="77"/>
      <c r="R57" s="77">
        <f>SUM(R45:R56)</f>
        <v>7130.88</v>
      </c>
      <c r="S57" s="77">
        <f>SUM(S45:S56)</f>
        <v>7244.3054843382797</v>
      </c>
      <c r="T57" s="77">
        <f>SUM(T45:T56)</f>
        <v>113.42548433827801</v>
      </c>
      <c r="U57" s="77"/>
    </row>
    <row r="59" spans="1:21">
      <c r="J59" s="228" t="s">
        <v>19</v>
      </c>
      <c r="K59" s="229"/>
      <c r="L59" s="229"/>
    </row>
    <row r="60" spans="1:21">
      <c r="J60" s="231" t="s">
        <v>206</v>
      </c>
      <c r="K60" s="232"/>
      <c r="L60" s="232"/>
      <c r="T60" s="77"/>
    </row>
    <row r="61" spans="1:21">
      <c r="H61" s="223" t="s">
        <v>55</v>
      </c>
      <c r="J61" s="223" t="s">
        <v>110</v>
      </c>
      <c r="K61" s="223" t="s">
        <v>117</v>
      </c>
      <c r="L61" s="223" t="s">
        <v>118</v>
      </c>
    </row>
    <row r="62" spans="1:21">
      <c r="H62" s="224">
        <f t="shared" ref="H62:H73" si="21">H45</f>
        <v>43101</v>
      </c>
      <c r="J62" s="278">
        <f>J11+N11+R11+J28+N28+R28+J45+N45+R45</f>
        <v>2117768.4992320002</v>
      </c>
      <c r="K62" s="278">
        <f>K11+O11+S11+K28+O28+S28+K45+O45+S45</f>
        <v>2211605.0127320206</v>
      </c>
      <c r="L62" s="278">
        <f>L11+P11+T11+L28+P28+T28+L45+P45+T45</f>
        <v>93836.513500020956</v>
      </c>
      <c r="Q62" s="278"/>
    </row>
    <row r="63" spans="1:21">
      <c r="H63" s="224">
        <f t="shared" si="21"/>
        <v>43132</v>
      </c>
      <c r="J63" s="278">
        <f t="shared" ref="J63:L63" si="22">J12+N12+R12+J29+N29+R29+J46+N46+R46</f>
        <v>1966820.0154419995</v>
      </c>
      <c r="K63" s="278">
        <f t="shared" si="22"/>
        <v>1910362.6419264956</v>
      </c>
      <c r="L63" s="278">
        <f t="shared" si="22"/>
        <v>-56457.37351550426</v>
      </c>
      <c r="Q63" s="278"/>
    </row>
    <row r="64" spans="1:21">
      <c r="H64" s="224">
        <f t="shared" si="21"/>
        <v>43160</v>
      </c>
      <c r="J64" s="278">
        <f t="shared" ref="J64:L64" si="23">J13+N13+R13+J30+N30+R30+J47+N47+R47</f>
        <v>1943634.1985739998</v>
      </c>
      <c r="K64" s="278">
        <f t="shared" si="23"/>
        <v>1949460.3565087842</v>
      </c>
      <c r="L64" s="278">
        <f t="shared" si="23"/>
        <v>5826.1579347846391</v>
      </c>
      <c r="Q64" s="278"/>
    </row>
    <row r="65" spans="8:17">
      <c r="H65" s="224">
        <f t="shared" si="21"/>
        <v>43191</v>
      </c>
      <c r="J65" s="278">
        <f t="shared" ref="J65:L65" si="24">J14+N14+R14+J31+N31+R31+J48+N48+R48</f>
        <v>1699164.0937230003</v>
      </c>
      <c r="K65" s="278">
        <f t="shared" si="24"/>
        <v>1718136.0180731823</v>
      </c>
      <c r="L65" s="278">
        <f t="shared" si="24"/>
        <v>18971.924350182006</v>
      </c>
      <c r="Q65" s="278"/>
    </row>
    <row r="66" spans="8:17">
      <c r="H66" s="224">
        <f t="shared" si="21"/>
        <v>43221</v>
      </c>
      <c r="J66" s="278">
        <f t="shared" ref="J66:L66" si="25">J15+N15+R15+J32+N32+R32+J49+N49+R49</f>
        <v>1490892.2272010001</v>
      </c>
      <c r="K66" s="278">
        <f t="shared" si="25"/>
        <v>1542507.0703846563</v>
      </c>
      <c r="L66" s="278">
        <f t="shared" si="25"/>
        <v>51614.843183656187</v>
      </c>
      <c r="Q66" s="278"/>
    </row>
    <row r="67" spans="8:17">
      <c r="H67" s="224">
        <f t="shared" si="21"/>
        <v>43252</v>
      </c>
      <c r="J67" s="278">
        <f t="shared" ref="J67:L67" si="26">J16+N16+R16+J33+N33+R33+J50+N50+R50</f>
        <v>1402796.9860940001</v>
      </c>
      <c r="K67" s="278">
        <f t="shared" si="26"/>
        <v>1393796.2647921757</v>
      </c>
      <c r="L67" s="278">
        <f t="shared" si="26"/>
        <v>-9000.721301824462</v>
      </c>
      <c r="Q67" s="278"/>
    </row>
    <row r="68" spans="8:17">
      <c r="H68" s="224">
        <f t="shared" si="21"/>
        <v>43282</v>
      </c>
      <c r="J68" s="278">
        <f t="shared" ref="J68:L68" si="27">J17+N17+R17+J34+N34+R34+J51+N51+R51</f>
        <v>1444305.0904159998</v>
      </c>
      <c r="K68" s="278">
        <f t="shared" si="27"/>
        <v>1366445.615433343</v>
      </c>
      <c r="L68" s="278">
        <f t="shared" si="27"/>
        <v>-77859.474982657164</v>
      </c>
      <c r="Q68" s="278"/>
    </row>
    <row r="69" spans="8:17">
      <c r="H69" s="224">
        <f t="shared" si="21"/>
        <v>43313</v>
      </c>
      <c r="J69" s="278">
        <f t="shared" ref="J69:L69" si="28">J18+N18+R18+J35+N35+R35+J52+N52+R52</f>
        <v>1582213.5467269998</v>
      </c>
      <c r="K69" s="278">
        <f t="shared" si="28"/>
        <v>1541279.5864041082</v>
      </c>
      <c r="L69" s="278">
        <f t="shared" si="28"/>
        <v>-40933.960322891602</v>
      </c>
      <c r="Q69" s="278"/>
    </row>
    <row r="70" spans="8:17">
      <c r="H70" s="224">
        <f t="shared" si="21"/>
        <v>43344</v>
      </c>
      <c r="J70" s="278">
        <f t="shared" ref="J70:L70" si="29">J19+N19+R19+J36+N36+R36+J53+N53+R53</f>
        <v>1463713.5275370001</v>
      </c>
      <c r="K70" s="278">
        <f t="shared" si="29"/>
        <v>1469977.7426955875</v>
      </c>
      <c r="L70" s="278">
        <f t="shared" si="29"/>
        <v>6264.2151585874808</v>
      </c>
      <c r="Q70" s="278"/>
    </row>
    <row r="71" spans="8:17">
      <c r="H71" s="224">
        <f t="shared" si="21"/>
        <v>43374</v>
      </c>
      <c r="J71" s="278">
        <f t="shared" ref="J71:L71" si="30">J20+N20+R20+J37+N37+R37+J54+N54+R54</f>
        <v>1419110.7897040001</v>
      </c>
      <c r="K71" s="278">
        <f t="shared" si="30"/>
        <v>1431038.0517473032</v>
      </c>
      <c r="L71" s="278">
        <f t="shared" si="30"/>
        <v>11927.262043303223</v>
      </c>
      <c r="Q71" s="278"/>
    </row>
    <row r="72" spans="8:17">
      <c r="H72" s="224">
        <f t="shared" si="21"/>
        <v>43405</v>
      </c>
      <c r="J72" s="278">
        <f t="shared" ref="J72:L72" si="31">J21+N21+R21+J38+N38+R38+J55+N55+R55</f>
        <v>1590358.4866519999</v>
      </c>
      <c r="K72" s="278">
        <f t="shared" si="31"/>
        <v>1659759.6181684327</v>
      </c>
      <c r="L72" s="278">
        <f t="shared" si="31"/>
        <v>69401.131516432899</v>
      </c>
      <c r="Q72" s="278"/>
    </row>
    <row r="73" spans="8:17">
      <c r="H73" s="226">
        <f t="shared" si="21"/>
        <v>43435</v>
      </c>
      <c r="J73" s="279">
        <f t="shared" ref="J73:L73" si="32">J22+N22+R22+J39+N39+R39+J56+N56+R56</f>
        <v>1912905.138671</v>
      </c>
      <c r="K73" s="279">
        <f t="shared" si="32"/>
        <v>2006770.8585626197</v>
      </c>
      <c r="L73" s="279">
        <f t="shared" si="32"/>
        <v>93865.719891619432</v>
      </c>
      <c r="Q73" s="278"/>
    </row>
    <row r="74" spans="8:17">
      <c r="H74" s="224" t="s">
        <v>19</v>
      </c>
      <c r="J74" s="77">
        <f>SUM(J62:J73)</f>
        <v>20033682.599972997</v>
      </c>
      <c r="K74" s="77">
        <f t="shared" ref="K74:L74" si="33">SUM(K62:K73)</f>
        <v>20201138.837428708</v>
      </c>
      <c r="L74" s="77">
        <f t="shared" si="33"/>
        <v>167456.23745570934</v>
      </c>
    </row>
    <row r="77" spans="8:17">
      <c r="J77" s="381"/>
    </row>
  </sheetData>
  <mergeCells count="2">
    <mergeCell ref="H5:T5"/>
    <mergeCell ref="H6:T6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B49" sqref="B49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Sheet_SC_Migrated'!B12</f>
        <v>43101</v>
      </c>
      <c r="D5" s="21">
        <f>'Summary Sheet_SC_Migrated'!B13</f>
        <v>43132</v>
      </c>
      <c r="E5" s="21">
        <f>'Summary Sheet_SC_Migrated'!B14</f>
        <v>43160</v>
      </c>
      <c r="F5" s="21">
        <f>'Summary Sheet_SC_Migrated'!B15</f>
        <v>43191</v>
      </c>
      <c r="G5" s="21">
        <f>'Summary Sheet_SC_Migrated'!B16</f>
        <v>43221</v>
      </c>
      <c r="H5" s="21">
        <f>'Summary Sheet_SC_Migrated'!B17</f>
        <v>43252</v>
      </c>
      <c r="I5" s="21">
        <f>'Summary Sheet_SC_Migrated'!B18</f>
        <v>43282</v>
      </c>
      <c r="J5" s="21">
        <f>'Summary Sheet_SC_Migrated'!B19</f>
        <v>43313</v>
      </c>
      <c r="K5" s="21">
        <f>'Summary Sheet_SC_Migrated'!B20</f>
        <v>43344</v>
      </c>
      <c r="L5" s="21">
        <f>'Summary Sheet_SC_Migrated'!B21</f>
        <v>43374</v>
      </c>
      <c r="M5" s="21">
        <f>'Summary Sheet_SC_Migrated'!B22</f>
        <v>43405</v>
      </c>
      <c r="N5" s="21">
        <f>'Summary Sheet_SC_Migrated'!B23</f>
        <v>43435</v>
      </c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3"/>
    </row>
    <row r="7" spans="1:14" s="5" customFormat="1">
      <c r="A7" s="14"/>
      <c r="B7" s="15"/>
      <c r="C7" s="281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</row>
    <row r="8" spans="1:14">
      <c r="A8" s="351" t="s">
        <v>10</v>
      </c>
      <c r="B8" s="7"/>
      <c r="C8" s="282"/>
      <c r="D8" s="7"/>
      <c r="E8" s="7"/>
      <c r="F8" s="7"/>
      <c r="G8" s="7"/>
      <c r="H8" s="7"/>
      <c r="I8" s="7"/>
      <c r="J8" s="7"/>
      <c r="K8" s="7"/>
      <c r="L8" s="7"/>
      <c r="M8" s="7"/>
      <c r="N8" s="8"/>
    </row>
    <row r="9" spans="1:14">
      <c r="A9" s="9" t="s">
        <v>0</v>
      </c>
      <c r="B9" s="18">
        <f>SUM(C9:N9)</f>
        <v>163135972.98435408</v>
      </c>
      <c r="C9" s="283">
        <f>'Temp Adj. by Schedule'!B9</f>
        <v>74793782.059039772</v>
      </c>
      <c r="D9" s="22">
        <f>'Temp Adj. by Schedule'!C9</f>
        <v>-44869101.567900084</v>
      </c>
      <c r="E9" s="22">
        <f>'Temp Adj. by Schedule'!D9</f>
        <v>4394677.0337621355</v>
      </c>
      <c r="F9" s="22">
        <f>'Temp Adj. by Schedule'!E9</f>
        <v>16344914.743105689</v>
      </c>
      <c r="G9" s="22">
        <f>'Temp Adj. by Schedule'!F9</f>
        <v>49052692.87684124</v>
      </c>
      <c r="H9" s="22">
        <f>'Temp Adj. by Schedule'!G9</f>
        <v>-5826662.2558389846</v>
      </c>
      <c r="I9" s="22">
        <f>'Temp Adj. by Schedule'!H9</f>
        <v>-50428483.718085885</v>
      </c>
      <c r="J9" s="22">
        <f>'Temp Adj. by Schedule'!I9</f>
        <v>-26511573.558548819</v>
      </c>
      <c r="K9" s="22">
        <f>'Temp Adj. by Schedule'!J9</f>
        <v>4058904.9878357491</v>
      </c>
      <c r="L9" s="22">
        <f>'Temp Adj. by Schedule'!K9</f>
        <v>10084461.026951266</v>
      </c>
      <c r="M9" s="22">
        <f>'Temp Adj. by Schedule'!L9</f>
        <v>57210928.578655943</v>
      </c>
      <c r="N9" s="99">
        <f>'Temp Adj. by Schedule'!M9</f>
        <v>74831432.778536066</v>
      </c>
    </row>
    <row r="10" spans="1:14">
      <c r="A10" s="336" t="s">
        <v>157</v>
      </c>
      <c r="B10" s="18">
        <f t="shared" ref="B10:B17" si="0">SUM(C10:N10)</f>
        <v>9995011.420415869</v>
      </c>
      <c r="C10" s="283">
        <f>'Sales Adj. load only'!C9+INDEX('Sch 40 Migration Weather Adj.'!$E$43:$E$54,1,0)*1000</f>
        <v>9648647.2926089875</v>
      </c>
      <c r="D10" s="22">
        <f>'Sales Adj. load only'!D9+INDEX('Sch 40 Migration Weather Adj.'!$E$43:$E$54,2,0)*1000</f>
        <v>-5854672.9041317124</v>
      </c>
      <c r="E10" s="22">
        <f>'Sales Adj. load only'!E9+INDEX('Sch 40 Migration Weather Adj.'!$E$43:$E$54,3,0)*1000</f>
        <v>764019.30537042685</v>
      </c>
      <c r="F10" s="22">
        <f>'Sales Adj. load only'!F9+INDEX('Sch 40 Migration Weather Adj.'!$E$43:$E$54,4,0)*1000</f>
        <v>1465954.0178751948</v>
      </c>
      <c r="G10" s="22">
        <f>'Sales Adj. load only'!G9+INDEX('Sch 40 Migration Weather Adj.'!$E$43:$E$54,5,0)*1000</f>
        <v>2594792.3297397518</v>
      </c>
      <c r="H10" s="22">
        <f>'Sales Adj. load only'!H9+INDEX('Sch 40 Migration Weather Adj.'!$E$43:$E$54,6,0)*1000</f>
        <v>-1129722.1403942029</v>
      </c>
      <c r="I10" s="22">
        <f>'Sales Adj. load only'!I9+INDEX('Sch 40 Migration Weather Adj.'!$E$43:$E$54,7,0)*1000</f>
        <v>-9781385.0007309094</v>
      </c>
      <c r="J10" s="22">
        <f>'Sales Adj. load only'!J9+INDEX('Sch 40 Migration Weather Adj.'!$E$43:$E$54,8,0)*1000</f>
        <v>-5143365.8191399975</v>
      </c>
      <c r="K10" s="22">
        <f>'Sales Adj. load only'!K9+INDEX('Sch 40 Migration Weather Adj.'!$E$43:$E$54,9,0)*1000</f>
        <v>787182.47220079612</v>
      </c>
      <c r="L10" s="22">
        <f>'Sales Adj. load only'!L9+INDEX('Sch 40 Migration Weather Adj.'!$E$43:$E$54,10,0)*1000</f>
        <v>867848.78447747626</v>
      </c>
      <c r="M10" s="22">
        <f>'Sales Adj. load only'!M9+INDEX('Sch 40 Migration Weather Adj.'!$E$43:$E$54,11,0)*1000</f>
        <v>6221720.9932622267</v>
      </c>
      <c r="N10" s="99">
        <f>'Sales Adj. load only'!N9+INDEX('Sch 40 Migration Weather Adj.'!$E$43:$E$54,12,0)*1000</f>
        <v>9553992.0892778318</v>
      </c>
    </row>
    <row r="11" spans="1:14">
      <c r="A11" s="336" t="s">
        <v>160</v>
      </c>
      <c r="B11" s="18">
        <f t="shared" si="0"/>
        <v>-749525.23755413201</v>
      </c>
      <c r="C11" s="283">
        <f>'Sales Adj. load only'!C10+INDEX('Sch 40 Migration Weather Adj.'!$I$43:$I$54,1,0)*1000</f>
        <v>6205877.5980694313</v>
      </c>
      <c r="D11" s="22">
        <f>'Sales Adj. load only'!D10+INDEX('Sch 40 Migration Weather Adj.'!$I$43:$I$54,2,0)*1000</f>
        <v>-3843036.1910568704</v>
      </c>
      <c r="E11" s="22">
        <f>'Sales Adj. load only'!E10+INDEX('Sch 40 Migration Weather Adj.'!$I$43:$I$54,3,0)*1000</f>
        <v>610796.61469383247</v>
      </c>
      <c r="F11" s="22">
        <f>'Sales Adj. load only'!F10+INDEX('Sch 40 Migration Weather Adj.'!$I$43:$I$54,4,0)*1000</f>
        <v>624487.3603531844</v>
      </c>
      <c r="G11" s="22">
        <f>'Sales Adj. load only'!G10+INDEX('Sch 40 Migration Weather Adj.'!$I$43:$I$54,5,0)*1000</f>
        <v>-457557.65578184271</v>
      </c>
      <c r="H11" s="22">
        <f>'Sales Adj. load only'!H10+INDEX('Sch 40 Migration Weather Adj.'!$I$43:$I$54,6,0)*1000</f>
        <v>-1047986.5228319865</v>
      </c>
      <c r="I11" s="22">
        <f>'Sales Adj. load only'!I10+INDEX('Sch 40 Migration Weather Adj.'!$I$43:$I$54,7,0)*1000</f>
        <v>-9026086.9297146872</v>
      </c>
      <c r="J11" s="22">
        <f>'Sales Adj. load only'!J10+INDEX('Sch 40 Migration Weather Adj.'!$I$43:$I$54,8,0)*1000</f>
        <v>-4742241.8650092063</v>
      </c>
      <c r="K11" s="22">
        <f>'Sales Adj. load only'!K10+INDEX('Sch 40 Migration Weather Adj.'!$I$43:$I$54,9,0)*1000</f>
        <v>725062.03600174922</v>
      </c>
      <c r="L11" s="22">
        <f>'Sales Adj. load only'!L10+INDEX('Sch 40 Migration Weather Adj.'!$I$43:$I$54,10,0)*1000</f>
        <v>338219.32557438506</v>
      </c>
      <c r="M11" s="22">
        <f>'Sales Adj. load only'!M10+INDEX('Sch 40 Migration Weather Adj.'!$I$43:$I$54,11,0)*1000</f>
        <v>3517632.3396851621</v>
      </c>
      <c r="N11" s="99">
        <f>'Sales Adj. load only'!N10+INDEX('Sch 40 Migration Weather Adj.'!$I$43:$I$54,12,0)*1000</f>
        <v>6345308.6524627162</v>
      </c>
    </row>
    <row r="12" spans="1:14">
      <c r="A12" s="336" t="s">
        <v>158</v>
      </c>
      <c r="B12" s="18">
        <f t="shared" si="0"/>
        <v>-6669203.2470430685</v>
      </c>
      <c r="C12" s="283">
        <f>'Sales Adj. load only'!C11+INDEX('Sch 40 Migration Weather Adj.'!$M$43:$M$54,1,0)*1000</f>
        <v>709428.50099797267</v>
      </c>
      <c r="D12" s="22">
        <f>'Sales Adj. load only'!D11+INDEX('Sch 40 Migration Weather Adj.'!$M$43:$M$54,2,0)*1000</f>
        <v>-415028.75124434172</v>
      </c>
      <c r="E12" s="22">
        <f>'Sales Adj. load only'!E11+INDEX('Sch 40 Migration Weather Adj.'!$M$43:$M$54,3,0)*1000</f>
        <v>-22103.506788182734</v>
      </c>
      <c r="F12" s="22">
        <f>'Sales Adj. load only'!F11+INDEX('Sch 40 Migration Weather Adj.'!$M$43:$M$54,4,0)*1000</f>
        <v>125806.82245524465</v>
      </c>
      <c r="G12" s="22">
        <f>'Sales Adj. load only'!G11+INDEX('Sch 40 Migration Weather Adj.'!$M$43:$M$54,5,0)*1000</f>
        <v>-337202.05395754275</v>
      </c>
      <c r="H12" s="22">
        <f>'Sales Adj. load only'!H11+INDEX('Sch 40 Migration Weather Adj.'!$M$43:$M$54,6,0)*1000</f>
        <v>-611225.84064756939</v>
      </c>
      <c r="I12" s="22">
        <f>'Sales Adj. load only'!I11+INDEX('Sch 40 Migration Weather Adj.'!$M$43:$M$54,7,0)*1000</f>
        <v>-5323587.5478074476</v>
      </c>
      <c r="J12" s="22">
        <f>'Sales Adj. load only'!J11+INDEX('Sch 40 Migration Weather Adj.'!$M$43:$M$54,8,0)*1000</f>
        <v>-2800382.6042212881</v>
      </c>
      <c r="K12" s="22">
        <f>'Sales Adj. load only'!K11+INDEX('Sch 40 Migration Weather Adj.'!$M$43:$M$54,9,0)*1000</f>
        <v>428199.48296251893</v>
      </c>
      <c r="L12" s="22">
        <f>'Sales Adj. load only'!L11+INDEX('Sch 40 Migration Weather Adj.'!$M$43:$M$54,10,0)*1000</f>
        <v>215058.39901011868</v>
      </c>
      <c r="M12" s="22">
        <f>'Sales Adj. load only'!M11+INDEX('Sch 40 Migration Weather Adj.'!$M$43:$M$54,11,0)*1000</f>
        <v>629433.46697847475</v>
      </c>
      <c r="N12" s="99">
        <f>'Sales Adj. load only'!N11+INDEX('Sch 40 Migration Weather Adj.'!$M$43:$M$54,12,0)*1000</f>
        <v>732400.38521897478</v>
      </c>
    </row>
    <row r="13" spans="1:14">
      <c r="A13" s="9" t="s">
        <v>4</v>
      </c>
      <c r="B13" s="18">
        <f t="shared" si="0"/>
        <v>0</v>
      </c>
      <c r="C13" s="283">
        <f>'Temp Adj. by Schedule'!B27</f>
        <v>0</v>
      </c>
      <c r="D13" s="22">
        <f>'Temp Adj. by Schedule'!C27</f>
        <v>0</v>
      </c>
      <c r="E13" s="22">
        <f>'Temp Adj. by Schedule'!D27</f>
        <v>0</v>
      </c>
      <c r="F13" s="22">
        <f>'Temp Adj. by Schedule'!E27</f>
        <v>0</v>
      </c>
      <c r="G13" s="22">
        <f>'Temp Adj. by Schedule'!F27</f>
        <v>0</v>
      </c>
      <c r="H13" s="22">
        <f>'Temp Adj. by Schedule'!G27</f>
        <v>0</v>
      </c>
      <c r="I13" s="22">
        <f>'Temp Adj. by Schedule'!H27</f>
        <v>0</v>
      </c>
      <c r="J13" s="22">
        <f>'Temp Adj. by Schedule'!I27</f>
        <v>0</v>
      </c>
      <c r="K13" s="22">
        <f>'Temp Adj. by Schedule'!J27</f>
        <v>0</v>
      </c>
      <c r="L13" s="22">
        <f>'Temp Adj. by Schedule'!K27</f>
        <v>0</v>
      </c>
      <c r="M13" s="22">
        <f>'Temp Adj. by Schedule'!L27</f>
        <v>0</v>
      </c>
      <c r="N13" s="99">
        <f>'Temp Adj. by Schedule'!M27</f>
        <v>0</v>
      </c>
    </row>
    <row r="14" spans="1:14">
      <c r="A14" s="336" t="s">
        <v>159</v>
      </c>
      <c r="B14" s="18">
        <f t="shared" si="0"/>
        <v>-1088736.0116855022</v>
      </c>
      <c r="C14" s="283">
        <f>'Sales Adj. load only'!C13+INDEX('Sch 40 Migration Weather Adj.'!$Q$43:$Q$54,1,0)*1000</f>
        <v>760152.72438923758</v>
      </c>
      <c r="D14" s="22">
        <f>'Sales Adj. load only'!D13+INDEX('Sch 40 Migration Weather Adj.'!$Q$43:$Q$54,2,0)*1000</f>
        <v>-459923.09842176654</v>
      </c>
      <c r="E14" s="22">
        <f>'Sales Adj. load only'!E13+INDEX('Sch 40 Migration Weather Adj.'!$Q$43:$Q$54,3,0)*1000</f>
        <v>-19721.638291000767</v>
      </c>
      <c r="F14" s="22">
        <f>'Sales Adj. load only'!F13+INDEX('Sch 40 Migration Weather Adj.'!$Q$43:$Q$54,4,0)*1000</f>
        <v>136084.83309370792</v>
      </c>
      <c r="G14" s="22">
        <f>'Sales Adj. load only'!G13+INDEX('Sch 40 Migration Weather Adj.'!$Q$43:$Q$54,5,0)*1000</f>
        <v>144644.80407090741</v>
      </c>
      <c r="H14" s="22">
        <f>'Sales Adj. load only'!H13+INDEX('Sch 40 Migration Weather Adj.'!$Q$43:$Q$54,6,0)*1000</f>
        <v>-228549.56662495167</v>
      </c>
      <c r="I14" s="22">
        <f>'Sales Adj. load only'!I13+INDEX('Sch 40 Migration Weather Adj.'!$Q$43:$Q$54,7,0)*1000</f>
        <v>-2140393.2430488658</v>
      </c>
      <c r="J14" s="22">
        <f>'Sales Adj. load only'!J13+INDEX('Sch 40 Migration Weather Adj.'!$Q$43:$Q$54,8,0)*1000</f>
        <v>-1075486.2715903288</v>
      </c>
      <c r="K14" s="22">
        <f>'Sales Adj. load only'!K13+INDEX('Sch 40 Migration Weather Adj.'!$Q$43:$Q$54,9,0)*1000</f>
        <v>162089.80828982804</v>
      </c>
      <c r="L14" s="22">
        <f>'Sales Adj. load only'!L13+INDEX('Sch 40 Migration Weather Adj.'!$Q$43:$Q$54,10,0)*1000</f>
        <v>230141.0467624031</v>
      </c>
      <c r="M14" s="22">
        <f>'Sales Adj. load only'!M13+INDEX('Sch 40 Migration Weather Adj.'!$Q$43:$Q$54,11,0)*1000</f>
        <v>641064.28033346683</v>
      </c>
      <c r="N14" s="99">
        <f>'Sales Adj. load only'!N13+INDEX('Sch 40 Migration Weather Adj.'!$Q$43:$Q$54,12,0)*1000</f>
        <v>761160.3093518602</v>
      </c>
    </row>
    <row r="15" spans="1:14">
      <c r="A15" s="10" t="s">
        <v>188</v>
      </c>
      <c r="B15" s="18">
        <f t="shared" si="0"/>
        <v>-685387.81366745022</v>
      </c>
      <c r="C15" s="283">
        <f>INDEX('Sch 40 Migration Weather Adj.'!$E$61:$E$72,1,0)*1000</f>
        <v>253014.92746568692</v>
      </c>
      <c r="D15" s="22">
        <f>INDEX('Sch 40 Migration Weather Adj.'!$E$61:$E$72,2,0)*1000</f>
        <v>-134490.53706843551</v>
      </c>
      <c r="E15" s="22">
        <f>INDEX('Sch 40 Migration Weather Adj.'!$E$61:$E$72,3,0)*1000</f>
        <v>-12936.515725785284</v>
      </c>
      <c r="F15" s="22">
        <f>INDEX('Sch 40 Migration Weather Adj.'!$E$61:$E$72,4,0)*1000</f>
        <v>43709.929431552155</v>
      </c>
      <c r="G15" s="22">
        <f>INDEX('Sch 40 Migration Weather Adj.'!$E$61:$E$72,5,0)*1000</f>
        <v>1392.3046809832158</v>
      </c>
      <c r="H15" s="22">
        <f>INDEX('Sch 40 Migration Weather Adj.'!$E$61:$E$72,6,0)*1000</f>
        <v>-119639.11336992169</v>
      </c>
      <c r="I15" s="22">
        <f>INDEX('Sch 40 Migration Weather Adj.'!$E$61:$E$72,7,0)*1000</f>
        <v>-840000.94161107694</v>
      </c>
      <c r="J15" s="22">
        <f>INDEX('Sch 40 Migration Weather Adj.'!$E$61:$E$72,8,0)*1000</f>
        <v>-494157.8413405841</v>
      </c>
      <c r="K15" s="22">
        <f>INDEX('Sch 40 Migration Weather Adj.'!$E$61:$E$72,9,0)*1000</f>
        <v>77290.822852577548</v>
      </c>
      <c r="L15" s="22">
        <f>INDEX('Sch 40 Migration Weather Adj.'!$E$61:$E$72,10,0)*1000</f>
        <v>56460.38923314336</v>
      </c>
      <c r="M15" s="22">
        <f>INDEX('Sch 40 Migration Weather Adj.'!$E$61:$E$72,11,0)*1000</f>
        <v>246666.41888711456</v>
      </c>
      <c r="N15" s="99">
        <f>INDEX('Sch 40 Migration Weather Adj.'!$E$61:$E$72,12,0)*1000</f>
        <v>237302.3428972956</v>
      </c>
    </row>
    <row r="16" spans="1:14">
      <c r="A16" s="9" t="s">
        <v>7</v>
      </c>
      <c r="B16" s="18">
        <f>SUM(C16:N16)</f>
        <v>3404679.8765506782</v>
      </c>
      <c r="C16" s="283">
        <f>'Temp Adj. by Schedule'!B29</f>
        <v>1430325.4399795551</v>
      </c>
      <c r="D16" s="22">
        <f>'Temp Adj. by Schedule'!C29</f>
        <v>-860065.66908166162</v>
      </c>
      <c r="E16" s="22">
        <f>'Temp Adj. by Schedule'!D29</f>
        <v>109632.22081716802</v>
      </c>
      <c r="F16" s="22">
        <f>'Temp Adj. by Schedule'!E29</f>
        <v>222373.77016638598</v>
      </c>
      <c r="G16" s="22">
        <f>'Temp Adj. by Schedule'!F29</f>
        <v>585897.70629708446</v>
      </c>
      <c r="H16" s="22">
        <f>'Temp Adj. by Schedule'!G29</f>
        <v>-36201.708834166704</v>
      </c>
      <c r="I16" s="22">
        <f>'Temp Adj. by Schedule'!H29</f>
        <v>-313186.33311416558</v>
      </c>
      <c r="J16" s="22">
        <f>'Temp Adj. by Schedule'!I29</f>
        <v>-163416.82860066614</v>
      </c>
      <c r="K16" s="22">
        <f>'Temp Adj. by Schedule'!J29</f>
        <v>24975.763017333527</v>
      </c>
      <c r="L16" s="22">
        <f>'Temp Adj. by Schedule'!K29</f>
        <v>129756.72991875105</v>
      </c>
      <c r="M16" s="22">
        <f>'Temp Adj. by Schedule'!L29</f>
        <v>905413.00129230996</v>
      </c>
      <c r="N16" s="99">
        <f>'Temp Adj. by Schedule'!M29</f>
        <v>1369175.7846927503</v>
      </c>
    </row>
    <row r="17" spans="1:14">
      <c r="A17" s="10" t="s">
        <v>8</v>
      </c>
      <c r="B17" s="18">
        <f t="shared" si="0"/>
        <v>113425.48433827792</v>
      </c>
      <c r="C17" s="283">
        <f>'Temp Adj. by Schedule'!B30</f>
        <v>35284.957470111127</v>
      </c>
      <c r="D17" s="22">
        <f>'Temp Adj. by Schedule'!C30</f>
        <v>-21054.796599444351</v>
      </c>
      <c r="E17" s="22">
        <f>'Temp Adj. by Schedule'!D30</f>
        <v>1794.4209459445283</v>
      </c>
      <c r="F17" s="22">
        <f>'Temp Adj. by Schedule'!E30</f>
        <v>8592.8737011109679</v>
      </c>
      <c r="G17" s="22">
        <f>'Temp Adj. by Schedule'!F30</f>
        <v>30182.871765666721</v>
      </c>
      <c r="H17" s="22">
        <f>'Temp Adj. by Schedule'!G30</f>
        <v>-734.15328272222303</v>
      </c>
      <c r="I17" s="22">
        <f>'Temp Adj. by Schedule'!H30</f>
        <v>-6351.2685440555333</v>
      </c>
      <c r="J17" s="22">
        <f>'Temp Adj. by Schedule'!I30</f>
        <v>-3335.5344407777666</v>
      </c>
      <c r="K17" s="22">
        <f>'Temp Adj. by Schedule'!J30</f>
        <v>509.78542688889291</v>
      </c>
      <c r="L17" s="22">
        <f>'Temp Adj. by Schedule'!K30</f>
        <v>5316.3413755556103</v>
      </c>
      <c r="M17" s="22">
        <f>'Temp Adj. by Schedule'!L30</f>
        <v>28272.437338110976</v>
      </c>
      <c r="N17" s="99">
        <f>'Temp Adj. by Schedule'!M30</f>
        <v>34947.549181888993</v>
      </c>
    </row>
    <row r="18" spans="1:14">
      <c r="A18" s="6"/>
      <c r="B18" s="19"/>
      <c r="C18" s="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20"/>
    </row>
    <row r="19" spans="1:14">
      <c r="A19" s="6" t="s">
        <v>9</v>
      </c>
      <c r="B19" s="7">
        <f t="shared" ref="B19:N19" si="1">SUM(B9:B18)</f>
        <v>167456237.45570877</v>
      </c>
      <c r="C19" s="282">
        <f t="shared" si="1"/>
        <v>93836513.500020757</v>
      </c>
      <c r="D19" s="7">
        <f t="shared" si="1"/>
        <v>-56457373.515504315</v>
      </c>
      <c r="E19" s="7">
        <f t="shared" si="1"/>
        <v>5826157.934784539</v>
      </c>
      <c r="F19" s="7">
        <f t="shared" si="1"/>
        <v>18971924.350182071</v>
      </c>
      <c r="G19" s="7">
        <f t="shared" si="1"/>
        <v>51614843.183656238</v>
      </c>
      <c r="H19" s="7">
        <f t="shared" si="1"/>
        <v>-9000721.3018245082</v>
      </c>
      <c r="I19" s="7">
        <f t="shared" si="1"/>
        <v>-77859474.98265709</v>
      </c>
      <c r="J19" s="7">
        <f t="shared" si="1"/>
        <v>-40933960.322891675</v>
      </c>
      <c r="K19" s="7">
        <f t="shared" si="1"/>
        <v>6264215.1585874399</v>
      </c>
      <c r="L19" s="7">
        <f t="shared" si="1"/>
        <v>11927262.0433031</v>
      </c>
      <c r="M19" s="7">
        <f t="shared" si="1"/>
        <v>69401131.516432807</v>
      </c>
      <c r="N19" s="8">
        <f t="shared" si="1"/>
        <v>93865719.891619399</v>
      </c>
    </row>
    <row r="20" spans="1:14">
      <c r="A20" s="6"/>
      <c r="B20" s="19"/>
      <c r="C20" s="11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5"/>
    </row>
    <row r="21" spans="1:14" s="5" customFormat="1">
      <c r="A21" s="14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7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28" workbookViewId="0">
      <selection activeCell="E43" sqref="E43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500" t="s">
        <v>123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3" ht="15.75">
      <c r="A2" s="500" t="s">
        <v>194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</row>
    <row r="3" spans="1:13">
      <c r="B3" s="230"/>
      <c r="C3" s="228" t="s">
        <v>156</v>
      </c>
      <c r="D3" s="229"/>
      <c r="E3" s="229"/>
    </row>
    <row r="4" spans="1:13">
      <c r="B4" s="230"/>
      <c r="C4" s="231" t="s">
        <v>128</v>
      </c>
      <c r="D4" s="232"/>
      <c r="E4" s="232"/>
    </row>
    <row r="5" spans="1:13">
      <c r="A5" s="223" t="s">
        <v>55</v>
      </c>
      <c r="B5" s="24"/>
      <c r="C5" s="223" t="s">
        <v>110</v>
      </c>
      <c r="D5" s="223" t="s">
        <v>117</v>
      </c>
      <c r="E5" s="223" t="s">
        <v>118</v>
      </c>
    </row>
    <row r="6" spans="1:13">
      <c r="A6" s="224">
        <f>'Summary Sheet_ Pre Migration'!I45</f>
        <v>43101</v>
      </c>
      <c r="B6" s="77"/>
      <c r="C6" s="278">
        <f>'Summary Sheet_ Pre Migration'!K45</f>
        <v>45745.730302000004</v>
      </c>
      <c r="D6" s="278">
        <f>'Summary Sheet_ Pre Migration'!L45</f>
        <v>46107.288461917502</v>
      </c>
      <c r="E6" s="278">
        <f>D6-C6</f>
        <v>361.55815991749841</v>
      </c>
    </row>
    <row r="7" spans="1:13">
      <c r="A7" s="224">
        <f>'Summary Sheet_ Pre Migration'!I46</f>
        <v>43132</v>
      </c>
      <c r="B7" s="77"/>
      <c r="C7" s="278">
        <f>'Summary Sheet_ Pre Migration'!K46</f>
        <v>43929.830578000001</v>
      </c>
      <c r="D7" s="278">
        <f>'Summary Sheet_ Pre Migration'!L46</f>
        <v>43720.612311344004</v>
      </c>
      <c r="E7" s="278">
        <f t="shared" ref="E7:E17" si="0">D7-C7</f>
        <v>-209.21826665599656</v>
      </c>
    </row>
    <row r="8" spans="1:13">
      <c r="A8" s="224">
        <f>'Summary Sheet_ Pre Migration'!I47</f>
        <v>43160</v>
      </c>
      <c r="B8" s="77"/>
      <c r="C8" s="278">
        <f>'Summary Sheet_ Pre Migration'!K47</f>
        <v>44503.265692999994</v>
      </c>
      <c r="D8" s="278">
        <f>'Summary Sheet_ Pre Migration'!L47</f>
        <v>44485.677911581333</v>
      </c>
      <c r="E8" s="278">
        <f t="shared" si="0"/>
        <v>-17.587781418660597</v>
      </c>
    </row>
    <row r="9" spans="1:13">
      <c r="A9" s="224">
        <f>'Summary Sheet_ Pre Migration'!I48</f>
        <v>43191</v>
      </c>
      <c r="B9" s="77"/>
      <c r="C9" s="278">
        <f>'Summary Sheet_ Pre Migration'!K48</f>
        <v>42551.050405000002</v>
      </c>
      <c r="D9" s="278">
        <f>'Summary Sheet_ Pre Migration'!L48</f>
        <v>42613.773536296001</v>
      </c>
      <c r="E9" s="278">
        <f t="shared" si="0"/>
        <v>62.723131295999337</v>
      </c>
    </row>
    <row r="10" spans="1:13">
      <c r="A10" s="224">
        <f>'Summary Sheet_ Pre Migration'!I49</f>
        <v>43221</v>
      </c>
      <c r="B10" s="77"/>
      <c r="C10" s="278">
        <f>'Summary Sheet_ Pre Migration'!K49</f>
        <v>42098.019358999998</v>
      </c>
      <c r="D10" s="278">
        <f>'Summary Sheet_ Pre Migration'!L49</f>
        <v>42100.069489929774</v>
      </c>
      <c r="E10" s="278">
        <f t="shared" si="0"/>
        <v>2.0501309297760599</v>
      </c>
    </row>
    <row r="11" spans="1:13">
      <c r="A11" s="224">
        <f>'Summary Sheet_ Pre Migration'!I50</f>
        <v>43252</v>
      </c>
      <c r="B11" s="77"/>
      <c r="C11" s="278">
        <f>'Summary Sheet_ Pre Migration'!K50</f>
        <v>36454.394177000002</v>
      </c>
      <c r="D11" s="278">
        <f>'Summary Sheet_ Pre Migration'!L50</f>
        <v>36294.692301524447</v>
      </c>
      <c r="E11" s="278">
        <f t="shared" si="0"/>
        <v>-159.70187547555543</v>
      </c>
    </row>
    <row r="12" spans="1:13">
      <c r="A12" s="224">
        <f>'Summary Sheet_ Pre Migration'!I51</f>
        <v>43282</v>
      </c>
      <c r="B12" s="77"/>
      <c r="C12" s="278">
        <f>'Summary Sheet_ Pre Migration'!K51</f>
        <v>48717.375324000001</v>
      </c>
      <c r="D12" s="278">
        <f>'Summary Sheet_ Pre Migration'!L51</f>
        <v>47324.977012712297</v>
      </c>
      <c r="E12" s="278">
        <f t="shared" si="0"/>
        <v>-1392.3983112877031</v>
      </c>
    </row>
    <row r="13" spans="1:13">
      <c r="A13" s="224">
        <f>'Summary Sheet_ Pre Migration'!I52</f>
        <v>43313</v>
      </c>
      <c r="B13" s="77"/>
      <c r="C13" s="278">
        <f>'Summary Sheet_ Pre Migration'!K52</f>
        <v>46696.152519000003</v>
      </c>
      <c r="D13" s="278">
        <f>'Summary Sheet_ Pre Migration'!L52</f>
        <v>45964.898204942088</v>
      </c>
      <c r="E13" s="278">
        <f t="shared" si="0"/>
        <v>-731.2543140579146</v>
      </c>
    </row>
    <row r="14" spans="1:13">
      <c r="A14" s="224">
        <f>'Summary Sheet_ Pre Migration'!I53</f>
        <v>43344</v>
      </c>
      <c r="B14" s="77"/>
      <c r="C14" s="278">
        <f>'Summary Sheet_ Pre Migration'!K53</f>
        <v>43379.395791000003</v>
      </c>
      <c r="D14" s="278">
        <f>'Summary Sheet_ Pre Migration'!L53</f>
        <v>43491.15682938083</v>
      </c>
      <c r="E14" s="278">
        <f t="shared" si="0"/>
        <v>111.76103838082781</v>
      </c>
    </row>
    <row r="15" spans="1:13">
      <c r="A15" s="224">
        <f>'Summary Sheet_ Pre Migration'!I54</f>
        <v>43374</v>
      </c>
      <c r="B15" s="77"/>
      <c r="C15" s="278">
        <f>'Summary Sheet_ Pre Migration'!K54</f>
        <v>35046.087943999999</v>
      </c>
      <c r="D15" s="278">
        <f>'Summary Sheet_ Pre Migration'!L54</f>
        <v>35159.125522603252</v>
      </c>
      <c r="E15" s="278">
        <f t="shared" si="0"/>
        <v>113.03757860325277</v>
      </c>
    </row>
    <row r="16" spans="1:13">
      <c r="A16" s="224">
        <f>'Summary Sheet_ Pre Migration'!I55</f>
        <v>43405</v>
      </c>
      <c r="B16" s="77"/>
      <c r="C16" s="278">
        <f>'Summary Sheet_ Pre Migration'!K55</f>
        <v>47156.353951999998</v>
      </c>
      <c r="D16" s="278">
        <f>'Summary Sheet_ Pre Migration'!L55</f>
        <v>47479.767463204873</v>
      </c>
      <c r="E16" s="278">
        <f t="shared" si="0"/>
        <v>323.41351120487525</v>
      </c>
    </row>
    <row r="17" spans="1:13">
      <c r="A17" s="226">
        <f>'Summary Sheet_ Pre Migration'!I56</f>
        <v>43435</v>
      </c>
      <c r="B17" s="77"/>
      <c r="C17" s="279">
        <f>'Summary Sheet_ Pre Migration'!K56</f>
        <v>42267.793201</v>
      </c>
      <c r="D17" s="279">
        <f>'Summary Sheet_ Pre Migration'!L56</f>
        <v>42620.91433806975</v>
      </c>
      <c r="E17" s="279">
        <f t="shared" si="0"/>
        <v>353.12113706974924</v>
      </c>
    </row>
    <row r="18" spans="1:13">
      <c r="A18" s="224" t="s">
        <v>19</v>
      </c>
      <c r="B18" s="77"/>
      <c r="C18" s="77">
        <f>SUM(C6:C17)</f>
        <v>518545.44924500003</v>
      </c>
      <c r="D18" s="77">
        <f t="shared" ref="D18:E18" si="1">SUM(D6:D17)</f>
        <v>517362.9533835061</v>
      </c>
      <c r="E18" s="77">
        <f t="shared" si="1"/>
        <v>-1182.4958614938514</v>
      </c>
    </row>
    <row r="20" spans="1:13" ht="15.75">
      <c r="A20" s="500" t="s">
        <v>123</v>
      </c>
      <c r="B20" s="499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</row>
    <row r="21" spans="1:13" ht="15.75">
      <c r="A21" s="500" t="s">
        <v>195</v>
      </c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</row>
    <row r="22" spans="1:13">
      <c r="C22" s="502" t="s">
        <v>196</v>
      </c>
      <c r="D22" s="502"/>
      <c r="E22" s="502"/>
      <c r="F22" s="502"/>
      <c r="G22" s="502"/>
    </row>
    <row r="23" spans="1:13">
      <c r="A23" s="223" t="s">
        <v>55</v>
      </c>
      <c r="C23" s="222" t="s">
        <v>197</v>
      </c>
      <c r="D23" s="222" t="s">
        <v>198</v>
      </c>
      <c r="E23" s="222" t="s">
        <v>199</v>
      </c>
      <c r="F23" s="222" t="s">
        <v>200</v>
      </c>
      <c r="G23" s="222" t="s">
        <v>188</v>
      </c>
      <c r="H23" s="222" t="s">
        <v>19</v>
      </c>
    </row>
    <row r="24" spans="1:13">
      <c r="A24" s="224">
        <f>A6</f>
        <v>43101</v>
      </c>
      <c r="C24" s="352">
        <f t="array" ref="C24:C35">TRANSPOSE('Sch 40 Migration kWh'!T185:AE185)</f>
        <v>1.7721873782878125E-3</v>
      </c>
      <c r="D24" s="353">
        <f t="array" ref="D24:D35">TRANSPOSE('Sch 40 Migration kWh'!T186:AE186)</f>
        <v>1.4463186911424536E-2</v>
      </c>
      <c r="E24" s="353">
        <f t="array" ref="E24:E35">TRANSPOSE('Sch 40 Migration kWh'!T187:AE187)</f>
        <v>8.3568460940625117E-2</v>
      </c>
      <c r="F24" s="353">
        <f t="array" ref="F24:F35">TRANSPOSE('Sch 40 Migration kWh'!T188:AE188)</f>
        <v>0.20041216089974917</v>
      </c>
      <c r="G24" s="353">
        <f t="array" ref="G24:G35">TRANSPOSE('Sch 40 Migration kWh'!T189:AE189)</f>
        <v>0.69978400386991335</v>
      </c>
      <c r="H24" s="354">
        <f>SUM(C24:G24)</f>
        <v>1</v>
      </c>
    </row>
    <row r="25" spans="1:13">
      <c r="A25" s="224">
        <f t="shared" ref="A25:A35" si="2">A7</f>
        <v>43132</v>
      </c>
      <c r="C25" s="352">
        <v>1.7930868387152875E-3</v>
      </c>
      <c r="D25" s="353">
        <v>1.4089970300363101E-2</v>
      </c>
      <c r="E25" s="190">
        <v>7.8235221943722524E-2</v>
      </c>
      <c r="F25" s="190">
        <v>0.26305587797630903</v>
      </c>
      <c r="G25" s="190">
        <v>0.64282584294089007</v>
      </c>
      <c r="H25" s="354">
        <f t="shared" ref="H25:H35" si="3">SUM(C25:G25)</f>
        <v>1</v>
      </c>
    </row>
    <row r="26" spans="1:13">
      <c r="A26" s="224">
        <f t="shared" si="2"/>
        <v>43160</v>
      </c>
      <c r="C26" s="352">
        <v>1.6681920977129141E-3</v>
      </c>
      <c r="D26" s="353">
        <v>1.4676450277763872E-2</v>
      </c>
      <c r="E26" s="190">
        <v>8.9338158267388362E-2</v>
      </c>
      <c r="F26" s="190">
        <v>0.15887372585761567</v>
      </c>
      <c r="G26" s="190">
        <v>0.73544347349951922</v>
      </c>
      <c r="H26" s="354">
        <f t="shared" si="3"/>
        <v>1</v>
      </c>
    </row>
    <row r="27" spans="1:13">
      <c r="A27" s="224">
        <f t="shared" si="2"/>
        <v>43191</v>
      </c>
      <c r="C27" s="352">
        <v>1.6432026169411747E-3</v>
      </c>
      <c r="D27" s="353">
        <v>1.3296146003628771E-2</v>
      </c>
      <c r="E27" s="190">
        <v>8.2245205124423251E-2</v>
      </c>
      <c r="F27" s="190">
        <v>0.20592675358531676</v>
      </c>
      <c r="G27" s="190">
        <v>0.69688869266969</v>
      </c>
      <c r="H27" s="354">
        <f t="shared" si="3"/>
        <v>1</v>
      </c>
    </row>
    <row r="28" spans="1:13">
      <c r="A28" s="224">
        <f t="shared" si="2"/>
        <v>43221</v>
      </c>
      <c r="C28" s="352">
        <v>1.6787011988354226E-3</v>
      </c>
      <c r="D28" s="353">
        <v>1.3527595192002133E-2</v>
      </c>
      <c r="E28" s="190">
        <v>8.8435865229012423E-2</v>
      </c>
      <c r="F28" s="190">
        <v>0.21635220771180175</v>
      </c>
      <c r="G28" s="190">
        <v>0.68000563066834829</v>
      </c>
      <c r="H28" s="354">
        <f t="shared" si="3"/>
        <v>1</v>
      </c>
    </row>
    <row r="29" spans="1:13">
      <c r="A29" s="224">
        <f t="shared" si="2"/>
        <v>43252</v>
      </c>
      <c r="C29" s="352">
        <v>1.8088355444249352E-3</v>
      </c>
      <c r="D29" s="353">
        <v>1.5278817433027E-2</v>
      </c>
      <c r="E29" s="190">
        <v>6.9962626176840362E-2</v>
      </c>
      <c r="F29" s="190">
        <v>0.16379919324947184</v>
      </c>
      <c r="G29" s="190">
        <v>0.7491505275962359</v>
      </c>
      <c r="H29" s="354">
        <f t="shared" si="3"/>
        <v>1</v>
      </c>
    </row>
    <row r="30" spans="1:13">
      <c r="A30" s="224">
        <f t="shared" si="2"/>
        <v>43282</v>
      </c>
      <c r="C30" s="352">
        <v>1.5416061757519714E-3</v>
      </c>
      <c r="D30" s="353">
        <v>1.1660727751503668E-2</v>
      </c>
      <c r="E30" s="190">
        <v>0.10379993616650619</v>
      </c>
      <c r="F30" s="190">
        <v>0.27971952755825019</v>
      </c>
      <c r="G30" s="190">
        <v>0.6032782023479879</v>
      </c>
      <c r="H30" s="354">
        <f t="shared" si="3"/>
        <v>1</v>
      </c>
    </row>
    <row r="31" spans="1:13">
      <c r="A31" s="224">
        <f t="shared" si="2"/>
        <v>43313</v>
      </c>
      <c r="C31" s="352">
        <v>1.5909448978330097E-3</v>
      </c>
      <c r="D31" s="353">
        <v>1.3485694505557621E-2</v>
      </c>
      <c r="E31" s="190">
        <v>9.3391855503973137E-2</v>
      </c>
      <c r="F31" s="190">
        <v>0.21576083286868045</v>
      </c>
      <c r="G31" s="190">
        <v>0.67577067222395582</v>
      </c>
      <c r="H31" s="354">
        <f t="shared" si="3"/>
        <v>1</v>
      </c>
    </row>
    <row r="32" spans="1:13">
      <c r="A32" s="224">
        <f t="shared" si="2"/>
        <v>43344</v>
      </c>
      <c r="C32" s="352">
        <v>1.5742726535762437E-3</v>
      </c>
      <c r="D32" s="353">
        <v>1.377773845547603E-2</v>
      </c>
      <c r="E32" s="190">
        <v>9.5217088996947349E-2</v>
      </c>
      <c r="F32" s="190">
        <v>0.19784506921926395</v>
      </c>
      <c r="G32" s="190">
        <v>0.69158583067473645</v>
      </c>
      <c r="H32" s="354">
        <f t="shared" si="3"/>
        <v>1</v>
      </c>
    </row>
    <row r="33" spans="1:17">
      <c r="A33" s="224">
        <f t="shared" si="2"/>
        <v>43374</v>
      </c>
      <c r="C33" s="352">
        <v>1.9204997122788631E-3</v>
      </c>
      <c r="D33" s="353">
        <v>1.6139604972161371E-2</v>
      </c>
      <c r="E33" s="190">
        <v>0.10492355394769179</v>
      </c>
      <c r="F33" s="190">
        <v>0.37753715557460094</v>
      </c>
      <c r="G33" s="190">
        <v>0.499479185793267</v>
      </c>
      <c r="H33" s="354">
        <f t="shared" si="3"/>
        <v>1</v>
      </c>
    </row>
    <row r="34" spans="1:17">
      <c r="A34" s="224">
        <f t="shared" si="2"/>
        <v>43405</v>
      </c>
      <c r="C34" s="352">
        <v>1.7058145522140314E-3</v>
      </c>
      <c r="D34" s="353">
        <v>1.0457126702980895E-2</v>
      </c>
      <c r="E34" s="190">
        <v>7.1279043035491485E-2</v>
      </c>
      <c r="F34" s="190">
        <v>0.15385412405797166</v>
      </c>
      <c r="G34" s="190">
        <v>0.76270389165134189</v>
      </c>
      <c r="H34" s="354">
        <f t="shared" si="3"/>
        <v>1</v>
      </c>
    </row>
    <row r="35" spans="1:17">
      <c r="A35" s="224">
        <f t="shared" si="2"/>
        <v>43435</v>
      </c>
      <c r="C35" s="352">
        <v>1.8787590381461592E-3</v>
      </c>
      <c r="D35" s="353">
        <v>1.2763618560268369E-2</v>
      </c>
      <c r="E35" s="190">
        <v>9.5530890493125811E-2</v>
      </c>
      <c r="F35" s="190">
        <v>0.21781122525580587</v>
      </c>
      <c r="G35" s="190">
        <v>0.67201550665265375</v>
      </c>
      <c r="H35" s="354">
        <f t="shared" si="3"/>
        <v>1</v>
      </c>
    </row>
    <row r="36" spans="1:17">
      <c r="A36" s="225"/>
    </row>
    <row r="37" spans="1:17" ht="15.75">
      <c r="A37" s="500" t="s">
        <v>123</v>
      </c>
      <c r="B37" s="499"/>
      <c r="C37" s="499"/>
      <c r="D37" s="499"/>
      <c r="E37" s="499"/>
      <c r="F37" s="499"/>
      <c r="G37" s="499"/>
      <c r="H37" s="499"/>
      <c r="I37" s="499"/>
      <c r="J37" s="499"/>
      <c r="K37" s="499"/>
      <c r="L37" s="499"/>
      <c r="M37" s="499"/>
    </row>
    <row r="38" spans="1:17" ht="15.75">
      <c r="A38" s="500" t="s">
        <v>195</v>
      </c>
      <c r="B38" s="499"/>
      <c r="C38" s="499"/>
      <c r="D38" s="499"/>
      <c r="E38" s="499"/>
      <c r="F38" s="499"/>
      <c r="G38" s="499"/>
      <c r="H38" s="499"/>
      <c r="I38" s="499"/>
      <c r="J38" s="499"/>
      <c r="K38" s="499"/>
      <c r="L38" s="499"/>
      <c r="M38" s="499"/>
    </row>
    <row r="39" spans="1:17">
      <c r="A39" s="224"/>
    </row>
    <row r="40" spans="1:17">
      <c r="C40" s="228" t="s">
        <v>127</v>
      </c>
      <c r="D40" s="229"/>
      <c r="E40" s="229"/>
      <c r="G40" s="228" t="s">
        <v>131</v>
      </c>
      <c r="H40" s="229"/>
      <c r="I40" s="229"/>
      <c r="K40" s="228" t="s">
        <v>130</v>
      </c>
      <c r="L40" s="229"/>
      <c r="M40" s="229"/>
      <c r="O40" s="228" t="s">
        <v>132</v>
      </c>
      <c r="P40" s="229"/>
      <c r="Q40" s="229"/>
    </row>
    <row r="41" spans="1:17">
      <c r="C41" s="231" t="s">
        <v>121</v>
      </c>
      <c r="D41" s="232"/>
      <c r="E41" s="232"/>
      <c r="G41" s="231" t="s">
        <v>122</v>
      </c>
      <c r="H41" s="232"/>
      <c r="I41" s="232"/>
      <c r="K41" s="231" t="s">
        <v>145</v>
      </c>
      <c r="L41" s="232"/>
      <c r="M41" s="232"/>
      <c r="O41" s="231" t="s">
        <v>124</v>
      </c>
      <c r="P41" s="232"/>
      <c r="Q41" s="232"/>
    </row>
    <row r="42" spans="1:17">
      <c r="A42" s="223" t="s">
        <v>55</v>
      </c>
      <c r="C42" s="223" t="s">
        <v>110</v>
      </c>
      <c r="D42" s="223" t="s">
        <v>117</v>
      </c>
      <c r="E42" s="223" t="s">
        <v>118</v>
      </c>
      <c r="G42" s="223" t="s">
        <v>110</v>
      </c>
      <c r="H42" s="223" t="s">
        <v>117</v>
      </c>
      <c r="I42" s="223" t="s">
        <v>118</v>
      </c>
      <c r="K42" s="223" t="s">
        <v>110</v>
      </c>
      <c r="L42" s="223" t="s">
        <v>117</v>
      </c>
      <c r="M42" s="223" t="s">
        <v>118</v>
      </c>
      <c r="O42" s="223" t="s">
        <v>110</v>
      </c>
      <c r="P42" s="223" t="s">
        <v>117</v>
      </c>
      <c r="Q42" s="223" t="s">
        <v>118</v>
      </c>
    </row>
    <row r="43" spans="1:17">
      <c r="A43" s="224">
        <f>A24</f>
        <v>43101</v>
      </c>
      <c r="C43" s="278">
        <f t="array" ref="C43:C54">TRANSPOSE('Sch 40 Migration kWh'!E185:P185)/1000</f>
        <v>81.069999999999993</v>
      </c>
      <c r="D43" s="278">
        <f>D6*C24</f>
        <v>81.710754659285485</v>
      </c>
      <c r="E43" s="278">
        <f>D43-C43</f>
        <v>0.64075465928549136</v>
      </c>
      <c r="G43" s="278">
        <f t="array" ref="G43:G54">TRANSPOSE('Sch 40 Migration kWh'!E186:P186)/1000</f>
        <v>661.62900000000002</v>
      </c>
      <c r="H43" s="278">
        <f>D6*D24</f>
        <v>666.85833100368075</v>
      </c>
      <c r="I43" s="278">
        <f>H43-G43</f>
        <v>5.229331003680727</v>
      </c>
      <c r="K43" s="278">
        <f t="array" ref="K43:K54">TRANSPOSE('Sch 40 Migration kWh'!E187:P187)/1000</f>
        <v>3822.9</v>
      </c>
      <c r="L43" s="278">
        <f>D6*E24</f>
        <v>3853.1151349078878</v>
      </c>
      <c r="M43" s="278">
        <f>L43-K43</f>
        <v>30.215134907887659</v>
      </c>
      <c r="N43" s="278"/>
      <c r="O43" s="278">
        <f t="array" ref="O43:O54">TRANSPOSE('Sch 40 Migration kWh'!E188:P188)/1000</f>
        <v>9168</v>
      </c>
      <c r="P43" s="278">
        <f>D6*F24</f>
        <v>9240.4613138809582</v>
      </c>
      <c r="Q43" s="278">
        <f>P43-O43</f>
        <v>72.461313880958187</v>
      </c>
    </row>
    <row r="44" spans="1:17">
      <c r="A44" s="224">
        <f t="shared" ref="A44:A54" si="4">A25</f>
        <v>43132</v>
      </c>
      <c r="C44" s="278">
        <v>78.77</v>
      </c>
      <c r="D44" s="278">
        <f t="shared" ref="D44:D54" si="5">D7*C25</f>
        <v>78.394854516044504</v>
      </c>
      <c r="E44" s="278">
        <f t="shared" ref="E44:E54" si="6">D44-C44</f>
        <v>-0.37514548395549241</v>
      </c>
      <c r="G44" s="278">
        <v>618.97</v>
      </c>
      <c r="H44" s="278">
        <f t="shared" ref="H44:H54" si="7">D7*D25</f>
        <v>616.02212898052642</v>
      </c>
      <c r="I44" s="278">
        <f t="shared" ref="I44:I54" si="8">H44-G44</f>
        <v>-2.9478710194736095</v>
      </c>
      <c r="K44" s="278">
        <v>3436.86</v>
      </c>
      <c r="L44" s="278">
        <f t="shared" ref="L44:L54" si="9">D7*E25</f>
        <v>3420.4918076934455</v>
      </c>
      <c r="M44" s="278">
        <f t="shared" ref="M44:M54" si="10">L44-K44</f>
        <v>-16.368192306554647</v>
      </c>
      <c r="N44" s="278"/>
      <c r="O44" s="278">
        <v>11556</v>
      </c>
      <c r="P44" s="278">
        <f t="shared" ref="P44:P54" si="11">D7*F25</f>
        <v>11500.964057222423</v>
      </c>
      <c r="Q44" s="278">
        <f t="shared" ref="Q44:Q54" si="12">P44-O44</f>
        <v>-55.035942777576565</v>
      </c>
    </row>
    <row r="45" spans="1:17">
      <c r="A45" s="224">
        <f t="shared" si="4"/>
        <v>43160</v>
      </c>
      <c r="C45" s="278">
        <v>74.239999999999995</v>
      </c>
      <c r="D45" s="278">
        <f t="shared" si="5"/>
        <v>74.210656353501918</v>
      </c>
      <c r="E45" s="278">
        <f t="shared" si="6"/>
        <v>-2.9343646498077192E-2</v>
      </c>
      <c r="G45" s="278">
        <v>653.15</v>
      </c>
      <c r="H45" s="278">
        <f t="shared" si="7"/>
        <v>652.89183994194195</v>
      </c>
      <c r="I45" s="278">
        <f t="shared" si="8"/>
        <v>-0.25816005805802433</v>
      </c>
      <c r="K45" s="278">
        <v>3975.84</v>
      </c>
      <c r="L45" s="278">
        <f t="shared" si="9"/>
        <v>3974.2685338969159</v>
      </c>
      <c r="M45" s="278">
        <f t="shared" si="10"/>
        <v>-1.5714661030842763</v>
      </c>
      <c r="N45" s="278"/>
      <c r="O45" s="278">
        <v>7070.4</v>
      </c>
      <c r="P45" s="278">
        <f t="shared" si="11"/>
        <v>7067.6053971147612</v>
      </c>
      <c r="Q45" s="278">
        <f t="shared" si="12"/>
        <v>-2.7946028852384188</v>
      </c>
    </row>
    <row r="46" spans="1:17">
      <c r="A46" s="224">
        <f t="shared" si="4"/>
        <v>43191</v>
      </c>
      <c r="C46" s="278">
        <v>69.92</v>
      </c>
      <c r="D46" s="278">
        <f t="shared" si="5"/>
        <v>70.023064192580165</v>
      </c>
      <c r="E46" s="278">
        <f t="shared" si="6"/>
        <v>0.10306419258016319</v>
      </c>
      <c r="G46" s="278">
        <v>565.76499999999999</v>
      </c>
      <c r="H46" s="278">
        <f t="shared" si="7"/>
        <v>566.59895470416359</v>
      </c>
      <c r="I46" s="278">
        <f t="shared" si="8"/>
        <v>0.8339547041636024</v>
      </c>
      <c r="K46" s="278">
        <v>3499.62</v>
      </c>
      <c r="L46" s="278">
        <f t="shared" si="9"/>
        <v>3504.7785456183838</v>
      </c>
      <c r="M46" s="278">
        <f t="shared" si="10"/>
        <v>5.1585456183838687</v>
      </c>
      <c r="N46" s="278"/>
      <c r="O46" s="278">
        <v>8762.4</v>
      </c>
      <c r="P46" s="278">
        <f t="shared" si="11"/>
        <v>8775.3160423493191</v>
      </c>
      <c r="Q46" s="278">
        <f t="shared" si="12"/>
        <v>12.916042349319468</v>
      </c>
    </row>
    <row r="47" spans="1:17">
      <c r="A47" s="224">
        <f t="shared" si="4"/>
        <v>43221</v>
      </c>
      <c r="C47" s="278">
        <v>70.67</v>
      </c>
      <c r="D47" s="278">
        <f t="shared" si="5"/>
        <v>70.673437123799715</v>
      </c>
      <c r="E47" s="278">
        <f t="shared" si="6"/>
        <v>3.437123799713504E-3</v>
      </c>
      <c r="G47" s="278">
        <v>569.48500000000001</v>
      </c>
      <c r="H47" s="278">
        <f t="shared" si="7"/>
        <v>569.51269761492972</v>
      </c>
      <c r="I47" s="278">
        <f t="shared" si="8"/>
        <v>2.7697614929707015E-2</v>
      </c>
      <c r="K47" s="278">
        <v>3722.9749999999999</v>
      </c>
      <c r="L47" s="278">
        <f t="shared" si="9"/>
        <v>3723.1560715434871</v>
      </c>
      <c r="M47" s="278">
        <f t="shared" si="10"/>
        <v>0.18107154348717813</v>
      </c>
      <c r="N47" s="278"/>
      <c r="O47" s="278">
        <v>9108</v>
      </c>
      <c r="P47" s="278">
        <f t="shared" si="11"/>
        <v>9108.4429789665737</v>
      </c>
      <c r="Q47" s="278">
        <f t="shared" si="12"/>
        <v>0.44297896657371894</v>
      </c>
    </row>
    <row r="48" spans="1:17">
      <c r="A48" s="224">
        <f t="shared" si="4"/>
        <v>43252</v>
      </c>
      <c r="C48" s="278">
        <v>65.94</v>
      </c>
      <c r="D48" s="278">
        <f t="shared" si="5"/>
        <v>65.651129508963479</v>
      </c>
      <c r="E48" s="278">
        <f t="shared" si="6"/>
        <v>-0.28887049103651918</v>
      </c>
      <c r="G48" s="278">
        <v>556.98</v>
      </c>
      <c r="H48" s="278">
        <f t="shared" si="7"/>
        <v>554.53997746288258</v>
      </c>
      <c r="I48" s="278">
        <f t="shared" si="8"/>
        <v>-2.4400225371174429</v>
      </c>
      <c r="K48" s="278">
        <v>2550.4450000000002</v>
      </c>
      <c r="L48" s="278">
        <f t="shared" si="9"/>
        <v>2539.2719896950007</v>
      </c>
      <c r="M48" s="278">
        <f t="shared" si="10"/>
        <v>-11.17301030499948</v>
      </c>
      <c r="N48" s="278"/>
      <c r="O48" s="278">
        <v>5971.2</v>
      </c>
      <c r="P48" s="278">
        <f t="shared" si="11"/>
        <v>5945.0413182275206</v>
      </c>
      <c r="Q48" s="278">
        <f t="shared" si="12"/>
        <v>-26.158681772479213</v>
      </c>
    </row>
    <row r="49" spans="1:17">
      <c r="A49" s="224">
        <f t="shared" si="4"/>
        <v>43282</v>
      </c>
      <c r="C49" s="278">
        <v>75.102999999999994</v>
      </c>
      <c r="D49" s="278">
        <f t="shared" si="5"/>
        <v>72.956476830117367</v>
      </c>
      <c r="E49" s="278">
        <f t="shared" si="6"/>
        <v>-2.1465231698826273</v>
      </c>
      <c r="G49" s="278">
        <v>568.08000000000004</v>
      </c>
      <c r="H49" s="278">
        <f t="shared" si="7"/>
        <v>551.84367279140747</v>
      </c>
      <c r="I49" s="278">
        <f t="shared" si="8"/>
        <v>-16.23632720859257</v>
      </c>
      <c r="K49" s="278">
        <v>5056.8599999999997</v>
      </c>
      <c r="L49" s="278">
        <f t="shared" si="9"/>
        <v>4912.329593000909</v>
      </c>
      <c r="M49" s="278">
        <f t="shared" si="10"/>
        <v>-144.5304069990907</v>
      </c>
      <c r="N49" s="278"/>
      <c r="O49" s="278">
        <v>13627.2</v>
      </c>
      <c r="P49" s="278">
        <f t="shared" si="11"/>
        <v>13237.720211700935</v>
      </c>
      <c r="Q49" s="278">
        <f t="shared" si="12"/>
        <v>-389.47978829906606</v>
      </c>
    </row>
    <row r="50" spans="1:17">
      <c r="A50" s="224">
        <f t="shared" si="4"/>
        <v>43313</v>
      </c>
      <c r="C50" s="278">
        <v>74.290999999999997</v>
      </c>
      <c r="D50" s="278">
        <f t="shared" si="5"/>
        <v>73.127620278566283</v>
      </c>
      <c r="E50" s="278">
        <f t="shared" si="6"/>
        <v>-1.1633797214337136</v>
      </c>
      <c r="G50" s="278">
        <v>629.73</v>
      </c>
      <c r="H50" s="278">
        <f t="shared" si="7"/>
        <v>619.86857517090289</v>
      </c>
      <c r="I50" s="278">
        <f t="shared" si="8"/>
        <v>-9.8614248290971318</v>
      </c>
      <c r="K50" s="278">
        <v>4361.04</v>
      </c>
      <c r="L50" s="278">
        <f t="shared" si="9"/>
        <v>4292.7471314107861</v>
      </c>
      <c r="M50" s="278">
        <f t="shared" si="10"/>
        <v>-68.292868589213867</v>
      </c>
      <c r="N50" s="278"/>
      <c r="O50" s="278">
        <v>10075.200000000001</v>
      </c>
      <c r="P50" s="278">
        <f t="shared" si="11"/>
        <v>9917.424719422419</v>
      </c>
      <c r="Q50" s="278">
        <f t="shared" si="12"/>
        <v>-157.77528057758173</v>
      </c>
    </row>
    <row r="51" spans="1:17">
      <c r="A51" s="224">
        <f t="shared" si="4"/>
        <v>43344</v>
      </c>
      <c r="C51" s="278">
        <v>68.290999999999997</v>
      </c>
      <c r="D51" s="278">
        <f t="shared" si="5"/>
        <v>68.46693886888994</v>
      </c>
      <c r="E51" s="278">
        <f t="shared" si="6"/>
        <v>0.17593886888994348</v>
      </c>
      <c r="G51" s="278">
        <v>597.66999999999996</v>
      </c>
      <c r="H51" s="278">
        <f t="shared" si="7"/>
        <v>599.20978392129916</v>
      </c>
      <c r="I51" s="278">
        <f t="shared" si="8"/>
        <v>1.5397839212992039</v>
      </c>
      <c r="K51" s="278">
        <v>4130.46</v>
      </c>
      <c r="L51" s="278">
        <f t="shared" si="9"/>
        <v>4141.101350403349</v>
      </c>
      <c r="M51" s="278">
        <f t="shared" si="10"/>
        <v>10.641350403348952</v>
      </c>
      <c r="N51" s="278"/>
      <c r="O51" s="278">
        <v>8582.4</v>
      </c>
      <c r="P51" s="278">
        <f t="shared" si="11"/>
        <v>8604.5109333347154</v>
      </c>
      <c r="Q51" s="278">
        <f t="shared" si="12"/>
        <v>22.11093333471581</v>
      </c>
    </row>
    <row r="52" spans="1:17">
      <c r="A52" s="224">
        <f t="shared" si="4"/>
        <v>43374</v>
      </c>
      <c r="C52" s="278">
        <v>67.305999999999997</v>
      </c>
      <c r="D52" s="278">
        <f t="shared" si="5"/>
        <v>67.523090450135982</v>
      </c>
      <c r="E52" s="278">
        <f t="shared" si="6"/>
        <v>0.21709045013598427</v>
      </c>
      <c r="G52" s="278">
        <v>565.63</v>
      </c>
      <c r="H52" s="278">
        <f t="shared" si="7"/>
        <v>567.4543971014532</v>
      </c>
      <c r="I52" s="278">
        <f t="shared" si="8"/>
        <v>1.8243971014532008</v>
      </c>
      <c r="K52" s="278">
        <v>3677.16</v>
      </c>
      <c r="L52" s="278">
        <f t="shared" si="9"/>
        <v>3689.0204035245297</v>
      </c>
      <c r="M52" s="278">
        <f t="shared" si="10"/>
        <v>11.860403524529829</v>
      </c>
      <c r="N52" s="278"/>
      <c r="O52" s="278">
        <v>13231.2</v>
      </c>
      <c r="P52" s="278">
        <f t="shared" si="11"/>
        <v>13273.876242293987</v>
      </c>
      <c r="Q52" s="278">
        <f t="shared" si="12"/>
        <v>42.676242293986434</v>
      </c>
    </row>
    <row r="53" spans="1:17">
      <c r="A53" s="224">
        <f t="shared" si="4"/>
        <v>43405</v>
      </c>
      <c r="C53" s="278">
        <v>80.44</v>
      </c>
      <c r="D53" s="278">
        <f t="shared" si="5"/>
        <v>80.991678274473159</v>
      </c>
      <c r="E53" s="278">
        <f t="shared" si="6"/>
        <v>0.55167827447316142</v>
      </c>
      <c r="G53" s="278">
        <v>493.12</v>
      </c>
      <c r="H53" s="278">
        <f t="shared" si="7"/>
        <v>496.5019441908031</v>
      </c>
      <c r="I53" s="278">
        <f t="shared" si="8"/>
        <v>3.3819441908030967</v>
      </c>
      <c r="K53" s="278">
        <v>3361.26</v>
      </c>
      <c r="L53" s="278">
        <f t="shared" si="9"/>
        <v>3384.3123883249086</v>
      </c>
      <c r="M53" s="278">
        <f t="shared" si="10"/>
        <v>23.052388324908407</v>
      </c>
      <c r="N53" s="278"/>
      <c r="O53" s="278">
        <v>7255.2</v>
      </c>
      <c r="P53" s="278">
        <f t="shared" si="11"/>
        <v>7304.9580335275687</v>
      </c>
      <c r="Q53" s="278">
        <f t="shared" si="12"/>
        <v>49.758033527568841</v>
      </c>
    </row>
    <row r="54" spans="1:17">
      <c r="A54" s="224">
        <f t="shared" si="4"/>
        <v>43435</v>
      </c>
      <c r="C54" s="279">
        <v>79.411000000000001</v>
      </c>
      <c r="D54" s="278">
        <f t="shared" si="5"/>
        <v>80.074428026701767</v>
      </c>
      <c r="E54" s="279">
        <f t="shared" si="6"/>
        <v>0.66342802670176582</v>
      </c>
      <c r="G54" s="279">
        <v>539.49</v>
      </c>
      <c r="H54" s="279">
        <f t="shared" si="7"/>
        <v>543.99709330099529</v>
      </c>
      <c r="I54" s="279">
        <f t="shared" si="8"/>
        <v>4.5070933009952796</v>
      </c>
      <c r="K54" s="279">
        <v>4037.88</v>
      </c>
      <c r="L54" s="279">
        <f t="shared" si="9"/>
        <v>4071.6139003470371</v>
      </c>
      <c r="M54" s="279">
        <f t="shared" si="10"/>
        <v>33.733900347036979</v>
      </c>
      <c r="N54" s="278"/>
      <c r="O54" s="279">
        <v>9206.4</v>
      </c>
      <c r="P54" s="279">
        <f t="shared" si="11"/>
        <v>9283.3135734977168</v>
      </c>
      <c r="Q54" s="279">
        <f t="shared" si="12"/>
        <v>76.913573497717152</v>
      </c>
    </row>
    <row r="55" spans="1:17">
      <c r="A55" s="224" t="s">
        <v>19</v>
      </c>
      <c r="C55" s="77">
        <f>SUM(C43:C54)</f>
        <v>885.452</v>
      </c>
      <c r="D55" s="356">
        <f t="shared" ref="D55:E55" si="13">SUM(D43:D54)</f>
        <v>883.80412908305993</v>
      </c>
      <c r="E55" s="77">
        <f t="shared" si="13"/>
        <v>-1.6478709169402066</v>
      </c>
      <c r="G55" s="77">
        <f>SUM(G43:G54)</f>
        <v>7019.6990000000005</v>
      </c>
      <c r="H55" s="77">
        <f t="shared" ref="H55:I55" si="14">SUM(H43:H54)</f>
        <v>7005.299396184987</v>
      </c>
      <c r="I55" s="77">
        <f t="shared" si="14"/>
        <v>-14.399603815013961</v>
      </c>
      <c r="K55" s="77">
        <f>SUM(K43:K54)</f>
        <v>45633.3</v>
      </c>
      <c r="L55" s="77">
        <f t="shared" ref="L55:M55" si="15">SUM(L43:L54)</f>
        <v>45506.206850366631</v>
      </c>
      <c r="M55" s="77">
        <f t="shared" si="15"/>
        <v>-127.0931496333601</v>
      </c>
      <c r="O55" s="77">
        <f>SUM(O43:O54)</f>
        <v>113613.59999999998</v>
      </c>
      <c r="P55" s="77">
        <f t="shared" ref="P55:Q55" si="16">SUM(P43:P54)</f>
        <v>113259.6348215389</v>
      </c>
      <c r="Q55" s="77">
        <f t="shared" si="16"/>
        <v>-353.96517846110237</v>
      </c>
    </row>
    <row r="56" spans="1:17">
      <c r="E56" s="7"/>
      <c r="I56" s="7"/>
      <c r="M56" s="7"/>
      <c r="Q56" s="7"/>
    </row>
    <row r="57" spans="1:17">
      <c r="A57" s="224"/>
    </row>
    <row r="58" spans="1:17">
      <c r="C58" s="228" t="s">
        <v>188</v>
      </c>
      <c r="D58" s="229"/>
      <c r="E58" s="229"/>
      <c r="G58" s="501" t="s">
        <v>201</v>
      </c>
      <c r="H58" s="501"/>
      <c r="I58" s="501"/>
    </row>
    <row r="59" spans="1:17">
      <c r="C59" s="231"/>
      <c r="D59" s="232"/>
      <c r="E59" s="232"/>
    </row>
    <row r="60" spans="1:17">
      <c r="A60" s="223" t="s">
        <v>55</v>
      </c>
      <c r="C60" s="223" t="s">
        <v>110</v>
      </c>
      <c r="D60" s="223" t="s">
        <v>117</v>
      </c>
      <c r="E60" s="223" t="s">
        <v>118</v>
      </c>
      <c r="G60" s="223" t="s">
        <v>110</v>
      </c>
      <c r="H60" s="223" t="s">
        <v>117</v>
      </c>
      <c r="I60" s="223" t="s">
        <v>118</v>
      </c>
    </row>
    <row r="61" spans="1:17">
      <c r="A61" s="224">
        <f>A43</f>
        <v>43101</v>
      </c>
      <c r="C61" s="59">
        <f t="array" ref="C61:C72">TRANSPOSE('Sch 40 Migration kWh'!E191:P191)/1000</f>
        <v>32012.128000000001</v>
      </c>
      <c r="D61" s="278">
        <f>D6*G24</f>
        <v>32265.142927465688</v>
      </c>
      <c r="E61" s="278">
        <f>D61-C61</f>
        <v>253.01492746568692</v>
      </c>
      <c r="G61" s="278">
        <f>C6-SUM(C43,G43,K43,O43,C61)</f>
        <v>3.3020000046235509E-3</v>
      </c>
      <c r="H61" s="278">
        <f>D6-SUM(D43,H43,L43,P43,D61)</f>
        <v>0</v>
      </c>
      <c r="I61" s="278">
        <f>E6-SUM(E43,I43,M43,Q43,E61)</f>
        <v>-3.3020000005876682E-3</v>
      </c>
    </row>
    <row r="62" spans="1:17">
      <c r="A62" s="224">
        <f t="shared" ref="A62:A72" si="17">A44</f>
        <v>43132</v>
      </c>
      <c r="C62" s="59">
        <v>28239.23</v>
      </c>
      <c r="D62" s="278">
        <f t="shared" ref="D62:D72" si="18">D7*G25</f>
        <v>28104.739462931564</v>
      </c>
      <c r="E62" s="278">
        <f t="shared" ref="E62:E72" si="19">D62-C62</f>
        <v>-134.49053706843551</v>
      </c>
      <c r="G62" s="278">
        <f t="shared" ref="G62:I72" si="20">C7-SUM(C44,G44,K44,O44,C62)</f>
        <v>5.7799999922281131E-4</v>
      </c>
      <c r="H62" s="278">
        <f t="shared" si="20"/>
        <v>0</v>
      </c>
      <c r="I62" s="278">
        <f t="shared" si="20"/>
        <v>-5.7800000072916191E-4</v>
      </c>
    </row>
    <row r="63" spans="1:17">
      <c r="A63" s="224">
        <f t="shared" si="17"/>
        <v>43160</v>
      </c>
      <c r="C63" s="59">
        <v>32729.637999999999</v>
      </c>
      <c r="D63" s="278">
        <f t="shared" si="18"/>
        <v>32716.701484274214</v>
      </c>
      <c r="E63" s="278">
        <f t="shared" si="19"/>
        <v>-12.936515725785284</v>
      </c>
      <c r="G63" s="278">
        <f t="shared" si="20"/>
        <v>-2.3070000024745241E-3</v>
      </c>
      <c r="H63" s="278">
        <f t="shared" si="20"/>
        <v>0</v>
      </c>
      <c r="I63" s="278">
        <f t="shared" si="20"/>
        <v>2.3070000034834948E-3</v>
      </c>
    </row>
    <row r="64" spans="1:17">
      <c r="A64" s="224">
        <f t="shared" si="17"/>
        <v>43191</v>
      </c>
      <c r="C64" s="59">
        <v>29653.347000000002</v>
      </c>
      <c r="D64" s="278">
        <f t="shared" si="18"/>
        <v>29697.056929431554</v>
      </c>
      <c r="E64" s="278">
        <f t="shared" si="19"/>
        <v>43.709929431552155</v>
      </c>
      <c r="G64" s="278">
        <f t="shared" si="20"/>
        <v>-1.5950000015436672E-3</v>
      </c>
      <c r="H64" s="278">
        <f t="shared" si="20"/>
        <v>0</v>
      </c>
      <c r="I64" s="278">
        <f t="shared" si="20"/>
        <v>1.5950000000799491E-3</v>
      </c>
    </row>
    <row r="65" spans="1:9">
      <c r="A65" s="224">
        <f t="shared" si="17"/>
        <v>43221</v>
      </c>
      <c r="C65" s="59">
        <v>28626.892</v>
      </c>
      <c r="D65" s="278">
        <f t="shared" si="18"/>
        <v>28628.284304680983</v>
      </c>
      <c r="E65" s="278">
        <f t="shared" si="19"/>
        <v>1.3923046809832158</v>
      </c>
      <c r="G65" s="278">
        <f t="shared" si="20"/>
        <v>-2.6409999991301447E-3</v>
      </c>
      <c r="H65" s="278">
        <f t="shared" si="20"/>
        <v>0</v>
      </c>
      <c r="I65" s="278">
        <f t="shared" si="20"/>
        <v>2.641000002526539E-3</v>
      </c>
    </row>
    <row r="66" spans="1:9">
      <c r="A66" s="224">
        <f t="shared" si="17"/>
        <v>43252</v>
      </c>
      <c r="C66" s="59">
        <v>27309.827000000001</v>
      </c>
      <c r="D66" s="278">
        <f t="shared" si="18"/>
        <v>27190.187886630079</v>
      </c>
      <c r="E66" s="278">
        <f t="shared" si="19"/>
        <v>-119.63911336992169</v>
      </c>
      <c r="G66" s="278">
        <f t="shared" si="20"/>
        <v>2.1770000021206215E-3</v>
      </c>
      <c r="H66" s="278">
        <f t="shared" si="20"/>
        <v>0</v>
      </c>
      <c r="I66" s="278">
        <f t="shared" si="20"/>
        <v>-2.17700000109744E-3</v>
      </c>
    </row>
    <row r="67" spans="1:9">
      <c r="A67" s="224">
        <f t="shared" si="17"/>
        <v>43282</v>
      </c>
      <c r="C67" s="59">
        <v>29390.128000000001</v>
      </c>
      <c r="D67" s="278">
        <f t="shared" si="18"/>
        <v>28550.127058388924</v>
      </c>
      <c r="E67" s="278">
        <f t="shared" si="19"/>
        <v>-840.000941611077</v>
      </c>
      <c r="G67" s="278">
        <f t="shared" si="20"/>
        <v>4.3240000013611279E-3</v>
      </c>
      <c r="H67" s="278">
        <f t="shared" si="20"/>
        <v>0</v>
      </c>
      <c r="I67" s="278">
        <f t="shared" si="20"/>
        <v>-4.3239999940851703E-3</v>
      </c>
    </row>
    <row r="68" spans="1:9">
      <c r="A68" s="224">
        <f t="shared" si="17"/>
        <v>43313</v>
      </c>
      <c r="C68" s="59">
        <v>31555.887999999999</v>
      </c>
      <c r="D68" s="278">
        <f t="shared" si="18"/>
        <v>31061.730158659415</v>
      </c>
      <c r="E68" s="278">
        <f t="shared" si="19"/>
        <v>-494.15784134058413</v>
      </c>
      <c r="G68" s="278">
        <f t="shared" si="20"/>
        <v>3.5190000053262338E-3</v>
      </c>
      <c r="H68" s="278">
        <f t="shared" si="20"/>
        <v>0</v>
      </c>
      <c r="I68" s="278">
        <f t="shared" si="20"/>
        <v>-3.5190000039619918E-3</v>
      </c>
    </row>
    <row r="69" spans="1:9">
      <c r="A69" s="224">
        <f t="shared" si="17"/>
        <v>43344</v>
      </c>
      <c r="C69" s="59">
        <v>30000.577000000001</v>
      </c>
      <c r="D69" s="278">
        <f t="shared" si="18"/>
        <v>30077.867822852579</v>
      </c>
      <c r="E69" s="278">
        <f t="shared" si="19"/>
        <v>77.290822852577548</v>
      </c>
      <c r="G69" s="278">
        <f t="shared" si="20"/>
        <v>-2.2089999984018505E-3</v>
      </c>
      <c r="H69" s="278">
        <f t="shared" si="20"/>
        <v>0</v>
      </c>
      <c r="I69" s="278">
        <f t="shared" si="20"/>
        <v>2.2089999963554874E-3</v>
      </c>
    </row>
    <row r="70" spans="1:9">
      <c r="A70" s="224">
        <f t="shared" si="17"/>
        <v>43374</v>
      </c>
      <c r="C70" s="59">
        <v>17504.791000000001</v>
      </c>
      <c r="D70" s="278">
        <f t="shared" si="18"/>
        <v>17561.251389233144</v>
      </c>
      <c r="E70" s="278">
        <f t="shared" si="19"/>
        <v>56.46038923314336</v>
      </c>
      <c r="G70" s="278">
        <f t="shared" si="20"/>
        <v>9.4399999943561852E-4</v>
      </c>
      <c r="H70" s="278">
        <f t="shared" si="20"/>
        <v>0</v>
      </c>
      <c r="I70" s="278">
        <f t="shared" si="20"/>
        <v>-9.4399999603922424E-4</v>
      </c>
    </row>
    <row r="71" spans="1:9">
      <c r="A71" s="224">
        <f t="shared" si="17"/>
        <v>43405</v>
      </c>
      <c r="C71" s="59">
        <v>35966.337</v>
      </c>
      <c r="D71" s="278">
        <f t="shared" si="18"/>
        <v>36213.003418887114</v>
      </c>
      <c r="E71" s="278">
        <f t="shared" si="19"/>
        <v>246.66641888711456</v>
      </c>
      <c r="G71" s="278">
        <f t="shared" si="20"/>
        <v>-3.0480000059469603E-3</v>
      </c>
      <c r="H71" s="278">
        <f t="shared" si="20"/>
        <v>0</v>
      </c>
      <c r="I71" s="278">
        <f t="shared" si="20"/>
        <v>3.0480000071975155E-3</v>
      </c>
    </row>
    <row r="72" spans="1:9">
      <c r="A72" s="224">
        <f t="shared" si="17"/>
        <v>43435</v>
      </c>
      <c r="C72" s="355">
        <v>28404.613000000001</v>
      </c>
      <c r="D72" s="279">
        <f t="shared" si="18"/>
        <v>28641.915342897297</v>
      </c>
      <c r="E72" s="279">
        <f t="shared" si="19"/>
        <v>237.3023428972956</v>
      </c>
      <c r="G72" s="278">
        <f t="shared" si="20"/>
        <v>-7.9900000127963722E-4</v>
      </c>
      <c r="H72" s="278">
        <f t="shared" si="20"/>
        <v>0</v>
      </c>
      <c r="I72" s="278">
        <f t="shared" si="20"/>
        <v>7.9900000247334901E-4</v>
      </c>
    </row>
    <row r="73" spans="1:9">
      <c r="A73" s="224" t="s">
        <v>19</v>
      </c>
      <c r="C73" s="77">
        <f>SUM(C61:C72)</f>
        <v>351393.39600000001</v>
      </c>
      <c r="D73" s="77">
        <f t="shared" ref="D73:E73" si="21">SUM(D61:D72)</f>
        <v>350708.00818633253</v>
      </c>
      <c r="E73" s="77">
        <f t="shared" si="21"/>
        <v>-685.38781366745025</v>
      </c>
    </row>
    <row r="74" spans="1:9">
      <c r="E74" s="7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"/>
  <sheetViews>
    <sheetView topLeftCell="A115" zoomScaleNormal="100" workbookViewId="0"/>
  </sheetViews>
  <sheetFormatPr defaultColWidth="16.140625" defaultRowHeight="15"/>
  <cols>
    <col min="1" max="1" width="17.140625" style="476" customWidth="1"/>
    <col min="2" max="2" width="18" style="476" bestFit="1" customWidth="1"/>
    <col min="3" max="3" width="22.5703125" style="476" bestFit="1" customWidth="1"/>
    <col min="4" max="4" width="7.7109375" style="477" customWidth="1"/>
    <col min="5" max="16" width="13.85546875" style="476" bestFit="1" customWidth="1"/>
    <col min="17" max="17" width="13.42578125" style="476" customWidth="1"/>
    <col min="18" max="18" width="12.42578125" style="476" bestFit="1" customWidth="1"/>
    <col min="19" max="19" width="18.42578125" style="476" bestFit="1" customWidth="1"/>
    <col min="20" max="20" width="10.28515625" style="476" customWidth="1"/>
    <col min="21" max="21" width="11.140625" style="476" customWidth="1"/>
    <col min="22" max="33" width="8.7109375" style="476" customWidth="1"/>
    <col min="34" max="16384" width="16.140625" style="476"/>
  </cols>
  <sheetData>
    <row r="1" spans="1:17">
      <c r="A1" s="476" t="s">
        <v>171</v>
      </c>
      <c r="B1" s="476" t="s">
        <v>172</v>
      </c>
    </row>
    <row r="3" spans="1:17">
      <c r="A3" s="476" t="s">
        <v>173</v>
      </c>
      <c r="E3" s="476" t="s">
        <v>174</v>
      </c>
      <c r="F3" s="476" t="s">
        <v>175</v>
      </c>
    </row>
    <row r="4" spans="1:17">
      <c r="E4" s="476">
        <v>2018</v>
      </c>
      <c r="Q4" s="476" t="s">
        <v>21</v>
      </c>
    </row>
    <row r="5" spans="1:17">
      <c r="A5" s="476" t="s">
        <v>176</v>
      </c>
      <c r="B5" s="476" t="s">
        <v>177</v>
      </c>
      <c r="C5" s="476" t="s">
        <v>178</v>
      </c>
      <c r="D5" s="477" t="s">
        <v>179</v>
      </c>
      <c r="E5" s="476">
        <v>1</v>
      </c>
      <c r="F5" s="476">
        <v>2</v>
      </c>
      <c r="G5" s="476">
        <v>3</v>
      </c>
      <c r="H5" s="476">
        <v>4</v>
      </c>
      <c r="I5" s="476">
        <v>5</v>
      </c>
      <c r="J5" s="476">
        <v>6</v>
      </c>
      <c r="K5" s="476">
        <v>7</v>
      </c>
      <c r="L5" s="476">
        <v>8</v>
      </c>
      <c r="M5" s="476">
        <v>9</v>
      </c>
      <c r="N5" s="476">
        <v>10</v>
      </c>
      <c r="O5" s="476">
        <v>11</v>
      </c>
      <c r="P5" s="476">
        <v>12</v>
      </c>
    </row>
    <row r="6" spans="1:17">
      <c r="B6" s="475"/>
      <c r="C6" s="475"/>
      <c r="D6" s="477">
        <v>31</v>
      </c>
      <c r="E6" s="479">
        <v>2637600</v>
      </c>
      <c r="F6" s="479">
        <v>2479200</v>
      </c>
      <c r="G6" s="479">
        <v>2692800</v>
      </c>
      <c r="H6" s="479">
        <v>2407200</v>
      </c>
      <c r="I6" s="479">
        <v>2568000</v>
      </c>
      <c r="J6" s="479">
        <v>2712000</v>
      </c>
      <c r="K6" s="479">
        <v>2500800</v>
      </c>
      <c r="L6" s="479">
        <v>2517600</v>
      </c>
      <c r="M6" s="479">
        <v>2839200</v>
      </c>
      <c r="N6" s="479">
        <v>2486400</v>
      </c>
      <c r="O6" s="479">
        <v>2678400</v>
      </c>
      <c r="P6" s="479">
        <v>2515200</v>
      </c>
      <c r="Q6" s="479">
        <v>31034400</v>
      </c>
    </row>
    <row r="7" spans="1:17">
      <c r="B7" s="475"/>
      <c r="C7" s="475"/>
      <c r="D7" s="477">
        <v>24</v>
      </c>
      <c r="E7" s="479">
        <v>6010</v>
      </c>
      <c r="F7" s="479">
        <v>5710</v>
      </c>
      <c r="G7" s="479">
        <v>5860</v>
      </c>
      <c r="H7" s="479">
        <v>5480</v>
      </c>
      <c r="I7" s="479">
        <v>5140</v>
      </c>
      <c r="J7" s="479">
        <v>4900</v>
      </c>
      <c r="K7" s="479">
        <v>5060</v>
      </c>
      <c r="L7" s="479">
        <v>5380</v>
      </c>
      <c r="M7" s="479">
        <v>5200</v>
      </c>
      <c r="N7" s="479">
        <v>5430</v>
      </c>
      <c r="O7" s="479">
        <v>5420</v>
      </c>
      <c r="P7" s="479">
        <v>5940</v>
      </c>
      <c r="Q7" s="479">
        <v>65530</v>
      </c>
    </row>
    <row r="8" spans="1:17">
      <c r="B8" s="475"/>
      <c r="C8" s="475"/>
      <c r="D8" s="477">
        <v>26</v>
      </c>
      <c r="E8" s="479">
        <v>350700</v>
      </c>
      <c r="F8" s="479">
        <v>339900</v>
      </c>
      <c r="G8" s="479">
        <v>341400</v>
      </c>
      <c r="H8" s="479">
        <v>348600</v>
      </c>
      <c r="I8" s="479">
        <v>337355</v>
      </c>
      <c r="J8" s="479">
        <v>358945</v>
      </c>
      <c r="K8" s="479">
        <v>394200</v>
      </c>
      <c r="L8" s="479">
        <v>444000</v>
      </c>
      <c r="M8" s="479">
        <v>427500</v>
      </c>
      <c r="N8" s="479">
        <v>384900</v>
      </c>
      <c r="O8" s="479">
        <v>385800</v>
      </c>
      <c r="P8" s="479">
        <v>382200</v>
      </c>
      <c r="Q8" s="479">
        <v>4495500</v>
      </c>
    </row>
    <row r="9" spans="1:17">
      <c r="B9" s="475"/>
      <c r="C9" s="475"/>
      <c r="D9" s="477">
        <v>25</v>
      </c>
      <c r="E9" s="479">
        <v>89100</v>
      </c>
      <c r="F9" s="479">
        <v>84900</v>
      </c>
      <c r="G9" s="479">
        <v>89100</v>
      </c>
      <c r="H9" s="479">
        <v>86400</v>
      </c>
      <c r="I9" s="479">
        <v>86100</v>
      </c>
      <c r="J9" s="479">
        <v>86100</v>
      </c>
      <c r="K9" s="479">
        <v>88800</v>
      </c>
      <c r="L9" s="479">
        <v>99300</v>
      </c>
      <c r="M9" s="479">
        <v>92700</v>
      </c>
      <c r="N9" s="479">
        <v>97500</v>
      </c>
      <c r="O9" s="479">
        <v>87000</v>
      </c>
      <c r="P9" s="479">
        <v>93600</v>
      </c>
      <c r="Q9" s="479">
        <v>1080600</v>
      </c>
    </row>
    <row r="10" spans="1:17">
      <c r="B10" s="475"/>
      <c r="C10" s="475"/>
      <c r="D10" s="477">
        <v>25</v>
      </c>
      <c r="E10" s="479">
        <v>92640</v>
      </c>
      <c r="F10" s="479">
        <v>86160</v>
      </c>
      <c r="G10" s="479">
        <v>87840</v>
      </c>
      <c r="H10" s="479">
        <v>84600</v>
      </c>
      <c r="I10" s="479">
        <v>89400</v>
      </c>
      <c r="J10" s="479">
        <v>102360</v>
      </c>
      <c r="K10" s="479">
        <v>102720</v>
      </c>
      <c r="L10" s="479">
        <v>125520</v>
      </c>
      <c r="M10" s="479">
        <v>117840</v>
      </c>
      <c r="N10" s="479">
        <v>105000</v>
      </c>
      <c r="O10" s="479">
        <v>87720</v>
      </c>
      <c r="P10" s="479">
        <v>93240</v>
      </c>
      <c r="Q10" s="479">
        <v>1175040</v>
      </c>
    </row>
    <row r="11" spans="1:17">
      <c r="B11" s="475"/>
      <c r="C11" s="475"/>
      <c r="D11" s="477">
        <v>26</v>
      </c>
      <c r="E11" s="479">
        <v>385500</v>
      </c>
      <c r="F11" s="479">
        <v>391200</v>
      </c>
      <c r="G11" s="479">
        <v>384300</v>
      </c>
      <c r="H11" s="479">
        <v>346800</v>
      </c>
      <c r="I11" s="479">
        <v>344400</v>
      </c>
      <c r="J11" s="479">
        <v>323400</v>
      </c>
      <c r="K11" s="479">
        <v>320400</v>
      </c>
      <c r="L11" s="479">
        <v>365100</v>
      </c>
      <c r="M11" s="479">
        <v>336900</v>
      </c>
      <c r="N11" s="479">
        <v>314100</v>
      </c>
      <c r="O11" s="479">
        <v>318900</v>
      </c>
      <c r="P11" s="479">
        <v>358200</v>
      </c>
      <c r="Q11" s="479">
        <v>4189200</v>
      </c>
    </row>
    <row r="12" spans="1:17">
      <c r="B12" s="475"/>
      <c r="C12" s="475"/>
      <c r="D12" s="477">
        <v>26</v>
      </c>
      <c r="E12" s="479">
        <v>377100</v>
      </c>
      <c r="F12" s="479">
        <v>327900</v>
      </c>
      <c r="G12" s="479">
        <v>356400</v>
      </c>
      <c r="H12" s="479">
        <v>332400</v>
      </c>
      <c r="I12" s="479">
        <v>309600</v>
      </c>
      <c r="J12" s="479">
        <v>319800</v>
      </c>
      <c r="K12" s="479">
        <v>320700</v>
      </c>
      <c r="L12" s="479">
        <v>388800</v>
      </c>
      <c r="M12" s="479">
        <v>369000</v>
      </c>
      <c r="N12" s="479">
        <v>357900</v>
      </c>
      <c r="O12" s="479">
        <v>298500</v>
      </c>
      <c r="P12" s="479">
        <v>327000</v>
      </c>
      <c r="Q12" s="479">
        <v>4085100</v>
      </c>
    </row>
    <row r="13" spans="1:17">
      <c r="B13" s="475"/>
      <c r="C13" s="475"/>
      <c r="D13" s="477">
        <v>25</v>
      </c>
      <c r="E13" s="479">
        <v>44100</v>
      </c>
      <c r="F13" s="479">
        <v>43200</v>
      </c>
      <c r="G13" s="479">
        <v>48000</v>
      </c>
      <c r="H13" s="479">
        <v>35855</v>
      </c>
      <c r="I13" s="479">
        <v>50845</v>
      </c>
      <c r="J13" s="479">
        <v>37500</v>
      </c>
      <c r="K13" s="479">
        <v>40500</v>
      </c>
      <c r="L13" s="479">
        <v>46200</v>
      </c>
      <c r="M13" s="479">
        <v>43200</v>
      </c>
      <c r="N13" s="479">
        <v>44700</v>
      </c>
      <c r="O13" s="479">
        <v>49500</v>
      </c>
      <c r="P13" s="479">
        <v>48000</v>
      </c>
      <c r="Q13" s="479">
        <v>531600</v>
      </c>
    </row>
    <row r="14" spans="1:17">
      <c r="B14" s="475"/>
      <c r="C14" s="475"/>
      <c r="D14" s="477">
        <v>26</v>
      </c>
      <c r="E14" s="479">
        <v>256500</v>
      </c>
      <c r="F14" s="479">
        <v>256500</v>
      </c>
      <c r="G14" s="479">
        <v>251700</v>
      </c>
      <c r="H14" s="479">
        <v>225000</v>
      </c>
      <c r="I14" s="479">
        <v>224700</v>
      </c>
      <c r="J14" s="479">
        <v>216300</v>
      </c>
      <c r="K14" s="479">
        <v>210000</v>
      </c>
      <c r="L14" s="479">
        <v>243600</v>
      </c>
      <c r="M14" s="479">
        <v>232200</v>
      </c>
      <c r="N14" s="479">
        <v>210900</v>
      </c>
      <c r="O14" s="479">
        <v>226500</v>
      </c>
      <c r="P14" s="479">
        <v>243900</v>
      </c>
      <c r="Q14" s="479">
        <v>2797800</v>
      </c>
    </row>
    <row r="15" spans="1:17">
      <c r="B15" s="475"/>
      <c r="C15" s="475"/>
      <c r="D15" s="477">
        <v>26</v>
      </c>
      <c r="E15" s="479">
        <v>247200</v>
      </c>
      <c r="F15" s="479">
        <v>219600</v>
      </c>
      <c r="G15" s="479">
        <v>238500</v>
      </c>
      <c r="H15" s="479">
        <v>219600</v>
      </c>
      <c r="I15" s="479">
        <v>206100</v>
      </c>
      <c r="J15" s="479">
        <v>187200</v>
      </c>
      <c r="K15" s="479">
        <v>183600</v>
      </c>
      <c r="L15" s="479">
        <v>217200</v>
      </c>
      <c r="M15" s="479">
        <v>202800</v>
      </c>
      <c r="N15" s="479">
        <v>199500</v>
      </c>
      <c r="O15" s="479">
        <v>187500</v>
      </c>
      <c r="P15" s="479">
        <v>215400</v>
      </c>
      <c r="Q15" s="479">
        <v>2524200</v>
      </c>
    </row>
    <row r="16" spans="1:17">
      <c r="B16" s="475"/>
      <c r="C16" s="475"/>
      <c r="D16" s="477">
        <v>25</v>
      </c>
      <c r="E16" s="479">
        <v>154500</v>
      </c>
      <c r="F16" s="479">
        <v>136200</v>
      </c>
      <c r="G16" s="479">
        <v>143400</v>
      </c>
      <c r="H16" s="479">
        <v>128100</v>
      </c>
      <c r="I16" s="479">
        <v>123900</v>
      </c>
      <c r="J16" s="479">
        <v>125400</v>
      </c>
      <c r="K16" s="479">
        <v>122100</v>
      </c>
      <c r="L16" s="479">
        <v>148800</v>
      </c>
      <c r="M16" s="479">
        <v>141900</v>
      </c>
      <c r="N16" s="479">
        <v>128400</v>
      </c>
      <c r="O16" s="479">
        <v>66600</v>
      </c>
      <c r="P16" s="479">
        <v>82800</v>
      </c>
      <c r="Q16" s="479">
        <v>1502100</v>
      </c>
    </row>
    <row r="17" spans="2:17">
      <c r="B17" s="475"/>
      <c r="C17" s="475"/>
      <c r="D17" s="477">
        <v>25</v>
      </c>
      <c r="E17" s="479">
        <v>37120</v>
      </c>
      <c r="F17" s="479">
        <v>37280</v>
      </c>
      <c r="G17" s="479">
        <v>37040</v>
      </c>
      <c r="H17" s="479">
        <v>33680</v>
      </c>
      <c r="I17" s="479">
        <v>32160</v>
      </c>
      <c r="J17" s="479">
        <v>25280</v>
      </c>
      <c r="K17" s="479">
        <v>23840</v>
      </c>
      <c r="L17" s="479">
        <v>24640</v>
      </c>
      <c r="M17" s="479">
        <v>23760</v>
      </c>
      <c r="N17" s="479">
        <v>22720</v>
      </c>
      <c r="O17" s="479">
        <v>24320</v>
      </c>
      <c r="P17" s="479">
        <v>27920</v>
      </c>
      <c r="Q17" s="479">
        <v>349760</v>
      </c>
    </row>
    <row r="18" spans="2:17">
      <c r="B18" s="475"/>
      <c r="C18" s="475"/>
      <c r="D18" s="477">
        <v>26</v>
      </c>
      <c r="E18" s="479">
        <v>308400</v>
      </c>
      <c r="F18" s="479"/>
      <c r="G18" s="479">
        <v>574200</v>
      </c>
      <c r="H18" s="479">
        <v>254400</v>
      </c>
      <c r="I18" s="479">
        <v>306600</v>
      </c>
      <c r="J18" s="479">
        <v>335400</v>
      </c>
      <c r="K18" s="479">
        <v>330000</v>
      </c>
      <c r="L18" s="479">
        <v>382800</v>
      </c>
      <c r="M18" s="479">
        <v>317400</v>
      </c>
      <c r="N18" s="479">
        <v>286800</v>
      </c>
      <c r="O18" s="479"/>
      <c r="P18" s="479">
        <v>595200</v>
      </c>
      <c r="Q18" s="479">
        <v>3691200</v>
      </c>
    </row>
    <row r="19" spans="2:17">
      <c r="B19" s="475"/>
      <c r="C19" s="475"/>
      <c r="D19" s="477">
        <v>31</v>
      </c>
      <c r="E19" s="479">
        <v>748800</v>
      </c>
      <c r="F19" s="479">
        <v>789600</v>
      </c>
      <c r="G19" s="479">
        <v>710400</v>
      </c>
      <c r="H19" s="479">
        <v>720000</v>
      </c>
      <c r="I19" s="479">
        <v>741600</v>
      </c>
      <c r="J19" s="479">
        <v>844800</v>
      </c>
      <c r="K19" s="479">
        <v>842400</v>
      </c>
      <c r="L19" s="479">
        <v>916800</v>
      </c>
      <c r="M19" s="479">
        <v>811200</v>
      </c>
      <c r="N19" s="479">
        <v>729600</v>
      </c>
      <c r="O19" s="479">
        <v>753600</v>
      </c>
      <c r="P19" s="479">
        <v>808800</v>
      </c>
      <c r="Q19" s="479">
        <v>9417600</v>
      </c>
    </row>
    <row r="20" spans="2:17">
      <c r="B20" s="475"/>
      <c r="C20" s="475"/>
      <c r="D20" s="477">
        <v>31</v>
      </c>
      <c r="E20" s="479">
        <v>1500000</v>
      </c>
      <c r="F20" s="479">
        <v>1788000</v>
      </c>
      <c r="G20" s="479">
        <v>1617600</v>
      </c>
      <c r="H20" s="479">
        <v>1644000</v>
      </c>
      <c r="I20" s="479">
        <v>1668000</v>
      </c>
      <c r="J20" s="479"/>
      <c r="K20" s="479">
        <v>3597600</v>
      </c>
      <c r="L20" s="479">
        <v>1807200</v>
      </c>
      <c r="M20" s="479"/>
      <c r="N20" s="479">
        <v>3648000</v>
      </c>
      <c r="O20" s="479">
        <v>1910400</v>
      </c>
      <c r="P20" s="479">
        <v>1598400</v>
      </c>
      <c r="Q20" s="479">
        <v>20779200</v>
      </c>
    </row>
    <row r="21" spans="2:17">
      <c r="B21" s="475"/>
      <c r="C21" s="475"/>
      <c r="D21" s="477" t="s">
        <v>180</v>
      </c>
      <c r="E21" s="479">
        <v>173100</v>
      </c>
      <c r="F21" s="479">
        <v>135900</v>
      </c>
      <c r="G21" s="479">
        <v>155400</v>
      </c>
      <c r="H21" s="479">
        <v>175500</v>
      </c>
      <c r="I21" s="479"/>
      <c r="J21" s="479">
        <v>22156</v>
      </c>
      <c r="K21" s="479">
        <v>319047</v>
      </c>
      <c r="L21" s="479">
        <v>230590</v>
      </c>
      <c r="M21" s="479">
        <v>215139</v>
      </c>
      <c r="N21" s="479">
        <v>169894</v>
      </c>
      <c r="O21" s="479">
        <v>157921</v>
      </c>
      <c r="P21" s="479">
        <v>142014</v>
      </c>
      <c r="Q21" s="479">
        <v>1896661</v>
      </c>
    </row>
    <row r="22" spans="2:17">
      <c r="B22" s="475"/>
      <c r="C22" s="475"/>
      <c r="D22" s="477" t="s">
        <v>180</v>
      </c>
      <c r="E22" s="479">
        <v>649799</v>
      </c>
      <c r="F22" s="479">
        <v>554100</v>
      </c>
      <c r="G22" s="479">
        <v>550200</v>
      </c>
      <c r="H22" s="479">
        <v>771600</v>
      </c>
      <c r="I22" s="479"/>
      <c r="J22" s="479">
        <v>74833</v>
      </c>
      <c r="K22" s="479">
        <v>1004112</v>
      </c>
      <c r="L22" s="479">
        <v>556802</v>
      </c>
      <c r="M22" s="479">
        <v>594127</v>
      </c>
      <c r="N22" s="479">
        <v>584313</v>
      </c>
      <c r="O22" s="479">
        <v>606404</v>
      </c>
      <c r="P22" s="479">
        <v>589545</v>
      </c>
      <c r="Q22" s="479">
        <v>6535835</v>
      </c>
    </row>
    <row r="23" spans="2:17">
      <c r="B23" s="475"/>
      <c r="C23" s="475"/>
      <c r="D23" s="477" t="s">
        <v>180</v>
      </c>
      <c r="E23" s="479">
        <v>160200</v>
      </c>
      <c r="F23" s="479">
        <v>154800</v>
      </c>
      <c r="G23" s="479">
        <v>159300</v>
      </c>
      <c r="H23" s="479">
        <v>230700</v>
      </c>
      <c r="I23" s="479"/>
      <c r="J23" s="479">
        <v>21772</v>
      </c>
      <c r="K23" s="479">
        <v>288643</v>
      </c>
      <c r="L23" s="479">
        <v>144945</v>
      </c>
      <c r="M23" s="479">
        <v>125999</v>
      </c>
      <c r="N23" s="479">
        <v>92782</v>
      </c>
      <c r="O23" s="479">
        <v>120337</v>
      </c>
      <c r="P23" s="479">
        <v>118466</v>
      </c>
      <c r="Q23" s="479">
        <v>1617944</v>
      </c>
    </row>
    <row r="24" spans="2:17">
      <c r="B24" s="475"/>
      <c r="C24" s="475"/>
      <c r="D24" s="477" t="s">
        <v>180</v>
      </c>
      <c r="E24" s="479">
        <v>0</v>
      </c>
      <c r="F24" s="479">
        <v>0</v>
      </c>
      <c r="G24" s="479">
        <v>0</v>
      </c>
      <c r="H24" s="479">
        <v>0</v>
      </c>
      <c r="I24" s="479">
        <v>0</v>
      </c>
      <c r="J24" s="479">
        <v>0</v>
      </c>
      <c r="K24" s="479">
        <v>0</v>
      </c>
      <c r="L24" s="479">
        <v>0</v>
      </c>
      <c r="M24" s="479">
        <v>0</v>
      </c>
      <c r="N24" s="479">
        <v>0</v>
      </c>
      <c r="O24" s="479">
        <v>71</v>
      </c>
      <c r="P24" s="479">
        <v>72</v>
      </c>
      <c r="Q24" s="479">
        <v>143</v>
      </c>
    </row>
    <row r="25" spans="2:17">
      <c r="B25" s="475"/>
      <c r="C25" s="475"/>
      <c r="D25" s="477" t="s">
        <v>180</v>
      </c>
      <c r="E25" s="479">
        <v>93900</v>
      </c>
      <c r="F25" s="479">
        <v>95400</v>
      </c>
      <c r="G25" s="479">
        <v>94500</v>
      </c>
      <c r="H25" s="479">
        <v>101100</v>
      </c>
      <c r="I25" s="479">
        <v>100200</v>
      </c>
      <c r="J25" s="479">
        <v>102900</v>
      </c>
      <c r="K25" s="479">
        <v>105900</v>
      </c>
      <c r="L25" s="479">
        <v>104400</v>
      </c>
      <c r="M25" s="479">
        <v>100800</v>
      </c>
      <c r="N25" s="479">
        <v>45000</v>
      </c>
      <c r="O25" s="479">
        <v>100049</v>
      </c>
      <c r="P25" s="479">
        <v>94728</v>
      </c>
      <c r="Q25" s="479">
        <v>1138877</v>
      </c>
    </row>
    <row r="26" spans="2:17">
      <c r="B26" s="475"/>
      <c r="C26" s="475"/>
      <c r="D26" s="477" t="s">
        <v>180</v>
      </c>
      <c r="E26" s="479">
        <v>174300</v>
      </c>
      <c r="F26" s="479">
        <v>131700</v>
      </c>
      <c r="G26" s="479">
        <v>142800</v>
      </c>
      <c r="H26" s="479">
        <v>108000</v>
      </c>
      <c r="I26" s="479">
        <v>105600</v>
      </c>
      <c r="J26" s="479">
        <v>108900</v>
      </c>
      <c r="K26" s="479">
        <v>146400</v>
      </c>
      <c r="L26" s="479">
        <v>146100</v>
      </c>
      <c r="M26" s="479">
        <v>105000</v>
      </c>
      <c r="N26" s="479">
        <v>48300</v>
      </c>
      <c r="O26" s="479">
        <v>102996</v>
      </c>
      <c r="P26" s="479">
        <v>106169</v>
      </c>
      <c r="Q26" s="479">
        <v>1426265</v>
      </c>
    </row>
    <row r="27" spans="2:17">
      <c r="B27" s="475"/>
      <c r="C27" s="475"/>
      <c r="D27" s="477" t="s">
        <v>180</v>
      </c>
      <c r="E27" s="479">
        <v>101700</v>
      </c>
      <c r="F27" s="479">
        <v>102300</v>
      </c>
      <c r="G27" s="479">
        <v>102600</v>
      </c>
      <c r="H27" s="479">
        <v>103800</v>
      </c>
      <c r="I27" s="479">
        <v>98700</v>
      </c>
      <c r="J27" s="479">
        <v>102900</v>
      </c>
      <c r="K27" s="479">
        <v>107700</v>
      </c>
      <c r="L27" s="479">
        <v>95400</v>
      </c>
      <c r="M27" s="479">
        <v>101400</v>
      </c>
      <c r="N27" s="479">
        <v>49500</v>
      </c>
      <c r="O27" s="479">
        <v>107731</v>
      </c>
      <c r="P27" s="479">
        <v>102815</v>
      </c>
      <c r="Q27" s="479">
        <v>1176546</v>
      </c>
    </row>
    <row r="28" spans="2:17">
      <c r="B28" s="475"/>
      <c r="C28" s="475"/>
      <c r="D28" s="477" t="s">
        <v>180</v>
      </c>
      <c r="E28" s="479">
        <v>175200</v>
      </c>
      <c r="F28" s="479">
        <v>132000</v>
      </c>
      <c r="G28" s="479">
        <v>165000</v>
      </c>
      <c r="H28" s="479">
        <v>109500</v>
      </c>
      <c r="I28" s="479">
        <v>87900</v>
      </c>
      <c r="J28" s="479">
        <v>82200</v>
      </c>
      <c r="K28" s="479">
        <v>101100</v>
      </c>
      <c r="L28" s="479">
        <v>119400</v>
      </c>
      <c r="M28" s="479">
        <v>110700</v>
      </c>
      <c r="N28" s="479">
        <v>42000</v>
      </c>
      <c r="O28" s="479">
        <v>99068</v>
      </c>
      <c r="P28" s="479">
        <v>109601</v>
      </c>
      <c r="Q28" s="479">
        <v>1333669</v>
      </c>
    </row>
    <row r="29" spans="2:17">
      <c r="B29" s="475"/>
      <c r="C29" s="475"/>
      <c r="D29" s="477" t="s">
        <v>180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7</v>
      </c>
      <c r="P29" s="479">
        <v>6</v>
      </c>
      <c r="Q29" s="479">
        <v>13</v>
      </c>
    </row>
    <row r="30" spans="2:17">
      <c r="B30" s="475"/>
      <c r="C30" s="475"/>
      <c r="D30" s="477" t="s">
        <v>180</v>
      </c>
      <c r="E30" s="479">
        <v>804000</v>
      </c>
      <c r="F30" s="479">
        <v>679200</v>
      </c>
      <c r="G30" s="479">
        <v>650400</v>
      </c>
      <c r="H30" s="479">
        <v>614400</v>
      </c>
      <c r="I30" s="479">
        <v>652800</v>
      </c>
      <c r="J30" s="479">
        <v>631200</v>
      </c>
      <c r="K30" s="479">
        <v>645600</v>
      </c>
      <c r="L30" s="479">
        <v>715200</v>
      </c>
      <c r="M30" s="479">
        <v>609600</v>
      </c>
      <c r="N30" s="479">
        <v>0</v>
      </c>
      <c r="O30" s="479">
        <v>769246</v>
      </c>
      <c r="P30" s="479">
        <v>564545</v>
      </c>
      <c r="Q30" s="479">
        <v>7336191</v>
      </c>
    </row>
    <row r="31" spans="2:17">
      <c r="B31" s="475"/>
      <c r="C31" s="475"/>
      <c r="D31" s="477" t="s">
        <v>180</v>
      </c>
      <c r="E31" s="479">
        <v>158840</v>
      </c>
      <c r="F31" s="479">
        <v>117359</v>
      </c>
      <c r="G31" s="479">
        <v>74500</v>
      </c>
      <c r="H31" s="479">
        <v>103700</v>
      </c>
      <c r="I31" s="479">
        <v>87100</v>
      </c>
      <c r="J31" s="479">
        <v>83600</v>
      </c>
      <c r="K31" s="479">
        <v>87500</v>
      </c>
      <c r="L31" s="479">
        <v>67600</v>
      </c>
      <c r="M31" s="479">
        <v>67500</v>
      </c>
      <c r="N31" s="479">
        <v>76600</v>
      </c>
      <c r="O31" s="479">
        <v>82100</v>
      </c>
      <c r="P31" s="479">
        <v>92700</v>
      </c>
      <c r="Q31" s="479">
        <v>1099099</v>
      </c>
    </row>
    <row r="32" spans="2:17">
      <c r="B32" s="475"/>
      <c r="C32" s="475"/>
      <c r="D32" s="477" t="s">
        <v>180</v>
      </c>
      <c r="E32" s="479">
        <v>133800</v>
      </c>
      <c r="F32" s="479">
        <v>120840</v>
      </c>
      <c r="G32" s="479">
        <v>131760</v>
      </c>
      <c r="H32" s="479">
        <v>114120</v>
      </c>
      <c r="I32" s="479">
        <v>95760</v>
      </c>
      <c r="J32" s="479">
        <v>90240</v>
      </c>
      <c r="K32" s="479">
        <v>91200</v>
      </c>
      <c r="L32" s="479">
        <v>88560</v>
      </c>
      <c r="M32" s="479">
        <v>82920</v>
      </c>
      <c r="N32" s="479">
        <v>88920</v>
      </c>
      <c r="O32" s="479">
        <v>93120</v>
      </c>
      <c r="P32" s="479">
        <v>168961</v>
      </c>
      <c r="Q32" s="479">
        <v>1300201</v>
      </c>
    </row>
    <row r="33" spans="2:17">
      <c r="B33" s="475"/>
      <c r="C33" s="475"/>
      <c r="D33" s="477" t="s">
        <v>180</v>
      </c>
      <c r="E33" s="479">
        <v>58483</v>
      </c>
      <c r="F33" s="479">
        <v>53758</v>
      </c>
      <c r="G33" s="479">
        <v>50085</v>
      </c>
      <c r="H33" s="479">
        <v>48034</v>
      </c>
      <c r="I33" s="479">
        <v>41316</v>
      </c>
      <c r="J33" s="479">
        <v>38204</v>
      </c>
      <c r="K33" s="479">
        <v>37817</v>
      </c>
      <c r="L33" s="479">
        <v>52185</v>
      </c>
      <c r="M33" s="479">
        <v>45709</v>
      </c>
      <c r="N33" s="479">
        <v>38719</v>
      </c>
      <c r="O33" s="479">
        <v>50330</v>
      </c>
      <c r="P33" s="479">
        <v>44631</v>
      </c>
      <c r="Q33" s="479">
        <v>559271</v>
      </c>
    </row>
    <row r="34" spans="2:17">
      <c r="B34" s="475"/>
      <c r="C34" s="475"/>
      <c r="D34" s="477" t="s">
        <v>180</v>
      </c>
      <c r="E34" s="479">
        <v>328624</v>
      </c>
      <c r="F34" s="479">
        <v>303640</v>
      </c>
      <c r="G34" s="479">
        <v>282612</v>
      </c>
      <c r="H34" s="479">
        <v>257027</v>
      </c>
      <c r="I34" s="479">
        <v>233874</v>
      </c>
      <c r="J34" s="479">
        <v>239604</v>
      </c>
      <c r="K34" s="479">
        <v>234280</v>
      </c>
      <c r="L34" s="479">
        <v>222901</v>
      </c>
      <c r="M34" s="479">
        <v>221168</v>
      </c>
      <c r="N34" s="479">
        <v>192534</v>
      </c>
      <c r="O34" s="479">
        <v>235362</v>
      </c>
      <c r="P34" s="479">
        <v>233143</v>
      </c>
      <c r="Q34" s="479">
        <v>2984769</v>
      </c>
    </row>
    <row r="35" spans="2:17">
      <c r="B35" s="475"/>
      <c r="C35" s="475"/>
      <c r="D35" s="477" t="s">
        <v>180</v>
      </c>
      <c r="E35" s="479">
        <v>60000</v>
      </c>
      <c r="F35" s="479">
        <v>57600</v>
      </c>
      <c r="G35" s="479">
        <v>31200</v>
      </c>
      <c r="H35" s="479">
        <v>37059</v>
      </c>
      <c r="I35" s="479">
        <v>57595</v>
      </c>
      <c r="J35" s="479">
        <v>88413</v>
      </c>
      <c r="K35" s="479">
        <v>104684</v>
      </c>
      <c r="L35" s="479">
        <v>166696</v>
      </c>
      <c r="M35" s="479">
        <v>153370</v>
      </c>
      <c r="N35" s="479">
        <v>91292</v>
      </c>
      <c r="O35" s="479">
        <v>63373</v>
      </c>
      <c r="P35" s="479">
        <v>53969</v>
      </c>
      <c r="Q35" s="479">
        <v>965251</v>
      </c>
    </row>
    <row r="36" spans="2:17">
      <c r="B36" s="475"/>
      <c r="C36" s="475"/>
      <c r="D36" s="477" t="s">
        <v>180</v>
      </c>
      <c r="E36" s="479">
        <v>347700</v>
      </c>
      <c r="F36" s="479">
        <v>300000</v>
      </c>
      <c r="G36" s="479">
        <v>340800</v>
      </c>
      <c r="H36" s="479">
        <v>291300</v>
      </c>
      <c r="I36" s="479">
        <v>216000</v>
      </c>
      <c r="J36" s="479">
        <v>202500</v>
      </c>
      <c r="K36" s="479">
        <v>206400</v>
      </c>
      <c r="L36" s="479">
        <v>188100</v>
      </c>
      <c r="M36" s="479">
        <v>184200</v>
      </c>
      <c r="N36" s="479">
        <v>187200</v>
      </c>
      <c r="O36" s="479">
        <v>190800</v>
      </c>
      <c r="P36" s="479">
        <v>210300</v>
      </c>
      <c r="Q36" s="479">
        <v>2865300</v>
      </c>
    </row>
    <row r="37" spans="2:17">
      <c r="B37" s="475"/>
      <c r="C37" s="475"/>
      <c r="D37" s="477" t="s">
        <v>180</v>
      </c>
      <c r="E37" s="479">
        <v>421672</v>
      </c>
      <c r="F37" s="479">
        <v>416313</v>
      </c>
      <c r="G37" s="479">
        <v>349513</v>
      </c>
      <c r="H37" s="479">
        <v>345399</v>
      </c>
      <c r="I37" s="479">
        <v>317347</v>
      </c>
      <c r="J37" s="479">
        <v>309438</v>
      </c>
      <c r="K37" s="479">
        <v>299437</v>
      </c>
      <c r="L37" s="479">
        <v>307384</v>
      </c>
      <c r="M37" s="479">
        <v>307399</v>
      </c>
      <c r="N37" s="479">
        <v>293067</v>
      </c>
      <c r="O37" s="479">
        <v>331214</v>
      </c>
      <c r="P37" s="479">
        <v>329150</v>
      </c>
      <c r="Q37" s="479">
        <v>4027333</v>
      </c>
    </row>
    <row r="38" spans="2:17">
      <c r="B38" s="475"/>
      <c r="C38" s="475"/>
      <c r="D38" s="477" t="s">
        <v>180</v>
      </c>
      <c r="E38" s="479">
        <v>1207200</v>
      </c>
      <c r="F38" s="479">
        <v>974400</v>
      </c>
      <c r="G38" s="479">
        <v>1008000</v>
      </c>
      <c r="H38" s="479">
        <v>945600</v>
      </c>
      <c r="I38" s="479">
        <v>885600</v>
      </c>
      <c r="J38" s="479">
        <v>811200</v>
      </c>
      <c r="K38" s="479">
        <v>868800</v>
      </c>
      <c r="L38" s="479">
        <v>847200</v>
      </c>
      <c r="M38" s="479">
        <v>0</v>
      </c>
      <c r="N38" s="479">
        <v>959714</v>
      </c>
      <c r="O38" s="479">
        <v>794767</v>
      </c>
      <c r="P38" s="479">
        <v>819003</v>
      </c>
      <c r="Q38" s="479">
        <v>10121484</v>
      </c>
    </row>
    <row r="39" spans="2:17">
      <c r="B39" s="475"/>
      <c r="C39" s="475"/>
      <c r="D39" s="477" t="s">
        <v>180</v>
      </c>
      <c r="E39" s="479">
        <v>523500</v>
      </c>
      <c r="F39" s="479">
        <v>363900</v>
      </c>
      <c r="G39" s="479">
        <v>280200</v>
      </c>
      <c r="H39" s="479">
        <v>198300</v>
      </c>
      <c r="I39" s="479">
        <v>183600</v>
      </c>
      <c r="J39" s="479">
        <v>184800</v>
      </c>
      <c r="K39" s="479">
        <v>206400</v>
      </c>
      <c r="L39" s="479">
        <v>199200</v>
      </c>
      <c r="M39" s="479">
        <v>172800</v>
      </c>
      <c r="N39" s="479">
        <v>174000</v>
      </c>
      <c r="O39" s="479">
        <v>167400</v>
      </c>
      <c r="P39" s="479">
        <v>187500</v>
      </c>
      <c r="Q39" s="479">
        <v>2841600</v>
      </c>
    </row>
    <row r="40" spans="2:17">
      <c r="B40" s="475"/>
      <c r="C40" s="475"/>
      <c r="D40" s="477" t="s">
        <v>180</v>
      </c>
      <c r="E40" s="479">
        <v>555000</v>
      </c>
      <c r="F40" s="479">
        <v>577800</v>
      </c>
      <c r="G40" s="479">
        <v>509100</v>
      </c>
      <c r="H40" s="479">
        <v>419100</v>
      </c>
      <c r="I40" s="479">
        <v>345600</v>
      </c>
      <c r="J40" s="479"/>
      <c r="K40" s="479">
        <v>340500</v>
      </c>
      <c r="L40" s="479">
        <v>371400</v>
      </c>
      <c r="M40" s="479">
        <v>323400</v>
      </c>
      <c r="N40" s="479">
        <v>233700</v>
      </c>
      <c r="O40" s="479">
        <v>198600</v>
      </c>
      <c r="P40" s="479">
        <v>384000</v>
      </c>
      <c r="Q40" s="479">
        <v>4258200</v>
      </c>
    </row>
    <row r="41" spans="2:17">
      <c r="B41" s="475"/>
      <c r="C41" s="475"/>
      <c r="D41" s="477" t="s">
        <v>180</v>
      </c>
      <c r="E41" s="479">
        <v>2056800</v>
      </c>
      <c r="F41" s="479">
        <v>1797600</v>
      </c>
      <c r="G41" s="479">
        <v>1934400</v>
      </c>
      <c r="H41" s="479">
        <v>1917600</v>
      </c>
      <c r="I41" s="479">
        <v>1776000</v>
      </c>
      <c r="J41" s="479">
        <v>1797600</v>
      </c>
      <c r="K41" s="479">
        <v>1953600</v>
      </c>
      <c r="L41" s="479">
        <v>1852800</v>
      </c>
      <c r="M41" s="479">
        <v>1555200</v>
      </c>
      <c r="N41" s="479">
        <v>780426</v>
      </c>
      <c r="O41" s="479">
        <v>1522605</v>
      </c>
      <c r="P41" s="479">
        <v>1464922</v>
      </c>
      <c r="Q41" s="479">
        <v>20409553</v>
      </c>
    </row>
    <row r="42" spans="2:17">
      <c r="B42" s="475"/>
      <c r="C42" s="475"/>
      <c r="D42" s="477" t="s">
        <v>180</v>
      </c>
      <c r="E42" s="479">
        <v>118200</v>
      </c>
      <c r="F42" s="479">
        <v>95160</v>
      </c>
      <c r="G42" s="479">
        <v>108720</v>
      </c>
      <c r="H42" s="479">
        <v>89280</v>
      </c>
      <c r="I42" s="479">
        <v>76200</v>
      </c>
      <c r="J42" s="479">
        <v>74280</v>
      </c>
      <c r="K42" s="479">
        <v>75600</v>
      </c>
      <c r="L42" s="479">
        <v>62520</v>
      </c>
      <c r="M42" s="479">
        <v>60360</v>
      </c>
      <c r="N42" s="479">
        <v>66840</v>
      </c>
      <c r="O42" s="479">
        <v>74160</v>
      </c>
      <c r="P42" s="479">
        <v>132048</v>
      </c>
      <c r="Q42" s="479">
        <v>1033368</v>
      </c>
    </row>
    <row r="43" spans="2:17">
      <c r="B43" s="475"/>
      <c r="C43" s="475"/>
      <c r="D43" s="477" t="s">
        <v>180</v>
      </c>
      <c r="E43" s="479">
        <v>95040</v>
      </c>
      <c r="F43" s="479">
        <v>79200</v>
      </c>
      <c r="G43" s="479">
        <v>102880</v>
      </c>
      <c r="H43" s="479">
        <v>77440</v>
      </c>
      <c r="I43" s="479">
        <v>58080</v>
      </c>
      <c r="J43" s="479">
        <v>56640</v>
      </c>
      <c r="K43" s="479">
        <v>63360</v>
      </c>
      <c r="L43" s="479">
        <v>58560</v>
      </c>
      <c r="M43" s="479">
        <v>61440</v>
      </c>
      <c r="N43" s="479">
        <v>71360</v>
      </c>
      <c r="O43" s="479">
        <v>77760</v>
      </c>
      <c r="P43" s="479">
        <v>82720</v>
      </c>
      <c r="Q43" s="479">
        <v>884480</v>
      </c>
    </row>
    <row r="44" spans="2:17">
      <c r="B44" s="475"/>
      <c r="C44" s="475"/>
      <c r="D44" s="477" t="s">
        <v>180</v>
      </c>
      <c r="E44" s="479">
        <v>215200</v>
      </c>
      <c r="F44" s="479">
        <v>180000</v>
      </c>
      <c r="G44" s="479">
        <v>200800</v>
      </c>
      <c r="H44" s="479">
        <v>176400</v>
      </c>
      <c r="I44" s="479">
        <v>145200</v>
      </c>
      <c r="J44" s="479">
        <v>136800</v>
      </c>
      <c r="K44" s="479">
        <v>157200</v>
      </c>
      <c r="L44" s="479">
        <v>166400</v>
      </c>
      <c r="M44" s="479">
        <v>142000</v>
      </c>
      <c r="N44" s="479">
        <v>151600</v>
      </c>
      <c r="O44" s="479">
        <v>155200</v>
      </c>
      <c r="P44" s="479">
        <v>176800</v>
      </c>
      <c r="Q44" s="479">
        <v>2003600</v>
      </c>
    </row>
    <row r="45" spans="2:17">
      <c r="B45" s="475"/>
      <c r="C45" s="475"/>
      <c r="D45" s="477" t="s">
        <v>180</v>
      </c>
      <c r="E45" s="479">
        <v>127200</v>
      </c>
      <c r="F45" s="479">
        <v>106080</v>
      </c>
      <c r="G45" s="479">
        <v>112960</v>
      </c>
      <c r="H45" s="479">
        <v>100480</v>
      </c>
      <c r="I45" s="479">
        <v>75520</v>
      </c>
      <c r="J45" s="479">
        <v>69920</v>
      </c>
      <c r="K45" s="479">
        <v>77440</v>
      </c>
      <c r="L45" s="479">
        <v>73280</v>
      </c>
      <c r="M45" s="479">
        <v>71040</v>
      </c>
      <c r="N45" s="479">
        <v>79840</v>
      </c>
      <c r="O45" s="479">
        <v>85760</v>
      </c>
      <c r="P45" s="479">
        <v>157325</v>
      </c>
      <c r="Q45" s="479">
        <v>1136845</v>
      </c>
    </row>
    <row r="46" spans="2:17">
      <c r="B46" s="475"/>
      <c r="C46" s="475"/>
      <c r="D46" s="477" t="s">
        <v>180</v>
      </c>
      <c r="E46" s="479">
        <v>198119</v>
      </c>
      <c r="F46" s="479">
        <v>173400</v>
      </c>
      <c r="G46" s="479">
        <v>186600</v>
      </c>
      <c r="H46" s="479">
        <v>175800</v>
      </c>
      <c r="I46" s="479">
        <v>160920</v>
      </c>
      <c r="J46" s="479">
        <v>168840</v>
      </c>
      <c r="K46" s="479">
        <v>192840</v>
      </c>
      <c r="L46" s="479">
        <v>179400</v>
      </c>
      <c r="M46" s="479">
        <v>141600</v>
      </c>
      <c r="N46" s="479">
        <v>120600</v>
      </c>
      <c r="O46" s="479">
        <v>115920</v>
      </c>
      <c r="P46" s="479">
        <v>73080</v>
      </c>
      <c r="Q46" s="479">
        <v>1887119</v>
      </c>
    </row>
    <row r="47" spans="2:17">
      <c r="B47" s="475"/>
      <c r="C47" s="475"/>
      <c r="D47" s="477" t="s">
        <v>180</v>
      </c>
      <c r="E47" s="479">
        <v>26440</v>
      </c>
      <c r="F47" s="479">
        <v>23040</v>
      </c>
      <c r="G47" s="479">
        <v>29080</v>
      </c>
      <c r="H47" s="479">
        <v>22560</v>
      </c>
      <c r="I47" s="479">
        <v>18440</v>
      </c>
      <c r="J47" s="479">
        <v>16800</v>
      </c>
      <c r="K47" s="479">
        <v>21200</v>
      </c>
      <c r="L47" s="479">
        <v>19920</v>
      </c>
      <c r="M47" s="479">
        <v>20080</v>
      </c>
      <c r="N47" s="479">
        <v>26880</v>
      </c>
      <c r="O47" s="479"/>
      <c r="P47" s="479">
        <v>27749</v>
      </c>
      <c r="Q47" s="479">
        <v>252189</v>
      </c>
    </row>
    <row r="48" spans="2:17">
      <c r="B48" s="475"/>
      <c r="C48" s="475"/>
      <c r="D48" s="477" t="s">
        <v>180</v>
      </c>
      <c r="E48" s="479">
        <v>861600</v>
      </c>
      <c r="F48" s="479">
        <v>760800</v>
      </c>
      <c r="G48" s="479">
        <v>656611</v>
      </c>
      <c r="H48" s="479">
        <v>560813</v>
      </c>
      <c r="I48" s="479">
        <v>727651</v>
      </c>
      <c r="J48" s="479">
        <v>747856</v>
      </c>
      <c r="K48" s="479">
        <v>706246</v>
      </c>
      <c r="L48" s="479">
        <v>742299</v>
      </c>
      <c r="M48" s="479">
        <v>729233</v>
      </c>
      <c r="N48" s="479">
        <v>655538</v>
      </c>
      <c r="O48" s="479">
        <v>709152</v>
      </c>
      <c r="P48" s="479">
        <v>722505</v>
      </c>
      <c r="Q48" s="479">
        <v>8580304</v>
      </c>
    </row>
    <row r="49" spans="2:17">
      <c r="B49" s="475"/>
      <c r="C49" s="475"/>
      <c r="D49" s="477" t="s">
        <v>180</v>
      </c>
      <c r="E49" s="479">
        <v>0</v>
      </c>
      <c r="F49" s="479">
        <v>0</v>
      </c>
      <c r="G49" s="479">
        <v>0</v>
      </c>
      <c r="H49" s="479">
        <v>0</v>
      </c>
      <c r="I49" s="479">
        <v>0</v>
      </c>
      <c r="J49" s="479">
        <v>0</v>
      </c>
      <c r="K49" s="479">
        <v>0</v>
      </c>
      <c r="L49" s="479">
        <v>0</v>
      </c>
      <c r="M49" s="479">
        <v>0</v>
      </c>
      <c r="N49" s="479">
        <v>0</v>
      </c>
      <c r="O49" s="479">
        <v>0</v>
      </c>
      <c r="P49" s="479">
        <v>0</v>
      </c>
      <c r="Q49" s="479">
        <v>0</v>
      </c>
    </row>
    <row r="50" spans="2:17">
      <c r="B50" s="475"/>
      <c r="C50" s="475"/>
      <c r="D50" s="477" t="s">
        <v>180</v>
      </c>
      <c r="E50" s="479">
        <v>84688</v>
      </c>
      <c r="F50" s="479">
        <v>76817</v>
      </c>
      <c r="G50" s="479">
        <v>74806</v>
      </c>
      <c r="H50" s="479">
        <v>84390</v>
      </c>
      <c r="I50" s="479">
        <v>67203</v>
      </c>
      <c r="J50" s="479">
        <v>53017</v>
      </c>
      <c r="K50" s="479">
        <v>50719</v>
      </c>
      <c r="L50" s="479">
        <v>54939</v>
      </c>
      <c r="M50" s="479">
        <v>54791</v>
      </c>
      <c r="N50" s="479">
        <v>53780</v>
      </c>
      <c r="O50" s="479">
        <v>61787</v>
      </c>
      <c r="P50" s="479">
        <v>67746</v>
      </c>
      <c r="Q50" s="479">
        <v>784683</v>
      </c>
    </row>
    <row r="51" spans="2:17">
      <c r="B51" s="475"/>
      <c r="C51" s="475"/>
      <c r="D51" s="477" t="s">
        <v>180</v>
      </c>
      <c r="E51" s="479">
        <v>1231238</v>
      </c>
      <c r="F51" s="479">
        <v>1087863</v>
      </c>
      <c r="G51" s="479">
        <v>418800</v>
      </c>
      <c r="H51" s="479">
        <v>880700</v>
      </c>
      <c r="I51" s="479"/>
      <c r="J51" s="479">
        <v>1045423</v>
      </c>
      <c r="K51" s="479">
        <v>791834</v>
      </c>
      <c r="L51" s="479">
        <v>848665</v>
      </c>
      <c r="M51" s="479">
        <v>872521</v>
      </c>
      <c r="N51" s="479">
        <v>803162</v>
      </c>
      <c r="O51" s="479">
        <v>797253</v>
      </c>
      <c r="P51" s="479">
        <v>783014</v>
      </c>
      <c r="Q51" s="479">
        <v>9560473</v>
      </c>
    </row>
    <row r="52" spans="2:17">
      <c r="B52" s="475"/>
      <c r="C52" s="475"/>
      <c r="D52" s="477" t="s">
        <v>180</v>
      </c>
      <c r="E52" s="479">
        <v>60000</v>
      </c>
      <c r="F52" s="479">
        <v>105600</v>
      </c>
      <c r="G52" s="479">
        <v>165600</v>
      </c>
      <c r="H52" s="479">
        <v>196800</v>
      </c>
      <c r="I52" s="479">
        <v>220800</v>
      </c>
      <c r="J52" s="479">
        <v>206400</v>
      </c>
      <c r="K52" s="479">
        <v>307200</v>
      </c>
      <c r="L52" s="479">
        <v>350400</v>
      </c>
      <c r="M52" s="479">
        <v>290400</v>
      </c>
      <c r="N52" s="479">
        <v>189600</v>
      </c>
      <c r="O52" s="479">
        <v>64800</v>
      </c>
      <c r="P52" s="479">
        <v>67200</v>
      </c>
      <c r="Q52" s="479">
        <v>2224800</v>
      </c>
    </row>
    <row r="53" spans="2:17">
      <c r="B53" s="475"/>
      <c r="C53" s="475"/>
      <c r="D53" s="477" t="s">
        <v>180</v>
      </c>
      <c r="E53" s="479">
        <v>0</v>
      </c>
      <c r="F53" s="479">
        <v>0</v>
      </c>
      <c r="G53" s="479">
        <v>0</v>
      </c>
      <c r="H53" s="479">
        <v>0</v>
      </c>
      <c r="I53" s="479">
        <v>0</v>
      </c>
      <c r="J53" s="479">
        <v>0</v>
      </c>
      <c r="K53" s="479">
        <v>0</v>
      </c>
      <c r="L53" s="479">
        <v>4800</v>
      </c>
      <c r="M53" s="479">
        <v>81600</v>
      </c>
      <c r="N53" s="479">
        <v>50</v>
      </c>
      <c r="O53" s="479">
        <v>0</v>
      </c>
      <c r="P53" s="479">
        <v>0</v>
      </c>
      <c r="Q53" s="479">
        <v>86450</v>
      </c>
    </row>
    <row r="54" spans="2:17">
      <c r="B54" s="475"/>
      <c r="C54" s="475"/>
      <c r="D54" s="477" t="s">
        <v>180</v>
      </c>
      <c r="E54" s="479">
        <v>0</v>
      </c>
      <c r="F54" s="479">
        <v>0</v>
      </c>
      <c r="G54" s="479">
        <v>0</v>
      </c>
      <c r="H54" s="479">
        <v>0</v>
      </c>
      <c r="I54" s="479">
        <v>0</v>
      </c>
      <c r="J54" s="479">
        <v>0</v>
      </c>
      <c r="K54" s="479">
        <v>0</v>
      </c>
      <c r="L54" s="479">
        <v>0</v>
      </c>
      <c r="M54" s="479">
        <v>0</v>
      </c>
      <c r="N54" s="479">
        <v>0</v>
      </c>
      <c r="O54" s="479">
        <v>0</v>
      </c>
      <c r="P54" s="479">
        <v>0</v>
      </c>
      <c r="Q54" s="479">
        <v>0</v>
      </c>
    </row>
    <row r="55" spans="2:17">
      <c r="B55" s="475"/>
      <c r="C55" s="475"/>
      <c r="D55" s="477" t="s">
        <v>180</v>
      </c>
      <c r="E55" s="479">
        <v>926400</v>
      </c>
      <c r="F55" s="479">
        <v>842400</v>
      </c>
      <c r="G55" s="479">
        <v>933600</v>
      </c>
      <c r="H55" s="479">
        <v>818400</v>
      </c>
      <c r="I55" s="479">
        <v>489600</v>
      </c>
      <c r="J55" s="479">
        <v>309600</v>
      </c>
      <c r="K55" s="479">
        <v>780000</v>
      </c>
      <c r="L55" s="479">
        <v>890400</v>
      </c>
      <c r="M55" s="479">
        <v>890400</v>
      </c>
      <c r="N55" s="479">
        <v>777600</v>
      </c>
      <c r="O55" s="479">
        <v>876000</v>
      </c>
      <c r="P55" s="479">
        <v>364961</v>
      </c>
      <c r="Q55" s="479">
        <v>8899361</v>
      </c>
    </row>
    <row r="56" spans="2:17">
      <c r="B56" s="475"/>
      <c r="C56" s="475"/>
      <c r="D56" s="477" t="s">
        <v>180</v>
      </c>
      <c r="E56" s="479">
        <v>291900</v>
      </c>
      <c r="F56" s="479">
        <v>253200</v>
      </c>
      <c r="G56" s="479">
        <v>294000</v>
      </c>
      <c r="H56" s="479">
        <v>278700</v>
      </c>
      <c r="I56" s="479">
        <v>235500</v>
      </c>
      <c r="J56" s="479">
        <v>201000</v>
      </c>
      <c r="K56" s="479">
        <v>188100</v>
      </c>
      <c r="L56" s="479">
        <v>181500</v>
      </c>
      <c r="M56" s="479">
        <v>172500</v>
      </c>
      <c r="N56" s="479">
        <v>169200</v>
      </c>
      <c r="O56" s="479">
        <v>179400</v>
      </c>
      <c r="P56" s="479">
        <v>209400</v>
      </c>
      <c r="Q56" s="479">
        <v>2654400</v>
      </c>
    </row>
    <row r="57" spans="2:17">
      <c r="B57" s="475"/>
      <c r="C57" s="475"/>
      <c r="D57" s="477" t="s">
        <v>180</v>
      </c>
      <c r="E57" s="479">
        <v>412387</v>
      </c>
      <c r="F57" s="479">
        <v>712538</v>
      </c>
      <c r="G57" s="479"/>
      <c r="H57" s="479">
        <v>332637</v>
      </c>
      <c r="I57" s="479">
        <v>300251</v>
      </c>
      <c r="J57" s="479">
        <v>285045</v>
      </c>
      <c r="K57" s="479">
        <v>271139</v>
      </c>
      <c r="L57" s="479">
        <v>280688</v>
      </c>
      <c r="M57" s="479">
        <v>284653</v>
      </c>
      <c r="N57" s="479">
        <v>251052</v>
      </c>
      <c r="O57" s="479">
        <v>304272</v>
      </c>
      <c r="P57" s="479">
        <v>313297</v>
      </c>
      <c r="Q57" s="479">
        <v>3747959</v>
      </c>
    </row>
    <row r="58" spans="2:17">
      <c r="B58" s="475"/>
      <c r="C58" s="475"/>
      <c r="D58" s="477" t="s">
        <v>180</v>
      </c>
      <c r="E58" s="479">
        <v>502200</v>
      </c>
      <c r="F58" s="479">
        <v>415200</v>
      </c>
      <c r="G58" s="479">
        <v>426600</v>
      </c>
      <c r="H58" s="479">
        <v>356400</v>
      </c>
      <c r="I58" s="479">
        <v>282000</v>
      </c>
      <c r="J58" s="479">
        <v>282600</v>
      </c>
      <c r="K58" s="479">
        <v>301200</v>
      </c>
      <c r="L58" s="479">
        <v>249600</v>
      </c>
      <c r="M58" s="479">
        <v>194400</v>
      </c>
      <c r="N58" s="479">
        <v>214200</v>
      </c>
      <c r="O58" s="479">
        <v>207000</v>
      </c>
      <c r="P58" s="479">
        <v>217200</v>
      </c>
      <c r="Q58" s="479">
        <v>3648600</v>
      </c>
    </row>
    <row r="59" spans="2:17">
      <c r="B59" s="475"/>
      <c r="C59" s="475"/>
      <c r="D59" s="477" t="s">
        <v>180</v>
      </c>
      <c r="E59" s="479">
        <v>3091200</v>
      </c>
      <c r="F59" s="479">
        <v>2596800</v>
      </c>
      <c r="G59" s="479">
        <v>2037600</v>
      </c>
      <c r="H59" s="479">
        <v>1760176</v>
      </c>
      <c r="I59" s="479">
        <v>2460058</v>
      </c>
      <c r="J59" s="479">
        <v>2495572</v>
      </c>
      <c r="K59" s="479">
        <v>2385388</v>
      </c>
      <c r="L59" s="479">
        <v>2344842</v>
      </c>
      <c r="M59" s="479">
        <v>2063858</v>
      </c>
      <c r="N59" s="479">
        <v>1749871</v>
      </c>
      <c r="O59" s="479">
        <v>1963060</v>
      </c>
      <c r="P59" s="479">
        <v>2172295</v>
      </c>
      <c r="Q59" s="479">
        <v>27120720</v>
      </c>
    </row>
    <row r="60" spans="2:17">
      <c r="B60" s="475"/>
      <c r="C60" s="475"/>
      <c r="D60" s="477" t="s">
        <v>180</v>
      </c>
      <c r="E60" s="479">
        <v>287852</v>
      </c>
      <c r="F60" s="479"/>
      <c r="G60" s="479">
        <v>240880</v>
      </c>
      <c r="H60" s="479">
        <v>187284</v>
      </c>
      <c r="I60" s="479">
        <v>169785</v>
      </c>
      <c r="J60" s="479">
        <v>164619</v>
      </c>
      <c r="K60" s="479">
        <v>156632</v>
      </c>
      <c r="L60" s="479">
        <v>160226</v>
      </c>
      <c r="M60" s="479">
        <v>153916</v>
      </c>
      <c r="N60" s="479">
        <v>132282</v>
      </c>
      <c r="O60" s="479">
        <v>154728</v>
      </c>
      <c r="P60" s="479">
        <v>166020</v>
      </c>
      <c r="Q60" s="479">
        <v>1974224</v>
      </c>
    </row>
    <row r="61" spans="2:17">
      <c r="B61" s="475"/>
      <c r="C61" s="475"/>
      <c r="D61" s="477" t="s">
        <v>180</v>
      </c>
      <c r="E61" s="479">
        <v>118400</v>
      </c>
      <c r="F61" s="479">
        <v>97120</v>
      </c>
      <c r="G61" s="479">
        <v>108160</v>
      </c>
      <c r="H61" s="479">
        <v>91680</v>
      </c>
      <c r="I61" s="479">
        <v>76320</v>
      </c>
      <c r="J61" s="479">
        <v>73600</v>
      </c>
      <c r="K61" s="479">
        <v>78400</v>
      </c>
      <c r="L61" s="479">
        <v>71680</v>
      </c>
      <c r="M61" s="479">
        <v>70720</v>
      </c>
      <c r="N61" s="479">
        <v>65920</v>
      </c>
      <c r="O61" s="479">
        <v>59200</v>
      </c>
      <c r="P61" s="479">
        <v>42720</v>
      </c>
      <c r="Q61" s="479">
        <v>953920</v>
      </c>
    </row>
    <row r="62" spans="2:17">
      <c r="B62" s="475"/>
      <c r="C62" s="475"/>
      <c r="D62" s="477" t="s">
        <v>180</v>
      </c>
      <c r="E62" s="479">
        <v>981600</v>
      </c>
      <c r="F62" s="479">
        <v>888000</v>
      </c>
      <c r="G62" s="479">
        <v>696000</v>
      </c>
      <c r="H62" s="479">
        <v>637418</v>
      </c>
      <c r="I62" s="479">
        <v>889920</v>
      </c>
      <c r="J62" s="479">
        <v>951463</v>
      </c>
      <c r="K62" s="479">
        <v>928860</v>
      </c>
      <c r="L62" s="479">
        <v>958770</v>
      </c>
      <c r="M62" s="479">
        <v>883976</v>
      </c>
      <c r="N62" s="479">
        <v>732270</v>
      </c>
      <c r="O62" s="479">
        <v>719868</v>
      </c>
      <c r="P62" s="479">
        <v>645197</v>
      </c>
      <c r="Q62" s="479">
        <v>9913342</v>
      </c>
    </row>
    <row r="63" spans="2:17">
      <c r="B63" s="475"/>
      <c r="C63" s="475"/>
      <c r="D63" s="477" t="s">
        <v>180</v>
      </c>
      <c r="E63" s="479">
        <v>185400</v>
      </c>
      <c r="F63" s="479">
        <v>133800</v>
      </c>
      <c r="G63" s="479">
        <v>114000</v>
      </c>
      <c r="H63" s="479">
        <v>171300</v>
      </c>
      <c r="I63" s="479">
        <v>175500</v>
      </c>
      <c r="J63" s="479">
        <v>34293</v>
      </c>
      <c r="K63" s="479">
        <v>78620</v>
      </c>
      <c r="L63" s="479">
        <v>61413</v>
      </c>
      <c r="M63" s="479">
        <v>42392</v>
      </c>
      <c r="N63" s="479">
        <v>56315</v>
      </c>
      <c r="O63" s="479">
        <v>170916</v>
      </c>
      <c r="P63" s="479">
        <v>320746</v>
      </c>
      <c r="Q63" s="479">
        <v>1544695</v>
      </c>
    </row>
    <row r="64" spans="2:17">
      <c r="B64" s="475"/>
      <c r="C64" s="475"/>
      <c r="D64" s="477" t="s">
        <v>180</v>
      </c>
      <c r="E64" s="479">
        <v>0</v>
      </c>
      <c r="F64" s="479"/>
      <c r="G64" s="479">
        <v>0</v>
      </c>
      <c r="H64" s="479">
        <v>0</v>
      </c>
      <c r="I64" s="479">
        <v>0</v>
      </c>
      <c r="J64" s="479">
        <v>0</v>
      </c>
      <c r="K64" s="479"/>
      <c r="L64" s="479">
        <v>0</v>
      </c>
      <c r="M64" s="479">
        <v>0</v>
      </c>
      <c r="N64" s="479">
        <v>0</v>
      </c>
      <c r="O64" s="479">
        <v>0</v>
      </c>
      <c r="P64" s="479">
        <v>0</v>
      </c>
      <c r="Q64" s="479">
        <v>0</v>
      </c>
    </row>
    <row r="65" spans="2:17">
      <c r="B65" s="475"/>
      <c r="C65" s="475"/>
      <c r="D65" s="477" t="s">
        <v>180</v>
      </c>
      <c r="E65" s="479"/>
      <c r="F65" s="479"/>
      <c r="G65" s="479"/>
      <c r="H65" s="479"/>
      <c r="I65" s="479"/>
      <c r="J65" s="479"/>
      <c r="K65" s="479">
        <v>429997</v>
      </c>
      <c r="L65" s="479"/>
      <c r="M65" s="479">
        <v>644868</v>
      </c>
      <c r="N65" s="479">
        <v>394394</v>
      </c>
      <c r="O65" s="479">
        <v>380936</v>
      </c>
      <c r="P65" s="479">
        <v>377265</v>
      </c>
      <c r="Q65" s="479">
        <v>2227460</v>
      </c>
    </row>
    <row r="66" spans="2:17">
      <c r="B66" s="475"/>
      <c r="C66" s="475"/>
      <c r="D66" s="477" t="s">
        <v>180</v>
      </c>
      <c r="E66" s="479">
        <v>157800</v>
      </c>
      <c r="F66" s="479">
        <v>144600</v>
      </c>
      <c r="G66" s="479">
        <v>149100</v>
      </c>
      <c r="H66" s="479">
        <v>133200</v>
      </c>
      <c r="I66" s="479">
        <v>129000</v>
      </c>
      <c r="J66" s="479">
        <v>144300</v>
      </c>
      <c r="K66" s="479">
        <v>169279</v>
      </c>
      <c r="L66" s="479"/>
      <c r="M66" s="479">
        <v>241687</v>
      </c>
      <c r="N66" s="479">
        <v>154787</v>
      </c>
      <c r="O66" s="479">
        <v>167275</v>
      </c>
      <c r="P66" s="479">
        <v>152145</v>
      </c>
      <c r="Q66" s="479">
        <v>1743173</v>
      </c>
    </row>
    <row r="67" spans="2:17">
      <c r="B67" s="475"/>
      <c r="C67" s="475"/>
      <c r="D67" s="477" t="s">
        <v>180</v>
      </c>
      <c r="E67" s="479">
        <v>691200</v>
      </c>
      <c r="F67" s="479">
        <v>615900</v>
      </c>
      <c r="G67" s="479">
        <v>634500</v>
      </c>
      <c r="H67" s="479">
        <v>664800</v>
      </c>
      <c r="I67" s="479">
        <v>675300</v>
      </c>
      <c r="J67" s="479">
        <v>255588</v>
      </c>
      <c r="K67" s="479">
        <v>615844</v>
      </c>
      <c r="L67" s="479">
        <v>632557</v>
      </c>
      <c r="M67" s="479">
        <v>621073</v>
      </c>
      <c r="N67" s="479">
        <v>609113</v>
      </c>
      <c r="O67" s="479">
        <v>631994</v>
      </c>
      <c r="P67" s="479">
        <v>617002</v>
      </c>
      <c r="Q67" s="479">
        <v>7264871</v>
      </c>
    </row>
    <row r="68" spans="2:17">
      <c r="B68" s="475"/>
      <c r="C68" s="475"/>
      <c r="D68" s="477" t="s">
        <v>180</v>
      </c>
      <c r="E68" s="479">
        <v>48300</v>
      </c>
      <c r="F68" s="479">
        <v>20100</v>
      </c>
      <c r="G68" s="479">
        <v>49800</v>
      </c>
      <c r="H68" s="479">
        <v>30300</v>
      </c>
      <c r="I68" s="479">
        <v>121500</v>
      </c>
      <c r="J68" s="479">
        <v>50123</v>
      </c>
      <c r="K68" s="479">
        <v>105110</v>
      </c>
      <c r="L68" s="479">
        <v>189881</v>
      </c>
      <c r="M68" s="479">
        <v>166484</v>
      </c>
      <c r="N68" s="479">
        <v>91432</v>
      </c>
      <c r="O68" s="479">
        <v>39597</v>
      </c>
      <c r="P68" s="479">
        <v>22534</v>
      </c>
      <c r="Q68" s="479">
        <v>935161</v>
      </c>
    </row>
    <row r="69" spans="2:17">
      <c r="B69" s="475"/>
      <c r="C69" s="475"/>
      <c r="D69" s="477" t="s">
        <v>180</v>
      </c>
      <c r="E69" s="479"/>
      <c r="F69" s="479"/>
      <c r="G69" s="479"/>
      <c r="H69" s="479"/>
      <c r="I69" s="479"/>
      <c r="J69" s="479"/>
      <c r="K69" s="479">
        <v>38520</v>
      </c>
      <c r="L69" s="479">
        <v>20680</v>
      </c>
      <c r="M69" s="479">
        <v>31320</v>
      </c>
      <c r="N69" s="479">
        <v>44080</v>
      </c>
      <c r="O69" s="479"/>
      <c r="P69" s="479">
        <v>35161</v>
      </c>
      <c r="Q69" s="479">
        <v>169761</v>
      </c>
    </row>
    <row r="70" spans="2:17">
      <c r="B70" s="475"/>
      <c r="C70" s="475"/>
      <c r="D70" s="477" t="s">
        <v>180</v>
      </c>
      <c r="E70" s="479">
        <v>43840</v>
      </c>
      <c r="F70" s="479">
        <v>34400</v>
      </c>
      <c r="G70" s="479">
        <v>38200</v>
      </c>
      <c r="H70" s="479">
        <v>32680</v>
      </c>
      <c r="I70" s="479">
        <v>22080</v>
      </c>
      <c r="J70" s="479">
        <v>19160</v>
      </c>
      <c r="K70" s="479">
        <v>16297</v>
      </c>
      <c r="L70" s="479">
        <v>6453</v>
      </c>
      <c r="M70" s="479">
        <v>15769</v>
      </c>
      <c r="N70" s="479">
        <v>20056</v>
      </c>
      <c r="O70" s="479">
        <v>28114</v>
      </c>
      <c r="P70" s="479">
        <v>23105</v>
      </c>
      <c r="Q70" s="479">
        <v>300154</v>
      </c>
    </row>
    <row r="71" spans="2:17">
      <c r="B71" s="475"/>
      <c r="C71" s="475"/>
      <c r="D71" s="477" t="s">
        <v>180</v>
      </c>
      <c r="E71" s="479">
        <v>1435200</v>
      </c>
      <c r="F71" s="479">
        <v>1308000</v>
      </c>
      <c r="G71" s="479">
        <v>1341600</v>
      </c>
      <c r="H71" s="479">
        <v>1363200</v>
      </c>
      <c r="I71" s="479">
        <v>1269600</v>
      </c>
      <c r="J71" s="479">
        <v>1291200</v>
      </c>
      <c r="K71" s="479">
        <v>0</v>
      </c>
      <c r="L71" s="479">
        <v>2611200</v>
      </c>
      <c r="M71" s="479">
        <v>1255200</v>
      </c>
      <c r="N71" s="479">
        <v>-6427200</v>
      </c>
      <c r="O71" s="479">
        <v>8411410</v>
      </c>
      <c r="P71" s="479">
        <v>1276728</v>
      </c>
      <c r="Q71" s="479">
        <v>15136138</v>
      </c>
    </row>
    <row r="72" spans="2:17">
      <c r="B72" s="475"/>
      <c r="C72" s="475"/>
      <c r="D72" s="477" t="s">
        <v>180</v>
      </c>
      <c r="E72" s="479">
        <v>1645200</v>
      </c>
      <c r="F72" s="479">
        <v>1416600</v>
      </c>
      <c r="G72" s="479">
        <v>1474500</v>
      </c>
      <c r="H72" s="479">
        <v>1489800</v>
      </c>
      <c r="I72" s="479">
        <v>1426500</v>
      </c>
      <c r="J72" s="479">
        <v>1438500</v>
      </c>
      <c r="K72" s="479">
        <v>700187</v>
      </c>
      <c r="L72" s="479">
        <v>1504359</v>
      </c>
      <c r="M72" s="479">
        <v>1525178</v>
      </c>
      <c r="N72" s="479">
        <v>1409509</v>
      </c>
      <c r="O72" s="479">
        <v>1361535</v>
      </c>
      <c r="P72" s="479">
        <v>1287745</v>
      </c>
      <c r="Q72" s="479">
        <v>16679613</v>
      </c>
    </row>
    <row r="73" spans="2:17">
      <c r="B73" s="475"/>
      <c r="C73" s="475"/>
      <c r="D73" s="477" t="s">
        <v>180</v>
      </c>
      <c r="E73" s="479">
        <v>247800</v>
      </c>
      <c r="F73" s="479">
        <v>213600</v>
      </c>
      <c r="G73" s="479">
        <v>220500</v>
      </c>
      <c r="H73" s="479">
        <v>210300</v>
      </c>
      <c r="I73" s="479">
        <v>194100</v>
      </c>
      <c r="J73" s="479">
        <v>202200</v>
      </c>
      <c r="K73" s="479">
        <v>207226</v>
      </c>
      <c r="L73" s="479"/>
      <c r="M73" s="479">
        <v>278788</v>
      </c>
      <c r="N73" s="479">
        <v>172770</v>
      </c>
      <c r="O73" s="479">
        <v>190744</v>
      </c>
      <c r="P73" s="479">
        <v>225443</v>
      </c>
      <c r="Q73" s="479">
        <v>2363471</v>
      </c>
    </row>
    <row r="74" spans="2:17">
      <c r="B74" s="475"/>
      <c r="C74" s="475"/>
      <c r="D74" s="477" t="s">
        <v>180</v>
      </c>
      <c r="E74" s="479">
        <v>384301</v>
      </c>
      <c r="F74" s="479">
        <v>303900</v>
      </c>
      <c r="G74" s="479">
        <v>318000</v>
      </c>
      <c r="H74" s="479">
        <v>278400</v>
      </c>
      <c r="I74" s="479">
        <v>237300</v>
      </c>
      <c r="J74" s="479">
        <v>213300</v>
      </c>
      <c r="K74" s="479">
        <v>270504</v>
      </c>
      <c r="L74" s="479">
        <v>137714</v>
      </c>
      <c r="M74" s="479">
        <v>285756</v>
      </c>
      <c r="N74" s="479">
        <v>224383</v>
      </c>
      <c r="O74" s="479">
        <v>214291</v>
      </c>
      <c r="P74" s="479">
        <v>222472</v>
      </c>
      <c r="Q74" s="479">
        <v>3090321</v>
      </c>
    </row>
    <row r="75" spans="2:17">
      <c r="B75" s="475"/>
      <c r="C75" s="475"/>
      <c r="D75" s="477" t="s">
        <v>180</v>
      </c>
      <c r="E75" s="479">
        <v>265500</v>
      </c>
      <c r="F75" s="479">
        <v>243900</v>
      </c>
      <c r="G75" s="479">
        <v>259800</v>
      </c>
      <c r="H75" s="479">
        <v>253200</v>
      </c>
      <c r="I75" s="479">
        <v>234300</v>
      </c>
      <c r="J75" s="479">
        <v>247500</v>
      </c>
      <c r="K75" s="479">
        <v>250185</v>
      </c>
      <c r="L75" s="479"/>
      <c r="M75" s="479">
        <v>376263</v>
      </c>
      <c r="N75" s="479">
        <v>238851</v>
      </c>
      <c r="O75" s="479">
        <v>267176</v>
      </c>
      <c r="P75" s="479">
        <v>263841</v>
      </c>
      <c r="Q75" s="479">
        <v>2900516</v>
      </c>
    </row>
    <row r="76" spans="2:17">
      <c r="B76" s="475"/>
      <c r="C76" s="475"/>
      <c r="D76" s="477" t="s">
        <v>180</v>
      </c>
      <c r="E76" s="479">
        <v>813900</v>
      </c>
      <c r="F76" s="479">
        <v>708900</v>
      </c>
      <c r="G76" s="479">
        <v>723600</v>
      </c>
      <c r="H76" s="479">
        <v>738600</v>
      </c>
      <c r="I76" s="479">
        <v>713101</v>
      </c>
      <c r="J76" s="479">
        <v>285828</v>
      </c>
      <c r="K76" s="479">
        <v>669803</v>
      </c>
      <c r="L76" s="479">
        <v>679015</v>
      </c>
      <c r="M76" s="479">
        <v>690380</v>
      </c>
      <c r="N76" s="479">
        <v>667836</v>
      </c>
      <c r="O76" s="479">
        <v>692963</v>
      </c>
      <c r="P76" s="479">
        <v>626151</v>
      </c>
      <c r="Q76" s="479">
        <v>8010077</v>
      </c>
    </row>
    <row r="77" spans="2:17">
      <c r="B77" s="475"/>
      <c r="C77" s="475"/>
      <c r="D77" s="477" t="s">
        <v>180</v>
      </c>
      <c r="E77" s="479">
        <v>2887200</v>
      </c>
      <c r="F77" s="479">
        <v>2491200</v>
      </c>
      <c r="G77" s="479">
        <v>2577600</v>
      </c>
      <c r="H77" s="479">
        <v>2640000</v>
      </c>
      <c r="I77" s="479">
        <v>2491200</v>
      </c>
      <c r="J77" s="479">
        <v>2611200</v>
      </c>
      <c r="K77" s="479">
        <v>2836800</v>
      </c>
      <c r="L77" s="479">
        <v>2786400</v>
      </c>
      <c r="M77" s="479">
        <v>2548800</v>
      </c>
      <c r="N77" s="479">
        <v>1338775</v>
      </c>
      <c r="O77" s="479">
        <v>2508488</v>
      </c>
      <c r="P77" s="479">
        <v>2260960</v>
      </c>
      <c r="Q77" s="479">
        <v>29978623</v>
      </c>
    </row>
    <row r="78" spans="2:17">
      <c r="B78" s="475"/>
      <c r="C78" s="475"/>
      <c r="D78" s="477" t="s">
        <v>180</v>
      </c>
      <c r="E78" s="479">
        <v>0</v>
      </c>
      <c r="F78" s="479">
        <v>0</v>
      </c>
      <c r="G78" s="479">
        <v>0</v>
      </c>
      <c r="H78" s="479">
        <v>0</v>
      </c>
      <c r="I78" s="479">
        <v>0</v>
      </c>
      <c r="J78" s="479">
        <v>0</v>
      </c>
      <c r="K78" s="479">
        <v>0</v>
      </c>
      <c r="L78" s="479">
        <v>0</v>
      </c>
      <c r="M78" s="479">
        <v>0</v>
      </c>
      <c r="N78" s="479">
        <v>0</v>
      </c>
      <c r="O78" s="479">
        <v>0</v>
      </c>
      <c r="P78" s="479">
        <v>0</v>
      </c>
      <c r="Q78" s="479">
        <v>0</v>
      </c>
    </row>
    <row r="79" spans="2:17">
      <c r="B79" s="475"/>
      <c r="C79" s="475"/>
      <c r="D79" s="477" t="s">
        <v>180</v>
      </c>
      <c r="E79" s="479">
        <v>102890</v>
      </c>
      <c r="F79" s="479">
        <v>138143</v>
      </c>
      <c r="G79" s="479">
        <v>134990</v>
      </c>
      <c r="H79" s="479">
        <v>146154</v>
      </c>
      <c r="I79" s="479">
        <v>128810</v>
      </c>
      <c r="J79" s="479">
        <v>147973</v>
      </c>
      <c r="K79" s="479">
        <v>159903</v>
      </c>
      <c r="L79" s="479">
        <v>175721</v>
      </c>
      <c r="M79" s="479">
        <v>152375</v>
      </c>
      <c r="N79" s="479">
        <v>137110</v>
      </c>
      <c r="O79" s="479">
        <v>162474</v>
      </c>
      <c r="P79" s="479">
        <v>143430</v>
      </c>
      <c r="Q79" s="479">
        <v>1729973</v>
      </c>
    </row>
    <row r="80" spans="2:17">
      <c r="B80" s="475"/>
      <c r="C80" s="475"/>
      <c r="D80" s="477" t="s">
        <v>180</v>
      </c>
      <c r="E80" s="479">
        <v>107680</v>
      </c>
      <c r="F80" s="479">
        <v>94880</v>
      </c>
      <c r="G80" s="479">
        <v>98400</v>
      </c>
      <c r="H80" s="479">
        <v>89120</v>
      </c>
      <c r="I80" s="479">
        <v>103840</v>
      </c>
      <c r="J80" s="479"/>
      <c r="K80" s="479">
        <v>92905</v>
      </c>
      <c r="L80" s="479">
        <v>81972</v>
      </c>
      <c r="M80" s="479">
        <v>82235</v>
      </c>
      <c r="N80" s="479">
        <v>75960</v>
      </c>
      <c r="O80" s="479">
        <v>84172</v>
      </c>
      <c r="P80" s="479">
        <v>92605</v>
      </c>
      <c r="Q80" s="479">
        <v>1003769</v>
      </c>
    </row>
    <row r="81" spans="2:17">
      <c r="B81" s="475"/>
      <c r="C81" s="475"/>
      <c r="D81" s="477" t="s">
        <v>180</v>
      </c>
      <c r="E81" s="479">
        <v>43680</v>
      </c>
      <c r="F81" s="479">
        <v>40640</v>
      </c>
      <c r="G81" s="479">
        <v>41280</v>
      </c>
      <c r="H81" s="479"/>
      <c r="I81" s="479">
        <v>63744</v>
      </c>
      <c r="J81" s="479">
        <v>50465</v>
      </c>
      <c r="K81" s="479">
        <v>48675</v>
      </c>
      <c r="L81" s="479">
        <v>54967</v>
      </c>
      <c r="M81" s="479">
        <v>54605</v>
      </c>
      <c r="N81" s="479">
        <v>41378</v>
      </c>
      <c r="O81" s="479">
        <v>44414</v>
      </c>
      <c r="P81" s="479">
        <v>43443</v>
      </c>
      <c r="Q81" s="479">
        <v>527291</v>
      </c>
    </row>
    <row r="82" spans="2:17">
      <c r="B82" s="475"/>
      <c r="C82" s="475"/>
      <c r="D82" s="477" t="s">
        <v>180</v>
      </c>
      <c r="E82" s="479">
        <v>0</v>
      </c>
      <c r="F82" s="479"/>
      <c r="G82" s="479">
        <v>8040</v>
      </c>
      <c r="H82" s="479"/>
      <c r="I82" s="479"/>
      <c r="J82" s="479"/>
      <c r="K82" s="479"/>
      <c r="L82" s="479"/>
      <c r="M82" s="479"/>
      <c r="N82" s="479"/>
      <c r="O82" s="479"/>
      <c r="P82" s="479"/>
      <c r="Q82" s="479">
        <v>8040</v>
      </c>
    </row>
    <row r="83" spans="2:17">
      <c r="B83" s="475"/>
      <c r="C83" s="475"/>
      <c r="D83" s="477" t="s">
        <v>180</v>
      </c>
      <c r="E83" s="479">
        <v>269100</v>
      </c>
      <c r="F83" s="479">
        <v>217200</v>
      </c>
      <c r="G83" s="479">
        <v>221400</v>
      </c>
      <c r="H83" s="479">
        <v>182100</v>
      </c>
      <c r="I83" s="479">
        <v>49800</v>
      </c>
      <c r="J83" s="479"/>
      <c r="K83" s="479">
        <v>30802</v>
      </c>
      <c r="L83" s="479">
        <v>22377</v>
      </c>
      <c r="M83" s="479">
        <v>55141</v>
      </c>
      <c r="N83" s="479">
        <v>171773</v>
      </c>
      <c r="O83" s="479">
        <v>236609</v>
      </c>
      <c r="P83" s="479">
        <v>292209</v>
      </c>
      <c r="Q83" s="479">
        <v>1748511</v>
      </c>
    </row>
    <row r="84" spans="2:17">
      <c r="B84" s="475"/>
      <c r="C84" s="475"/>
      <c r="D84" s="477" t="s">
        <v>180</v>
      </c>
      <c r="E84" s="479">
        <v>293700</v>
      </c>
      <c r="F84" s="479">
        <v>251700</v>
      </c>
      <c r="G84" s="479">
        <v>258300</v>
      </c>
      <c r="H84" s="479">
        <v>115200</v>
      </c>
      <c r="I84" s="479">
        <v>138900</v>
      </c>
      <c r="J84" s="479"/>
      <c r="K84" s="479">
        <v>182283</v>
      </c>
      <c r="L84" s="479">
        <v>127608</v>
      </c>
      <c r="M84" s="479">
        <v>135952</v>
      </c>
      <c r="N84" s="479">
        <v>150651</v>
      </c>
      <c r="O84" s="479">
        <v>207237</v>
      </c>
      <c r="P84" s="479">
        <v>261274</v>
      </c>
      <c r="Q84" s="479">
        <v>2122805</v>
      </c>
    </row>
    <row r="85" spans="2:17">
      <c r="B85" s="475"/>
      <c r="C85" s="475"/>
      <c r="D85" s="477" t="s">
        <v>180</v>
      </c>
      <c r="E85" s="479">
        <v>255618</v>
      </c>
      <c r="F85" s="479">
        <v>260065</v>
      </c>
      <c r="G85" s="479">
        <v>227332</v>
      </c>
      <c r="H85" s="479">
        <v>250409</v>
      </c>
      <c r="I85" s="479">
        <v>244652</v>
      </c>
      <c r="J85" s="479">
        <v>290171</v>
      </c>
      <c r="K85" s="479">
        <v>290884</v>
      </c>
      <c r="L85" s="479">
        <v>330551</v>
      </c>
      <c r="M85" s="479">
        <v>312782</v>
      </c>
      <c r="N85" s="479">
        <v>266801</v>
      </c>
      <c r="O85" s="479">
        <v>266409</v>
      </c>
      <c r="P85" s="479">
        <v>270379</v>
      </c>
      <c r="Q85" s="479">
        <v>3266053</v>
      </c>
    </row>
    <row r="86" spans="2:17">
      <c r="B86" s="475"/>
      <c r="C86" s="475"/>
      <c r="D86" s="477" t="s">
        <v>180</v>
      </c>
      <c r="E86" s="479">
        <v>176512</v>
      </c>
      <c r="F86" s="479">
        <v>172162</v>
      </c>
      <c r="G86" s="479"/>
      <c r="H86" s="479">
        <v>321595</v>
      </c>
      <c r="I86" s="479">
        <v>161152</v>
      </c>
      <c r="J86" s="479">
        <v>175444</v>
      </c>
      <c r="K86" s="479">
        <v>198461</v>
      </c>
      <c r="L86" s="479">
        <v>217886</v>
      </c>
      <c r="M86" s="479">
        <v>210226</v>
      </c>
      <c r="N86" s="479">
        <v>179722</v>
      </c>
      <c r="O86" s="479">
        <v>188137</v>
      </c>
      <c r="P86" s="479">
        <v>177428</v>
      </c>
      <c r="Q86" s="479">
        <v>2178725</v>
      </c>
    </row>
    <row r="87" spans="2:17">
      <c r="B87" s="475"/>
      <c r="C87" s="475"/>
      <c r="D87" s="477" t="s">
        <v>180</v>
      </c>
      <c r="E87" s="479">
        <v>190970</v>
      </c>
      <c r="F87" s="479">
        <v>181317</v>
      </c>
      <c r="G87" s="479">
        <v>182787</v>
      </c>
      <c r="H87" s="479">
        <v>165051</v>
      </c>
      <c r="I87" s="479">
        <v>158304</v>
      </c>
      <c r="J87" s="479">
        <v>157364</v>
      </c>
      <c r="K87" s="479">
        <v>145794</v>
      </c>
      <c r="L87" s="479">
        <v>178315</v>
      </c>
      <c r="M87" s="479">
        <v>184355</v>
      </c>
      <c r="N87" s="479">
        <v>155326</v>
      </c>
      <c r="O87" s="479">
        <v>159024</v>
      </c>
      <c r="P87" s="479">
        <v>150052</v>
      </c>
      <c r="Q87" s="479">
        <v>2008659</v>
      </c>
    </row>
    <row r="88" spans="2:17">
      <c r="B88" s="475"/>
      <c r="C88" s="475"/>
      <c r="D88" s="477" t="s">
        <v>180</v>
      </c>
      <c r="E88" s="479">
        <v>240480</v>
      </c>
      <c r="F88" s="479">
        <v>227536</v>
      </c>
      <c r="G88" s="479">
        <v>201528</v>
      </c>
      <c r="H88" s="479">
        <v>216497</v>
      </c>
      <c r="I88" s="479">
        <v>202765</v>
      </c>
      <c r="J88" s="479">
        <v>201931</v>
      </c>
      <c r="K88" s="479">
        <v>212317</v>
      </c>
      <c r="L88" s="479">
        <v>246932</v>
      </c>
      <c r="M88" s="479">
        <v>243337</v>
      </c>
      <c r="N88" s="479">
        <v>190751</v>
      </c>
      <c r="O88" s="479">
        <v>188086</v>
      </c>
      <c r="P88" s="479">
        <v>180295</v>
      </c>
      <c r="Q88" s="479">
        <v>2552455</v>
      </c>
    </row>
    <row r="89" spans="2:17">
      <c r="B89" s="475"/>
      <c r="C89" s="475"/>
      <c r="D89" s="477" t="s">
        <v>180</v>
      </c>
      <c r="E89" s="479">
        <v>66853</v>
      </c>
      <c r="F89" s="479"/>
      <c r="G89" s="479">
        <v>87549</v>
      </c>
      <c r="H89" s="479">
        <v>57841</v>
      </c>
      <c r="I89" s="479">
        <v>49698</v>
      </c>
      <c r="J89" s="479">
        <v>43976</v>
      </c>
      <c r="K89" s="479">
        <v>42152</v>
      </c>
      <c r="L89" s="479">
        <v>47782</v>
      </c>
      <c r="M89" s="479">
        <v>45566</v>
      </c>
      <c r="N89" s="479">
        <v>44473</v>
      </c>
      <c r="O89" s="479">
        <v>53208</v>
      </c>
      <c r="P89" s="479">
        <v>54403</v>
      </c>
      <c r="Q89" s="479">
        <v>593501</v>
      </c>
    </row>
    <row r="90" spans="2:17">
      <c r="B90" s="475"/>
      <c r="C90" s="475"/>
      <c r="D90" s="477" t="s">
        <v>180</v>
      </c>
      <c r="E90" s="479">
        <v>249600</v>
      </c>
      <c r="F90" s="479"/>
      <c r="G90" s="479">
        <v>420250</v>
      </c>
      <c r="H90" s="479">
        <v>330136</v>
      </c>
      <c r="I90" s="479">
        <v>460138</v>
      </c>
      <c r="J90" s="479">
        <v>479464</v>
      </c>
      <c r="K90" s="479">
        <v>439959</v>
      </c>
      <c r="L90" s="479">
        <v>425965</v>
      </c>
      <c r="M90" s="479">
        <v>407678</v>
      </c>
      <c r="N90" s="479">
        <v>414081</v>
      </c>
      <c r="O90" s="479">
        <v>514523</v>
      </c>
      <c r="P90" s="479">
        <v>505839</v>
      </c>
      <c r="Q90" s="479">
        <v>4647633</v>
      </c>
    </row>
    <row r="91" spans="2:17">
      <c r="B91" s="475"/>
      <c r="C91" s="475"/>
      <c r="D91" s="477" t="s">
        <v>180</v>
      </c>
      <c r="E91" s="479">
        <v>8099</v>
      </c>
      <c r="F91" s="479"/>
      <c r="G91" s="479">
        <v>9994</v>
      </c>
      <c r="H91" s="479">
        <v>6647</v>
      </c>
      <c r="I91" s="479">
        <v>6153</v>
      </c>
      <c r="J91" s="479">
        <v>6172</v>
      </c>
      <c r="K91" s="479">
        <v>5766</v>
      </c>
      <c r="L91" s="479">
        <v>7098</v>
      </c>
      <c r="M91" s="479">
        <v>6760</v>
      </c>
      <c r="N91" s="479">
        <v>5718</v>
      </c>
      <c r="O91" s="479">
        <v>6205</v>
      </c>
      <c r="P91" s="479">
        <v>6857</v>
      </c>
      <c r="Q91" s="479">
        <v>75469</v>
      </c>
    </row>
    <row r="92" spans="2:17">
      <c r="B92" s="475"/>
      <c r="C92" s="475"/>
      <c r="D92" s="477" t="s">
        <v>180</v>
      </c>
      <c r="E92" s="479">
        <v>377280</v>
      </c>
      <c r="F92" s="479">
        <v>334440</v>
      </c>
      <c r="G92" s="479">
        <v>358320</v>
      </c>
      <c r="H92" s="479">
        <v>313260</v>
      </c>
      <c r="I92" s="479">
        <v>211380</v>
      </c>
      <c r="J92" s="479"/>
      <c r="K92" s="479">
        <v>381452</v>
      </c>
      <c r="L92" s="479">
        <v>231491</v>
      </c>
      <c r="M92" s="479">
        <v>240582</v>
      </c>
      <c r="N92" s="479">
        <v>221064</v>
      </c>
      <c r="O92" s="479">
        <v>262622</v>
      </c>
      <c r="P92" s="479">
        <v>287291</v>
      </c>
      <c r="Q92" s="479">
        <v>3219182</v>
      </c>
    </row>
    <row r="93" spans="2:17">
      <c r="B93" s="475"/>
      <c r="C93" s="475"/>
      <c r="D93" s="477" t="s">
        <v>180</v>
      </c>
      <c r="E93" s="479"/>
      <c r="F93" s="479">
        <v>456900</v>
      </c>
      <c r="G93" s="479">
        <v>226800</v>
      </c>
      <c r="H93" s="479">
        <v>210900</v>
      </c>
      <c r="I93" s="479">
        <v>184200</v>
      </c>
      <c r="J93" s="479">
        <v>210600</v>
      </c>
      <c r="K93" s="479">
        <v>0</v>
      </c>
      <c r="L93" s="479">
        <v>316200</v>
      </c>
      <c r="M93" s="479">
        <v>259897</v>
      </c>
      <c r="N93" s="479">
        <v>215700</v>
      </c>
      <c r="O93" s="479">
        <v>249637</v>
      </c>
      <c r="P93" s="479">
        <v>267659</v>
      </c>
      <c r="Q93" s="479">
        <v>2598493</v>
      </c>
    </row>
    <row r="94" spans="2:17">
      <c r="B94" s="475"/>
      <c r="C94" s="475"/>
      <c r="D94" s="477" t="s">
        <v>180</v>
      </c>
      <c r="E94" s="479">
        <v>85440</v>
      </c>
      <c r="F94" s="479">
        <v>72960</v>
      </c>
      <c r="G94" s="479">
        <v>75440</v>
      </c>
      <c r="H94" s="479"/>
      <c r="I94" s="479">
        <v>51612</v>
      </c>
      <c r="J94" s="479">
        <v>66549</v>
      </c>
      <c r="K94" s="479">
        <v>68219</v>
      </c>
      <c r="L94" s="479">
        <v>77807</v>
      </c>
      <c r="M94" s="479">
        <v>77789</v>
      </c>
      <c r="N94" s="479">
        <v>71391</v>
      </c>
      <c r="O94" s="479">
        <v>71564</v>
      </c>
      <c r="P94" s="479">
        <v>72309</v>
      </c>
      <c r="Q94" s="479">
        <v>791080</v>
      </c>
    </row>
    <row r="95" spans="2:17">
      <c r="B95" s="475"/>
      <c r="C95" s="475"/>
      <c r="D95" s="477" t="s">
        <v>180</v>
      </c>
      <c r="E95" s="479">
        <v>400800</v>
      </c>
      <c r="F95" s="479">
        <v>363600</v>
      </c>
      <c r="G95" s="479">
        <v>373500</v>
      </c>
      <c r="H95" s="479">
        <v>355500</v>
      </c>
      <c r="I95" s="479">
        <v>339000</v>
      </c>
      <c r="J95" s="479">
        <v>361500</v>
      </c>
      <c r="K95" s="479"/>
      <c r="L95" s="479"/>
      <c r="M95" s="479"/>
      <c r="N95" s="479"/>
      <c r="O95" s="479"/>
      <c r="P95" s="479"/>
      <c r="Q95" s="479">
        <v>2193900</v>
      </c>
    </row>
    <row r="96" spans="2:17">
      <c r="B96" s="475"/>
      <c r="C96" s="475"/>
      <c r="D96" s="477" t="s">
        <v>180</v>
      </c>
      <c r="E96" s="479"/>
      <c r="F96" s="479">
        <v>34063</v>
      </c>
      <c r="G96" s="479">
        <v>494721</v>
      </c>
      <c r="H96" s="479">
        <v>343623</v>
      </c>
      <c r="I96" s="479">
        <v>338454</v>
      </c>
      <c r="J96" s="479">
        <v>337535</v>
      </c>
      <c r="K96" s="479">
        <v>314479</v>
      </c>
      <c r="L96" s="479">
        <v>322534</v>
      </c>
      <c r="M96" s="479">
        <v>329778</v>
      </c>
      <c r="N96" s="479">
        <v>328178</v>
      </c>
      <c r="O96" s="479">
        <v>342658</v>
      </c>
      <c r="P96" s="479">
        <v>355424</v>
      </c>
      <c r="Q96" s="479">
        <v>3541447</v>
      </c>
    </row>
    <row r="97" spans="2:17">
      <c r="B97" s="475"/>
      <c r="C97" s="475"/>
      <c r="D97" s="477" t="s">
        <v>180</v>
      </c>
      <c r="E97" s="479">
        <v>232500</v>
      </c>
      <c r="F97" s="479">
        <v>196200</v>
      </c>
      <c r="G97" s="479">
        <v>213000</v>
      </c>
      <c r="H97" s="479">
        <v>196500</v>
      </c>
      <c r="I97" s="479">
        <v>160801</v>
      </c>
      <c r="J97" s="479">
        <v>126107</v>
      </c>
      <c r="K97" s="479">
        <v>208272</v>
      </c>
      <c r="L97" s="479">
        <v>230282</v>
      </c>
      <c r="M97" s="479">
        <v>224481</v>
      </c>
      <c r="N97" s="479">
        <v>175893</v>
      </c>
      <c r="O97" s="479">
        <v>169436</v>
      </c>
      <c r="P97" s="479">
        <v>160193</v>
      </c>
      <c r="Q97" s="479">
        <v>2293665</v>
      </c>
    </row>
    <row r="98" spans="2:17">
      <c r="B98" s="475"/>
      <c r="C98" s="475"/>
      <c r="D98" s="477" t="s">
        <v>180</v>
      </c>
      <c r="E98" s="479"/>
      <c r="F98" s="479"/>
      <c r="G98" s="479">
        <v>804687</v>
      </c>
      <c r="H98" s="479">
        <v>321458</v>
      </c>
      <c r="I98" s="479">
        <v>288903</v>
      </c>
      <c r="J98" s="479">
        <v>270972</v>
      </c>
      <c r="K98" s="479">
        <v>258735</v>
      </c>
      <c r="L98" s="479">
        <v>268890</v>
      </c>
      <c r="M98" s="479">
        <v>275828</v>
      </c>
      <c r="N98" s="479">
        <v>255450</v>
      </c>
      <c r="O98" s="479">
        <v>269327</v>
      </c>
      <c r="P98" s="479">
        <v>289397</v>
      </c>
      <c r="Q98" s="479">
        <v>3303647</v>
      </c>
    </row>
    <row r="99" spans="2:17">
      <c r="B99" s="475"/>
      <c r="C99" s="475"/>
      <c r="D99" s="477" t="s">
        <v>180</v>
      </c>
      <c r="E99" s="479"/>
      <c r="F99" s="479">
        <v>136020</v>
      </c>
      <c r="G99" s="479">
        <v>230190</v>
      </c>
      <c r="H99" s="479">
        <v>245830</v>
      </c>
      <c r="I99" s="479">
        <v>230881</v>
      </c>
      <c r="J99" s="479">
        <v>231806</v>
      </c>
      <c r="K99" s="479">
        <v>228818</v>
      </c>
      <c r="L99" s="479">
        <v>227362</v>
      </c>
      <c r="M99" s="479">
        <v>232253</v>
      </c>
      <c r="N99" s="479">
        <v>216018</v>
      </c>
      <c r="O99" s="479">
        <v>228271</v>
      </c>
      <c r="P99" s="479">
        <v>221211</v>
      </c>
      <c r="Q99" s="479">
        <v>2428660</v>
      </c>
    </row>
    <row r="100" spans="2:17">
      <c r="B100" s="475"/>
      <c r="C100" s="475"/>
      <c r="D100" s="477" t="s">
        <v>180</v>
      </c>
      <c r="E100" s="479"/>
      <c r="F100" s="479"/>
      <c r="G100" s="479">
        <v>488549</v>
      </c>
      <c r="H100" s="479">
        <v>167817</v>
      </c>
      <c r="I100" s="479">
        <v>151516</v>
      </c>
      <c r="J100" s="479">
        <v>146395</v>
      </c>
      <c r="K100" s="479">
        <v>142348</v>
      </c>
      <c r="L100" s="479">
        <v>140872</v>
      </c>
      <c r="M100" s="479">
        <v>146793</v>
      </c>
      <c r="N100" s="479">
        <v>140490</v>
      </c>
      <c r="O100" s="479">
        <v>156746</v>
      </c>
      <c r="P100" s="479">
        <v>162047</v>
      </c>
      <c r="Q100" s="479">
        <v>1843573</v>
      </c>
    </row>
    <row r="101" spans="2:17">
      <c r="B101" s="475"/>
      <c r="C101" s="475"/>
      <c r="D101" s="477" t="s">
        <v>180</v>
      </c>
      <c r="E101" s="479">
        <v>133232</v>
      </c>
      <c r="F101" s="479"/>
      <c r="G101" s="479">
        <v>310831</v>
      </c>
      <c r="H101" s="479">
        <v>219460</v>
      </c>
      <c r="I101" s="479">
        <v>205597</v>
      </c>
      <c r="J101" s="479">
        <v>208542</v>
      </c>
      <c r="K101" s="479">
        <v>210460</v>
      </c>
      <c r="L101" s="479">
        <v>215853</v>
      </c>
      <c r="M101" s="479">
        <v>221873</v>
      </c>
      <c r="N101" s="479">
        <v>202475</v>
      </c>
      <c r="O101" s="479">
        <v>216932</v>
      </c>
      <c r="P101" s="479">
        <v>206771</v>
      </c>
      <c r="Q101" s="479">
        <v>2352026</v>
      </c>
    </row>
    <row r="102" spans="2:17">
      <c r="B102" s="475"/>
      <c r="C102" s="475"/>
      <c r="D102" s="477" t="s">
        <v>180</v>
      </c>
      <c r="E102" s="479">
        <v>120177</v>
      </c>
      <c r="F102" s="479"/>
      <c r="G102" s="479">
        <v>270413</v>
      </c>
      <c r="H102" s="479">
        <v>195533</v>
      </c>
      <c r="I102" s="479">
        <v>184039</v>
      </c>
      <c r="J102" s="479">
        <v>200951</v>
      </c>
      <c r="K102" s="479">
        <v>185345</v>
      </c>
      <c r="L102" s="479">
        <v>196498</v>
      </c>
      <c r="M102" s="479">
        <v>204063</v>
      </c>
      <c r="N102" s="479">
        <v>193141</v>
      </c>
      <c r="O102" s="479">
        <v>196024</v>
      </c>
      <c r="P102" s="479">
        <v>188600</v>
      </c>
      <c r="Q102" s="479">
        <v>2134784</v>
      </c>
    </row>
    <row r="103" spans="2:17">
      <c r="B103" s="475"/>
      <c r="C103" s="475"/>
      <c r="D103" s="477" t="s">
        <v>180</v>
      </c>
      <c r="E103" s="479"/>
      <c r="F103" s="479">
        <v>521934</v>
      </c>
      <c r="G103" s="479"/>
      <c r="H103" s="479">
        <v>325995</v>
      </c>
      <c r="I103" s="479">
        <v>325981</v>
      </c>
      <c r="J103" s="479">
        <v>308727</v>
      </c>
      <c r="K103" s="479">
        <v>304660</v>
      </c>
      <c r="L103" s="479">
        <v>298835</v>
      </c>
      <c r="M103" s="479">
        <v>300242</v>
      </c>
      <c r="N103" s="479">
        <v>294927</v>
      </c>
      <c r="O103" s="479">
        <v>315512</v>
      </c>
      <c r="P103" s="479">
        <v>325500</v>
      </c>
      <c r="Q103" s="479">
        <v>3322313</v>
      </c>
    </row>
    <row r="104" spans="2:17">
      <c r="B104" s="475"/>
      <c r="C104" s="475"/>
      <c r="D104" s="477" t="s">
        <v>180</v>
      </c>
      <c r="E104" s="479"/>
      <c r="F104" s="479">
        <v>416256</v>
      </c>
      <c r="G104" s="479"/>
      <c r="H104" s="479">
        <v>268859</v>
      </c>
      <c r="I104" s="479">
        <v>266845</v>
      </c>
      <c r="J104" s="479">
        <v>265164</v>
      </c>
      <c r="K104" s="479">
        <v>256785</v>
      </c>
      <c r="L104" s="479">
        <v>272115</v>
      </c>
      <c r="M104" s="479">
        <v>253061</v>
      </c>
      <c r="N104" s="479">
        <v>243302</v>
      </c>
      <c r="O104" s="479">
        <v>261512</v>
      </c>
      <c r="P104" s="479">
        <v>262644</v>
      </c>
      <c r="Q104" s="479">
        <v>2766543</v>
      </c>
    </row>
    <row r="105" spans="2:17">
      <c r="B105" s="475"/>
      <c r="C105" s="475"/>
      <c r="D105" s="477" t="s">
        <v>180</v>
      </c>
      <c r="E105" s="479">
        <v>164259</v>
      </c>
      <c r="F105" s="479"/>
      <c r="G105" s="479">
        <v>534088</v>
      </c>
      <c r="H105" s="479">
        <v>381855</v>
      </c>
      <c r="I105" s="479">
        <v>360519</v>
      </c>
      <c r="J105" s="479">
        <v>381800</v>
      </c>
      <c r="K105" s="479">
        <v>360121</v>
      </c>
      <c r="L105" s="479">
        <v>411127</v>
      </c>
      <c r="M105" s="479">
        <v>401111</v>
      </c>
      <c r="N105" s="479">
        <v>350413</v>
      </c>
      <c r="O105" s="479">
        <v>348236</v>
      </c>
      <c r="P105" s="479">
        <v>318127</v>
      </c>
      <c r="Q105" s="479">
        <v>4011656</v>
      </c>
    </row>
    <row r="106" spans="2:17">
      <c r="B106" s="475"/>
      <c r="C106" s="475"/>
      <c r="D106" s="477" t="s">
        <v>180</v>
      </c>
      <c r="E106" s="479">
        <v>11747</v>
      </c>
      <c r="F106" s="479"/>
      <c r="G106" s="479">
        <v>32652</v>
      </c>
      <c r="H106" s="479">
        <v>24328</v>
      </c>
      <c r="I106" s="479">
        <v>81039</v>
      </c>
      <c r="J106" s="479">
        <v>130155</v>
      </c>
      <c r="K106" s="479">
        <v>161084</v>
      </c>
      <c r="L106" s="479">
        <v>273781</v>
      </c>
      <c r="M106" s="479">
        <v>274934</v>
      </c>
      <c r="N106" s="479">
        <v>144772</v>
      </c>
      <c r="O106" s="479">
        <v>49578</v>
      </c>
      <c r="P106" s="479">
        <v>16703</v>
      </c>
      <c r="Q106" s="479">
        <v>1200773</v>
      </c>
    </row>
    <row r="107" spans="2:17">
      <c r="B107" s="475"/>
      <c r="C107" s="475"/>
      <c r="D107" s="477" t="s">
        <v>180</v>
      </c>
      <c r="E107" s="479">
        <v>8445</v>
      </c>
      <c r="F107" s="479"/>
      <c r="G107" s="479">
        <v>13756</v>
      </c>
      <c r="H107" s="479">
        <v>21374</v>
      </c>
      <c r="I107" s="479">
        <v>27448</v>
      </c>
      <c r="J107" s="479">
        <v>43669</v>
      </c>
      <c r="K107" s="479">
        <v>42999</v>
      </c>
      <c r="L107" s="479">
        <v>153196</v>
      </c>
      <c r="M107" s="479">
        <v>90473</v>
      </c>
      <c r="N107" s="479">
        <v>38700</v>
      </c>
      <c r="O107" s="479">
        <v>12861</v>
      </c>
      <c r="P107" s="479">
        <v>8815</v>
      </c>
      <c r="Q107" s="479">
        <v>461736</v>
      </c>
    </row>
    <row r="108" spans="2:17">
      <c r="B108" s="475"/>
      <c r="C108" s="475"/>
      <c r="D108" s="477" t="s">
        <v>180</v>
      </c>
      <c r="E108" s="479"/>
      <c r="F108" s="479">
        <v>108065</v>
      </c>
      <c r="G108" s="479">
        <v>178419</v>
      </c>
      <c r="H108" s="479">
        <v>188805</v>
      </c>
      <c r="I108" s="479">
        <v>164852</v>
      </c>
      <c r="J108" s="479">
        <v>168839</v>
      </c>
      <c r="K108" s="479">
        <v>169366</v>
      </c>
      <c r="L108" s="479">
        <v>170974</v>
      </c>
      <c r="M108" s="479">
        <v>171843</v>
      </c>
      <c r="N108" s="479">
        <v>156936</v>
      </c>
      <c r="O108" s="479">
        <v>163116</v>
      </c>
      <c r="P108" s="479">
        <v>156158</v>
      </c>
      <c r="Q108" s="479">
        <v>1797373</v>
      </c>
    </row>
    <row r="109" spans="2:17">
      <c r="B109" s="475"/>
      <c r="C109" s="475"/>
      <c r="D109" s="477" t="s">
        <v>180</v>
      </c>
      <c r="E109" s="479"/>
      <c r="F109" s="479"/>
      <c r="G109" s="479">
        <v>526010</v>
      </c>
      <c r="H109" s="479">
        <v>211327</v>
      </c>
      <c r="I109" s="479">
        <v>172397</v>
      </c>
      <c r="J109" s="479">
        <v>181381</v>
      </c>
      <c r="K109" s="479">
        <v>172768</v>
      </c>
      <c r="L109" s="479">
        <v>174456</v>
      </c>
      <c r="M109" s="479">
        <v>179493</v>
      </c>
      <c r="N109" s="479">
        <v>176445</v>
      </c>
      <c r="O109" s="479">
        <v>195707</v>
      </c>
      <c r="P109" s="479">
        <v>191390</v>
      </c>
      <c r="Q109" s="479">
        <v>2181374</v>
      </c>
    </row>
    <row r="110" spans="2:17">
      <c r="B110" s="475"/>
      <c r="C110" s="475"/>
      <c r="D110" s="477" t="s">
        <v>180</v>
      </c>
      <c r="E110" s="479"/>
      <c r="F110" s="479">
        <v>347421</v>
      </c>
      <c r="G110" s="479">
        <v>818377</v>
      </c>
      <c r="H110" s="479">
        <v>577520</v>
      </c>
      <c r="I110" s="479">
        <v>537041</v>
      </c>
      <c r="J110" s="479">
        <v>588429</v>
      </c>
      <c r="K110" s="479">
        <v>544437</v>
      </c>
      <c r="L110" s="479">
        <v>601194</v>
      </c>
      <c r="M110" s="479">
        <v>615217</v>
      </c>
      <c r="N110" s="479">
        <v>564501</v>
      </c>
      <c r="O110" s="479">
        <v>574056</v>
      </c>
      <c r="P110" s="479">
        <v>551587</v>
      </c>
      <c r="Q110" s="479">
        <v>6319780</v>
      </c>
    </row>
    <row r="111" spans="2:17">
      <c r="B111" s="475"/>
      <c r="C111" s="475"/>
      <c r="D111" s="477" t="s">
        <v>180</v>
      </c>
      <c r="E111" s="479">
        <v>391164</v>
      </c>
      <c r="F111" s="479"/>
      <c r="G111" s="479">
        <v>1253983</v>
      </c>
      <c r="H111" s="479"/>
      <c r="I111" s="479">
        <v>1734882</v>
      </c>
      <c r="J111" s="479">
        <v>936472</v>
      </c>
      <c r="K111" s="479">
        <v>894561</v>
      </c>
      <c r="L111" s="479">
        <v>1001232</v>
      </c>
      <c r="M111" s="479">
        <v>991074</v>
      </c>
      <c r="N111" s="479">
        <v>878896</v>
      </c>
      <c r="O111" s="479">
        <v>894440</v>
      </c>
      <c r="P111" s="479">
        <v>855478</v>
      </c>
      <c r="Q111" s="479">
        <v>9832182</v>
      </c>
    </row>
    <row r="112" spans="2:17">
      <c r="B112" s="475"/>
      <c r="C112" s="475"/>
      <c r="D112" s="477" t="s">
        <v>180</v>
      </c>
      <c r="E112" s="479">
        <v>0</v>
      </c>
      <c r="F112" s="479"/>
      <c r="G112" s="479">
        <v>5600</v>
      </c>
      <c r="H112" s="479"/>
      <c r="I112" s="479"/>
      <c r="J112" s="479"/>
      <c r="K112" s="479"/>
      <c r="L112" s="479"/>
      <c r="M112" s="479"/>
      <c r="N112" s="479"/>
      <c r="O112" s="479"/>
      <c r="P112" s="479"/>
      <c r="Q112" s="479">
        <v>5600</v>
      </c>
    </row>
    <row r="113" spans="2:17">
      <c r="B113" s="475"/>
      <c r="C113" s="475"/>
      <c r="D113" s="477" t="s">
        <v>180</v>
      </c>
      <c r="E113" s="479">
        <v>674745</v>
      </c>
      <c r="F113" s="479"/>
      <c r="G113" s="479">
        <v>841141</v>
      </c>
      <c r="H113" s="479">
        <v>613979</v>
      </c>
      <c r="I113" s="479">
        <v>580701</v>
      </c>
      <c r="J113" s="479">
        <v>583854</v>
      </c>
      <c r="K113" s="479">
        <v>552258</v>
      </c>
      <c r="L113" s="479">
        <v>607753</v>
      </c>
      <c r="M113" s="479">
        <v>592977</v>
      </c>
      <c r="N113" s="479">
        <v>501910</v>
      </c>
      <c r="O113" s="479">
        <v>503005</v>
      </c>
      <c r="P113" s="479">
        <v>474703</v>
      </c>
      <c r="Q113" s="479">
        <v>6527026</v>
      </c>
    </row>
    <row r="114" spans="2:17">
      <c r="B114" s="475"/>
      <c r="C114" s="475"/>
      <c r="D114" s="477" t="s">
        <v>180</v>
      </c>
      <c r="E114" s="479">
        <v>370161</v>
      </c>
      <c r="F114" s="479"/>
      <c r="G114" s="479">
        <v>356670</v>
      </c>
      <c r="H114" s="479">
        <v>268482</v>
      </c>
      <c r="I114" s="479">
        <v>256582</v>
      </c>
      <c r="J114" s="479">
        <v>269838</v>
      </c>
      <c r="K114" s="479">
        <v>263645</v>
      </c>
      <c r="L114" s="479">
        <v>276609</v>
      </c>
      <c r="M114" s="479">
        <v>274175</v>
      </c>
      <c r="N114" s="479">
        <v>252245</v>
      </c>
      <c r="O114" s="479">
        <v>274722</v>
      </c>
      <c r="P114" s="479">
        <v>272902</v>
      </c>
      <c r="Q114" s="479">
        <v>3136031</v>
      </c>
    </row>
    <row r="115" spans="2:17">
      <c r="B115" s="475"/>
      <c r="C115" s="475"/>
      <c r="D115" s="477" t="s">
        <v>180</v>
      </c>
      <c r="E115" s="479">
        <v>137100</v>
      </c>
      <c r="F115" s="479">
        <v>96000</v>
      </c>
      <c r="G115" s="479">
        <v>104400</v>
      </c>
      <c r="H115" s="479">
        <v>89400</v>
      </c>
      <c r="I115" s="479">
        <v>85800</v>
      </c>
      <c r="J115" s="479">
        <v>90600</v>
      </c>
      <c r="K115" s="479">
        <v>102300</v>
      </c>
      <c r="L115" s="479">
        <v>36600</v>
      </c>
      <c r="M115" s="479">
        <v>105556</v>
      </c>
      <c r="N115" s="479">
        <v>91892</v>
      </c>
      <c r="O115" s="479">
        <v>92750</v>
      </c>
      <c r="P115" s="479">
        <v>94366</v>
      </c>
      <c r="Q115" s="479">
        <v>1126764</v>
      </c>
    </row>
    <row r="116" spans="2:17">
      <c r="B116" s="475"/>
      <c r="C116" s="475"/>
      <c r="D116" s="477" t="s">
        <v>180</v>
      </c>
      <c r="E116" s="479">
        <v>280773</v>
      </c>
      <c r="F116" s="479"/>
      <c r="G116" s="479">
        <v>414674</v>
      </c>
      <c r="H116" s="479">
        <v>285315</v>
      </c>
      <c r="I116" s="479">
        <v>270945</v>
      </c>
      <c r="J116" s="479">
        <v>298055</v>
      </c>
      <c r="K116" s="479">
        <v>290165</v>
      </c>
      <c r="L116" s="479">
        <v>327629</v>
      </c>
      <c r="M116" s="479">
        <v>316205</v>
      </c>
      <c r="N116" s="479">
        <v>265955</v>
      </c>
      <c r="O116" s="479">
        <v>264633</v>
      </c>
      <c r="P116" s="479">
        <v>253330</v>
      </c>
      <c r="Q116" s="479">
        <v>3267679</v>
      </c>
    </row>
    <row r="117" spans="2:17">
      <c r="B117" s="475"/>
      <c r="C117" s="475"/>
      <c r="D117" s="477" t="s">
        <v>180</v>
      </c>
      <c r="E117" s="479"/>
      <c r="F117" s="479">
        <v>375000</v>
      </c>
      <c r="G117" s="479">
        <v>204300</v>
      </c>
      <c r="H117" s="479">
        <v>220500</v>
      </c>
      <c r="I117" s="479">
        <v>219600</v>
      </c>
      <c r="J117" s="479">
        <v>223800</v>
      </c>
      <c r="K117" s="479">
        <v>356100</v>
      </c>
      <c r="L117" s="479"/>
      <c r="M117" s="479">
        <v>289990</v>
      </c>
      <c r="N117" s="479">
        <v>235646</v>
      </c>
      <c r="O117" s="479">
        <v>278234</v>
      </c>
      <c r="P117" s="479">
        <v>284979</v>
      </c>
      <c r="Q117" s="479">
        <v>2688149</v>
      </c>
    </row>
    <row r="118" spans="2:17">
      <c r="B118" s="475"/>
      <c r="C118" s="475"/>
      <c r="D118" s="477">
        <v>26</v>
      </c>
      <c r="E118" s="479">
        <v>307800</v>
      </c>
      <c r="F118" s="479">
        <v>298800</v>
      </c>
      <c r="G118" s="479">
        <v>299100</v>
      </c>
      <c r="H118" s="479">
        <v>279300</v>
      </c>
      <c r="I118" s="479">
        <v>295200</v>
      </c>
      <c r="J118" s="479">
        <v>282300</v>
      </c>
      <c r="K118" s="479">
        <v>290100</v>
      </c>
      <c r="L118" s="479">
        <v>329400</v>
      </c>
      <c r="M118" s="479">
        <v>317100</v>
      </c>
      <c r="N118" s="479">
        <v>273600</v>
      </c>
      <c r="O118" s="479">
        <v>287400</v>
      </c>
      <c r="P118" s="479">
        <v>294300</v>
      </c>
      <c r="Q118" s="479">
        <v>3554400</v>
      </c>
    </row>
    <row r="119" spans="2:17">
      <c r="B119" s="475"/>
      <c r="C119" s="475"/>
      <c r="D119" s="477">
        <v>24</v>
      </c>
      <c r="E119" s="479">
        <v>3020</v>
      </c>
      <c r="F119" s="479">
        <v>3020</v>
      </c>
      <c r="G119" s="479">
        <v>2910</v>
      </c>
      <c r="H119" s="479">
        <v>2810</v>
      </c>
      <c r="I119" s="479">
        <v>3010</v>
      </c>
      <c r="J119" s="479">
        <v>2910</v>
      </c>
      <c r="K119" s="479">
        <v>2910</v>
      </c>
      <c r="L119" s="479">
        <v>3030</v>
      </c>
      <c r="M119" s="479">
        <v>3030</v>
      </c>
      <c r="N119" s="479">
        <v>2330</v>
      </c>
      <c r="O119" s="479">
        <v>2350</v>
      </c>
      <c r="P119" s="479">
        <v>2390</v>
      </c>
      <c r="Q119" s="479">
        <v>33720</v>
      </c>
    </row>
    <row r="120" spans="2:17">
      <c r="B120" s="475"/>
      <c r="C120" s="475"/>
      <c r="D120" s="477">
        <v>26</v>
      </c>
      <c r="E120" s="479">
        <v>490800</v>
      </c>
      <c r="F120" s="479">
        <v>500400</v>
      </c>
      <c r="G120" s="479">
        <v>491700</v>
      </c>
      <c r="H120" s="479">
        <v>486000</v>
      </c>
      <c r="I120" s="479">
        <v>536100</v>
      </c>
      <c r="J120" s="479">
        <v>527100</v>
      </c>
      <c r="K120" s="479">
        <v>561900</v>
      </c>
      <c r="L120" s="479">
        <v>596100</v>
      </c>
      <c r="M120" s="479">
        <v>578700</v>
      </c>
      <c r="N120" s="479">
        <v>511500</v>
      </c>
      <c r="O120" s="479">
        <v>513600</v>
      </c>
      <c r="P120" s="479">
        <v>515100</v>
      </c>
      <c r="Q120" s="479">
        <v>6309000</v>
      </c>
    </row>
    <row r="121" spans="2:17">
      <c r="B121" s="475"/>
      <c r="C121" s="475"/>
      <c r="D121" s="477">
        <v>26</v>
      </c>
      <c r="E121" s="479">
        <v>722100</v>
      </c>
      <c r="F121" s="479">
        <v>719160</v>
      </c>
      <c r="G121" s="479">
        <v>673140</v>
      </c>
      <c r="H121" s="479">
        <v>645720</v>
      </c>
      <c r="I121" s="479">
        <v>746520</v>
      </c>
      <c r="J121" s="479"/>
      <c r="K121" s="479">
        <v>1558260</v>
      </c>
      <c r="L121" s="479">
        <v>899940</v>
      </c>
      <c r="M121" s="479">
        <v>860760</v>
      </c>
      <c r="N121" s="479">
        <v>726660</v>
      </c>
      <c r="O121" s="479">
        <v>729060</v>
      </c>
      <c r="P121" s="479">
        <v>719580</v>
      </c>
      <c r="Q121" s="479">
        <v>9000900</v>
      </c>
    </row>
    <row r="122" spans="2:17">
      <c r="B122" s="475"/>
      <c r="C122" s="475"/>
      <c r="D122" s="477">
        <v>26</v>
      </c>
      <c r="E122" s="479">
        <v>376800</v>
      </c>
      <c r="F122" s="479">
        <v>383400</v>
      </c>
      <c r="G122" s="479">
        <v>365400</v>
      </c>
      <c r="H122" s="479">
        <v>361800</v>
      </c>
      <c r="I122" s="479">
        <v>416400</v>
      </c>
      <c r="J122" s="479"/>
      <c r="K122" s="479">
        <v>887700</v>
      </c>
      <c r="L122" s="479">
        <v>494100</v>
      </c>
      <c r="M122" s="479">
        <v>488100</v>
      </c>
      <c r="N122" s="479">
        <v>411300</v>
      </c>
      <c r="O122" s="479">
        <v>414000</v>
      </c>
      <c r="P122" s="479">
        <v>387000</v>
      </c>
      <c r="Q122" s="479">
        <v>4986000</v>
      </c>
    </row>
    <row r="123" spans="2:17">
      <c r="B123" s="475"/>
      <c r="C123" s="475"/>
      <c r="D123" s="477">
        <v>25</v>
      </c>
      <c r="E123" s="479">
        <v>50440</v>
      </c>
      <c r="F123" s="479">
        <v>46240</v>
      </c>
      <c r="G123" s="479">
        <v>46000</v>
      </c>
      <c r="H123" s="479">
        <v>44720</v>
      </c>
      <c r="I123" s="479">
        <v>44760</v>
      </c>
      <c r="J123" s="479">
        <v>40920</v>
      </c>
      <c r="K123" s="479">
        <v>43160</v>
      </c>
      <c r="L123" s="479">
        <v>43160</v>
      </c>
      <c r="M123" s="479">
        <v>44120</v>
      </c>
      <c r="N123" s="479">
        <v>42280</v>
      </c>
      <c r="O123" s="479">
        <v>45040</v>
      </c>
      <c r="P123" s="479">
        <v>47680</v>
      </c>
      <c r="Q123" s="479">
        <v>538520</v>
      </c>
    </row>
    <row r="124" spans="2:17">
      <c r="B124" s="475"/>
      <c r="C124" s="475"/>
      <c r="D124" s="477">
        <v>24</v>
      </c>
      <c r="E124" s="479">
        <v>0</v>
      </c>
      <c r="F124" s="479">
        <v>0</v>
      </c>
      <c r="G124" s="479">
        <v>0</v>
      </c>
      <c r="H124" s="479">
        <v>0</v>
      </c>
      <c r="I124" s="479">
        <v>0</v>
      </c>
      <c r="J124" s="479">
        <v>0</v>
      </c>
      <c r="K124" s="479">
        <v>413</v>
      </c>
      <c r="L124" s="479">
        <v>71</v>
      </c>
      <c r="M124" s="479">
        <v>71</v>
      </c>
      <c r="N124" s="479">
        <v>66</v>
      </c>
      <c r="O124" s="479">
        <v>70</v>
      </c>
      <c r="P124" s="479">
        <v>71</v>
      </c>
      <c r="Q124" s="479">
        <v>762</v>
      </c>
    </row>
    <row r="125" spans="2:17">
      <c r="B125" s="475"/>
      <c r="C125" s="475"/>
      <c r="D125" s="477">
        <v>25</v>
      </c>
      <c r="E125" s="479">
        <v>24679</v>
      </c>
      <c r="F125" s="479">
        <v>26640</v>
      </c>
      <c r="G125" s="479">
        <v>27240</v>
      </c>
      <c r="H125" s="479">
        <v>26160</v>
      </c>
      <c r="I125" s="479">
        <v>29120</v>
      </c>
      <c r="J125" s="479">
        <v>30480</v>
      </c>
      <c r="K125" s="479">
        <v>31400</v>
      </c>
      <c r="L125" s="479">
        <v>33480</v>
      </c>
      <c r="M125" s="479">
        <v>32800</v>
      </c>
      <c r="N125" s="479">
        <v>27760</v>
      </c>
      <c r="O125" s="479">
        <v>26080</v>
      </c>
      <c r="P125" s="479">
        <v>22840</v>
      </c>
      <c r="Q125" s="479">
        <v>338679</v>
      </c>
    </row>
    <row r="126" spans="2:17">
      <c r="B126" s="475"/>
      <c r="C126" s="475"/>
      <c r="D126" s="477">
        <v>25</v>
      </c>
      <c r="E126" s="479">
        <v>74240</v>
      </c>
      <c r="F126" s="479">
        <v>63680</v>
      </c>
      <c r="G126" s="479">
        <v>66480</v>
      </c>
      <c r="H126" s="479">
        <v>56720</v>
      </c>
      <c r="I126" s="479">
        <v>47600</v>
      </c>
      <c r="J126" s="479">
        <v>42000</v>
      </c>
      <c r="K126" s="479">
        <v>44880</v>
      </c>
      <c r="L126" s="479">
        <v>42720</v>
      </c>
      <c r="M126" s="479">
        <v>43680</v>
      </c>
      <c r="N126" s="479">
        <v>44640</v>
      </c>
      <c r="O126" s="479">
        <v>47200</v>
      </c>
      <c r="P126" s="479">
        <v>63680</v>
      </c>
      <c r="Q126" s="479">
        <v>637520</v>
      </c>
    </row>
    <row r="127" spans="2:17">
      <c r="B127" s="475"/>
      <c r="C127" s="475"/>
      <c r="D127" s="477">
        <v>24</v>
      </c>
      <c r="E127" s="479">
        <v>15760</v>
      </c>
      <c r="F127" s="479">
        <v>15440</v>
      </c>
      <c r="G127" s="479">
        <v>15600</v>
      </c>
      <c r="H127" s="479">
        <v>13840</v>
      </c>
      <c r="I127" s="479">
        <v>13160</v>
      </c>
      <c r="J127" s="479">
        <v>13440</v>
      </c>
      <c r="K127" s="479">
        <v>15280</v>
      </c>
      <c r="L127" s="479">
        <v>15280</v>
      </c>
      <c r="M127" s="479">
        <v>14920</v>
      </c>
      <c r="N127" s="479">
        <v>14080</v>
      </c>
      <c r="O127" s="479">
        <v>15080</v>
      </c>
      <c r="P127" s="479">
        <v>17000</v>
      </c>
      <c r="Q127" s="479">
        <v>178880</v>
      </c>
    </row>
    <row r="128" spans="2:17">
      <c r="B128" s="475"/>
      <c r="C128" s="475"/>
      <c r="D128" s="477">
        <v>31</v>
      </c>
      <c r="E128" s="479">
        <v>2174400</v>
      </c>
      <c r="F128" s="479">
        <v>2001600</v>
      </c>
      <c r="G128" s="479">
        <v>2049600</v>
      </c>
      <c r="H128" s="479">
        <v>1908000</v>
      </c>
      <c r="I128" s="479">
        <v>2020800</v>
      </c>
      <c r="J128" s="479"/>
      <c r="K128" s="479">
        <v>4449600</v>
      </c>
      <c r="L128" s="479">
        <v>2373600</v>
      </c>
      <c r="M128" s="479">
        <v>2222400</v>
      </c>
      <c r="N128" s="479">
        <v>1934400</v>
      </c>
      <c r="O128" s="479">
        <v>1912800</v>
      </c>
      <c r="P128" s="479">
        <v>1898400</v>
      </c>
      <c r="Q128" s="479">
        <v>24945600</v>
      </c>
    </row>
    <row r="129" spans="1:33">
      <c r="B129" s="475"/>
      <c r="C129" s="475"/>
      <c r="D129" s="477">
        <v>25</v>
      </c>
      <c r="E129" s="479">
        <v>27680</v>
      </c>
      <c r="F129" s="479">
        <v>25760</v>
      </c>
      <c r="G129" s="479">
        <v>25200</v>
      </c>
      <c r="H129" s="479">
        <v>22320</v>
      </c>
      <c r="I129" s="479">
        <v>22320</v>
      </c>
      <c r="J129" s="479">
        <v>22800</v>
      </c>
      <c r="K129" s="479">
        <v>25040</v>
      </c>
      <c r="L129" s="479">
        <v>22880</v>
      </c>
      <c r="M129" s="479">
        <v>23760</v>
      </c>
      <c r="N129" s="479">
        <v>21600</v>
      </c>
      <c r="O129" s="479">
        <v>22400</v>
      </c>
      <c r="P129" s="479">
        <v>24160</v>
      </c>
      <c r="Q129" s="479">
        <v>285920</v>
      </c>
    </row>
    <row r="130" spans="1:33">
      <c r="B130" s="475"/>
      <c r="C130" s="475"/>
      <c r="D130" s="477">
        <v>25</v>
      </c>
      <c r="E130" s="479">
        <v>28160</v>
      </c>
      <c r="F130" s="479">
        <v>31680</v>
      </c>
      <c r="G130" s="479">
        <v>22000</v>
      </c>
      <c r="H130" s="479">
        <v>16560</v>
      </c>
      <c r="I130" s="479">
        <v>13920</v>
      </c>
      <c r="J130" s="479">
        <v>16240</v>
      </c>
      <c r="K130" s="479">
        <v>15520</v>
      </c>
      <c r="L130" s="479">
        <v>16000</v>
      </c>
      <c r="M130" s="479">
        <v>14400</v>
      </c>
      <c r="N130" s="479">
        <v>15200</v>
      </c>
      <c r="O130" s="479">
        <v>20480</v>
      </c>
      <c r="P130" s="479">
        <v>20480</v>
      </c>
      <c r="Q130" s="479">
        <v>230640</v>
      </c>
    </row>
    <row r="131" spans="1:33">
      <c r="B131" s="475"/>
      <c r="C131" s="475"/>
      <c r="D131" s="477">
        <v>25</v>
      </c>
      <c r="E131" s="479">
        <v>28440</v>
      </c>
      <c r="F131" s="479">
        <v>26800</v>
      </c>
      <c r="G131" s="479">
        <v>48880</v>
      </c>
      <c r="H131" s="479">
        <v>18120</v>
      </c>
      <c r="I131" s="479">
        <v>12160</v>
      </c>
      <c r="J131" s="479">
        <v>11240</v>
      </c>
      <c r="K131" s="479">
        <v>10880</v>
      </c>
      <c r="L131" s="479">
        <v>9840</v>
      </c>
      <c r="M131" s="479">
        <v>5520</v>
      </c>
      <c r="N131" s="479">
        <v>4640</v>
      </c>
      <c r="O131" s="479">
        <v>5520</v>
      </c>
      <c r="P131" s="479">
        <v>5840</v>
      </c>
      <c r="Q131" s="479">
        <v>187880</v>
      </c>
    </row>
    <row r="132" spans="1:33">
      <c r="B132" s="475"/>
      <c r="C132" s="475"/>
      <c r="D132" s="477">
        <v>25</v>
      </c>
      <c r="E132" s="479">
        <v>10530</v>
      </c>
      <c r="F132" s="479">
        <v>10430</v>
      </c>
      <c r="G132" s="479">
        <v>11970</v>
      </c>
      <c r="H132" s="479">
        <v>12530</v>
      </c>
      <c r="I132" s="479">
        <v>17200</v>
      </c>
      <c r="J132" s="479">
        <v>16660</v>
      </c>
      <c r="K132" s="479">
        <v>19240</v>
      </c>
      <c r="L132" s="479">
        <v>17190</v>
      </c>
      <c r="M132" s="479">
        <v>13990</v>
      </c>
      <c r="N132" s="479">
        <v>11190</v>
      </c>
      <c r="O132" s="479">
        <v>11260</v>
      </c>
      <c r="P132" s="479">
        <v>9250</v>
      </c>
      <c r="Q132" s="479">
        <v>161440</v>
      </c>
    </row>
    <row r="133" spans="1:33">
      <c r="B133" s="475"/>
      <c r="C133" s="475"/>
      <c r="D133" s="477">
        <v>24</v>
      </c>
      <c r="E133" s="479">
        <v>16300</v>
      </c>
      <c r="F133" s="479">
        <v>15260</v>
      </c>
      <c r="G133" s="479">
        <v>13930</v>
      </c>
      <c r="H133" s="479">
        <v>13650</v>
      </c>
      <c r="I133" s="479">
        <v>14320</v>
      </c>
      <c r="J133" s="479">
        <v>13300</v>
      </c>
      <c r="K133" s="479">
        <v>15890</v>
      </c>
      <c r="L133" s="479">
        <v>17520</v>
      </c>
      <c r="M133" s="479">
        <v>14200</v>
      </c>
      <c r="N133" s="479">
        <v>13370</v>
      </c>
      <c r="O133" s="479">
        <v>15400</v>
      </c>
      <c r="P133" s="479">
        <v>13210</v>
      </c>
      <c r="Q133" s="479">
        <v>176350</v>
      </c>
    </row>
    <row r="134" spans="1:33">
      <c r="B134" s="475"/>
      <c r="C134" s="475"/>
      <c r="D134" s="477">
        <v>24</v>
      </c>
      <c r="E134" s="479">
        <v>12900</v>
      </c>
      <c r="F134" s="479">
        <v>13740</v>
      </c>
      <c r="G134" s="479">
        <v>13280</v>
      </c>
      <c r="H134" s="479">
        <v>12080</v>
      </c>
      <c r="I134" s="479">
        <v>11560</v>
      </c>
      <c r="J134" s="479">
        <v>9910</v>
      </c>
      <c r="K134" s="479">
        <v>10260</v>
      </c>
      <c r="L134" s="479">
        <v>5710</v>
      </c>
      <c r="M134" s="479">
        <v>5730</v>
      </c>
      <c r="N134" s="479">
        <v>6840</v>
      </c>
      <c r="O134" s="479">
        <v>10490</v>
      </c>
      <c r="P134" s="479">
        <v>11580</v>
      </c>
      <c r="Q134" s="479">
        <v>124080</v>
      </c>
    </row>
    <row r="135" spans="1:33">
      <c r="B135" s="475"/>
      <c r="C135" s="475"/>
      <c r="D135" s="477">
        <v>24</v>
      </c>
      <c r="E135" s="479">
        <v>10230</v>
      </c>
      <c r="F135" s="479">
        <v>9980</v>
      </c>
      <c r="G135" s="479">
        <v>9610</v>
      </c>
      <c r="H135" s="479">
        <v>9570</v>
      </c>
      <c r="I135" s="479">
        <v>10980</v>
      </c>
      <c r="J135" s="479">
        <v>10180</v>
      </c>
      <c r="K135" s="479">
        <v>12200</v>
      </c>
      <c r="L135" s="479">
        <v>12120</v>
      </c>
      <c r="M135" s="479">
        <v>9930</v>
      </c>
      <c r="N135" s="479">
        <v>9010</v>
      </c>
      <c r="O135" s="479">
        <v>9750</v>
      </c>
      <c r="P135" s="479">
        <v>8760</v>
      </c>
      <c r="Q135" s="479">
        <v>122320</v>
      </c>
    </row>
    <row r="136" spans="1:33">
      <c r="B136" s="475"/>
      <c r="C136" s="475"/>
      <c r="D136" s="477">
        <v>24</v>
      </c>
      <c r="E136" s="479">
        <v>16850</v>
      </c>
      <c r="F136" s="479">
        <v>15620</v>
      </c>
      <c r="G136" s="479">
        <v>13050</v>
      </c>
      <c r="H136" s="479">
        <v>12490</v>
      </c>
      <c r="I136" s="479">
        <v>12500</v>
      </c>
      <c r="J136" s="479">
        <v>11300</v>
      </c>
      <c r="K136" s="479">
        <v>13090</v>
      </c>
      <c r="L136" s="479">
        <v>15180</v>
      </c>
      <c r="M136" s="479">
        <v>15210</v>
      </c>
      <c r="N136" s="479">
        <v>16180</v>
      </c>
      <c r="O136" s="479">
        <v>21880</v>
      </c>
      <c r="P136" s="479">
        <v>20460</v>
      </c>
      <c r="Q136" s="479">
        <v>183810</v>
      </c>
    </row>
    <row r="137" spans="1:33">
      <c r="B137" s="475"/>
      <c r="C137" s="475"/>
      <c r="D137" s="477">
        <v>31</v>
      </c>
      <c r="E137" s="479">
        <v>2107200</v>
      </c>
      <c r="F137" s="479">
        <v>4497600</v>
      </c>
      <c r="G137" s="479"/>
      <c r="H137" s="479">
        <v>2083200</v>
      </c>
      <c r="I137" s="479">
        <v>2109600</v>
      </c>
      <c r="J137" s="479">
        <v>2414400</v>
      </c>
      <c r="K137" s="479">
        <v>2236800</v>
      </c>
      <c r="L137" s="479">
        <v>2460000</v>
      </c>
      <c r="M137" s="479">
        <v>2709600</v>
      </c>
      <c r="N137" s="479">
        <v>4432800</v>
      </c>
      <c r="O137" s="479">
        <v>0</v>
      </c>
      <c r="P137" s="479">
        <v>2385600</v>
      </c>
      <c r="Q137" s="479">
        <v>27436800</v>
      </c>
    </row>
    <row r="140" spans="1:33" ht="18.75">
      <c r="A140" s="480" t="s">
        <v>181</v>
      </c>
      <c r="S140" s="503" t="s">
        <v>182</v>
      </c>
      <c r="T140" s="503"/>
      <c r="U140" s="503"/>
      <c r="V140" s="503"/>
      <c r="W140" s="503"/>
      <c r="X140" s="503"/>
      <c r="Y140" s="503"/>
      <c r="Z140" s="503"/>
      <c r="AA140" s="503"/>
      <c r="AB140" s="503"/>
      <c r="AC140" s="503"/>
      <c r="AD140" s="503"/>
      <c r="AE140" s="503"/>
      <c r="AF140" s="503"/>
      <c r="AG140" s="503"/>
    </row>
    <row r="142" spans="1:33">
      <c r="E142" s="504" t="s">
        <v>183</v>
      </c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V142" s="504" t="s">
        <v>184</v>
      </c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</row>
    <row r="143" spans="1:33" ht="30">
      <c r="A143" s="481" t="s">
        <v>176</v>
      </c>
      <c r="B143" s="481" t="s">
        <v>185</v>
      </c>
      <c r="C143" s="481" t="s">
        <v>186</v>
      </c>
      <c r="E143" s="481" t="s">
        <v>80</v>
      </c>
      <c r="F143" s="481" t="s">
        <v>81</v>
      </c>
      <c r="G143" s="481" t="s">
        <v>82</v>
      </c>
      <c r="H143" s="481" t="s">
        <v>83</v>
      </c>
      <c r="I143" s="481" t="s">
        <v>84</v>
      </c>
      <c r="J143" s="481" t="s">
        <v>85</v>
      </c>
      <c r="K143" s="481" t="s">
        <v>86</v>
      </c>
      <c r="L143" s="481" t="s">
        <v>87</v>
      </c>
      <c r="M143" s="481" t="s">
        <v>88</v>
      </c>
      <c r="N143" s="481" t="s">
        <v>89</v>
      </c>
      <c r="O143" s="481" t="s">
        <v>90</v>
      </c>
      <c r="P143" s="481" t="s">
        <v>91</v>
      </c>
      <c r="Q143" s="481" t="s">
        <v>19</v>
      </c>
      <c r="S143" s="482" t="s">
        <v>176</v>
      </c>
      <c r="T143" s="482" t="s">
        <v>185</v>
      </c>
      <c r="U143" s="482" t="s">
        <v>187</v>
      </c>
      <c r="V143" s="481" t="s">
        <v>80</v>
      </c>
      <c r="W143" s="481" t="s">
        <v>81</v>
      </c>
      <c r="X143" s="481" t="s">
        <v>82</v>
      </c>
      <c r="Y143" s="481" t="s">
        <v>83</v>
      </c>
      <c r="Z143" s="481" t="s">
        <v>84</v>
      </c>
      <c r="AA143" s="481" t="s">
        <v>85</v>
      </c>
      <c r="AB143" s="481" t="s">
        <v>86</v>
      </c>
      <c r="AC143" s="481" t="s">
        <v>87</v>
      </c>
      <c r="AD143" s="481" t="s">
        <v>88</v>
      </c>
      <c r="AE143" s="481" t="s">
        <v>89</v>
      </c>
      <c r="AF143" s="481" t="s">
        <v>90</v>
      </c>
      <c r="AG143" s="481" t="s">
        <v>91</v>
      </c>
    </row>
    <row r="144" spans="1:33">
      <c r="B144" s="477">
        <v>31</v>
      </c>
      <c r="C144" s="477">
        <v>1</v>
      </c>
      <c r="E144" s="479">
        <f>E6</f>
        <v>2637600</v>
      </c>
      <c r="F144" s="479">
        <f t="shared" ref="F144:Q144" si="0">F6</f>
        <v>2479200</v>
      </c>
      <c r="G144" s="479">
        <f t="shared" si="0"/>
        <v>2692800</v>
      </c>
      <c r="H144" s="479">
        <f t="shared" si="0"/>
        <v>2407200</v>
      </c>
      <c r="I144" s="479">
        <f t="shared" si="0"/>
        <v>2568000</v>
      </c>
      <c r="J144" s="479">
        <f t="shared" si="0"/>
        <v>2712000</v>
      </c>
      <c r="K144" s="479">
        <f t="shared" si="0"/>
        <v>2500800</v>
      </c>
      <c r="L144" s="479">
        <f t="shared" si="0"/>
        <v>2517600</v>
      </c>
      <c r="M144" s="479">
        <f t="shared" si="0"/>
        <v>2839200</v>
      </c>
      <c r="N144" s="479">
        <f t="shared" si="0"/>
        <v>2486400</v>
      </c>
      <c r="O144" s="479">
        <f t="shared" si="0"/>
        <v>2678400</v>
      </c>
      <c r="P144" s="479">
        <f t="shared" si="0"/>
        <v>2515200</v>
      </c>
      <c r="Q144" s="479">
        <f t="shared" si="0"/>
        <v>31034400</v>
      </c>
      <c r="T144" s="477">
        <v>31</v>
      </c>
      <c r="U144" s="477">
        <f>C144</f>
        <v>1</v>
      </c>
      <c r="V144" s="483">
        <v>1</v>
      </c>
      <c r="W144" s="483">
        <v>1</v>
      </c>
      <c r="X144" s="483">
        <v>1</v>
      </c>
      <c r="Y144" s="483">
        <v>1</v>
      </c>
      <c r="Z144" s="483">
        <v>1</v>
      </c>
      <c r="AA144" s="483">
        <v>1</v>
      </c>
      <c r="AB144" s="483">
        <v>1</v>
      </c>
      <c r="AC144" s="483">
        <v>1</v>
      </c>
      <c r="AD144" s="483">
        <v>1</v>
      </c>
      <c r="AE144" s="483">
        <v>1</v>
      </c>
      <c r="AF144" s="483">
        <v>1</v>
      </c>
      <c r="AG144" s="483">
        <v>1</v>
      </c>
    </row>
    <row r="145" spans="2:33">
      <c r="B145" s="477"/>
      <c r="C145" s="477"/>
      <c r="T145" s="477"/>
      <c r="U145" s="477"/>
      <c r="V145" s="483"/>
      <c r="W145" s="483"/>
      <c r="X145" s="483"/>
      <c r="Y145" s="483"/>
      <c r="Z145" s="483"/>
      <c r="AA145" s="483"/>
      <c r="AB145" s="483"/>
      <c r="AC145" s="483"/>
      <c r="AD145" s="483"/>
      <c r="AE145" s="483"/>
      <c r="AF145" s="483"/>
      <c r="AG145" s="483"/>
    </row>
    <row r="146" spans="2:33">
      <c r="B146" s="477">
        <v>24</v>
      </c>
      <c r="C146" s="477">
        <v>1</v>
      </c>
      <c r="E146" s="479">
        <f>E7</f>
        <v>6010</v>
      </c>
      <c r="F146" s="479">
        <f t="shared" ref="F146:Q146" si="1">F7</f>
        <v>5710</v>
      </c>
      <c r="G146" s="479">
        <f t="shared" si="1"/>
        <v>5860</v>
      </c>
      <c r="H146" s="479">
        <f t="shared" si="1"/>
        <v>5480</v>
      </c>
      <c r="I146" s="479">
        <f t="shared" si="1"/>
        <v>5140</v>
      </c>
      <c r="J146" s="479">
        <f t="shared" si="1"/>
        <v>4900</v>
      </c>
      <c r="K146" s="479">
        <f t="shared" si="1"/>
        <v>5060</v>
      </c>
      <c r="L146" s="479">
        <f t="shared" si="1"/>
        <v>5380</v>
      </c>
      <c r="M146" s="479">
        <f t="shared" si="1"/>
        <v>5200</v>
      </c>
      <c r="N146" s="479">
        <f t="shared" si="1"/>
        <v>5430</v>
      </c>
      <c r="O146" s="479">
        <f t="shared" si="1"/>
        <v>5420</v>
      </c>
      <c r="P146" s="479">
        <f t="shared" si="1"/>
        <v>5940</v>
      </c>
      <c r="Q146" s="479">
        <f t="shared" si="1"/>
        <v>65530</v>
      </c>
      <c r="T146" s="477">
        <v>24</v>
      </c>
      <c r="U146" s="477">
        <f t="shared" ref="U146:U149" si="2">C146</f>
        <v>1</v>
      </c>
      <c r="V146" s="483">
        <f>E146/E$149</f>
        <v>2.9453998343518897E-3</v>
      </c>
      <c r="W146" s="483">
        <f t="shared" ref="W146:AG148" si="3">F146/F$149</f>
        <v>2.9607736382256098E-3</v>
      </c>
      <c r="X146" s="483">
        <f t="shared" si="3"/>
        <v>2.9543140042550186E-3</v>
      </c>
      <c r="Y146" s="483">
        <f t="shared" si="3"/>
        <v>2.9677527666983478E-3</v>
      </c>
      <c r="Z146" s="483">
        <f t="shared" si="3"/>
        <v>2.8402497651544454E-3</v>
      </c>
      <c r="AA146" s="483">
        <f t="shared" si="3"/>
        <v>2.7417419013700318E-3</v>
      </c>
      <c r="AB146" s="483">
        <f t="shared" si="3"/>
        <v>2.7926177756192327E-3</v>
      </c>
      <c r="AC146" s="483">
        <f t="shared" si="3"/>
        <v>2.5515285458184338E-3</v>
      </c>
      <c r="AD146" s="483">
        <f t="shared" si="3"/>
        <v>2.6091319618665328E-3</v>
      </c>
      <c r="AE146" s="483">
        <f t="shared" si="3"/>
        <v>2.9021137863766335E-3</v>
      </c>
      <c r="AF146" s="483">
        <f t="shared" si="3"/>
        <v>3.1189577386980939E-3</v>
      </c>
      <c r="AG146" s="483">
        <f t="shared" si="3"/>
        <v>3.1626024917474176E-3</v>
      </c>
    </row>
    <row r="147" spans="2:33">
      <c r="B147" s="477">
        <v>25</v>
      </c>
      <c r="C147" s="477">
        <v>5</v>
      </c>
      <c r="E147" s="479">
        <f>E9+E10+E13+E16+E17</f>
        <v>417460</v>
      </c>
      <c r="F147" s="479">
        <f t="shared" ref="F147:Q147" si="4">F9+F10+F13+F16+F17</f>
        <v>387740</v>
      </c>
      <c r="G147" s="479">
        <f t="shared" si="4"/>
        <v>405380</v>
      </c>
      <c r="H147" s="479">
        <f t="shared" si="4"/>
        <v>368635</v>
      </c>
      <c r="I147" s="479">
        <f t="shared" si="4"/>
        <v>382405</v>
      </c>
      <c r="J147" s="479">
        <f t="shared" si="4"/>
        <v>376640</v>
      </c>
      <c r="K147" s="479">
        <f t="shared" si="4"/>
        <v>377960</v>
      </c>
      <c r="L147" s="479">
        <f t="shared" si="4"/>
        <v>444460</v>
      </c>
      <c r="M147" s="479">
        <f t="shared" si="4"/>
        <v>419400</v>
      </c>
      <c r="N147" s="479">
        <f t="shared" si="4"/>
        <v>398320</v>
      </c>
      <c r="O147" s="479">
        <f t="shared" si="4"/>
        <v>315140</v>
      </c>
      <c r="P147" s="479">
        <f t="shared" si="4"/>
        <v>345560</v>
      </c>
      <c r="Q147" s="479">
        <f t="shared" si="4"/>
        <v>4639100</v>
      </c>
      <c r="T147" s="477">
        <v>25</v>
      </c>
      <c r="U147" s="477">
        <f t="shared" si="2"/>
        <v>5</v>
      </c>
      <c r="V147" s="483">
        <f t="shared" ref="V147:V148" si="5">E147/E$149</f>
        <v>0.20459011894318466</v>
      </c>
      <c r="W147" s="483">
        <f t="shared" si="3"/>
        <v>0.2010526042881958</v>
      </c>
      <c r="X147" s="483">
        <f t="shared" si="3"/>
        <v>0.20437198140697943</v>
      </c>
      <c r="Y147" s="483">
        <f t="shared" si="3"/>
        <v>0.19963823743646816</v>
      </c>
      <c r="Z147" s="483">
        <f t="shared" si="3"/>
        <v>0.2113085041719622</v>
      </c>
      <c r="AA147" s="483">
        <f t="shared" si="3"/>
        <v>0.2107448305575528</v>
      </c>
      <c r="AB147" s="483">
        <f t="shared" si="3"/>
        <v>0.20859640602234095</v>
      </c>
      <c r="AC147" s="483">
        <f t="shared" si="3"/>
        <v>0.21079040473502991</v>
      </c>
      <c r="AD147" s="483">
        <f t="shared" si="3"/>
        <v>0.21043652784746614</v>
      </c>
      <c r="AE147" s="483">
        <f t="shared" si="3"/>
        <v>0.21288581277892094</v>
      </c>
      <c r="AF147" s="483">
        <f t="shared" si="3"/>
        <v>0.18134840254120246</v>
      </c>
      <c r="AG147" s="483">
        <f t="shared" si="3"/>
        <v>0.18398466616973699</v>
      </c>
    </row>
    <row r="148" spans="2:33">
      <c r="B148" s="477">
        <v>26</v>
      </c>
      <c r="C148" s="477">
        <v>5</v>
      </c>
      <c r="E148" s="479">
        <f>E8+E11+E12+E14+E15</f>
        <v>1617000</v>
      </c>
      <c r="F148" s="479">
        <f t="shared" ref="F148:Q148" si="6">F8+F11+F12+F14+F15</f>
        <v>1535100</v>
      </c>
      <c r="G148" s="479">
        <f t="shared" si="6"/>
        <v>1572300</v>
      </c>
      <c r="H148" s="479">
        <f t="shared" si="6"/>
        <v>1472400</v>
      </c>
      <c r="I148" s="479">
        <f t="shared" si="6"/>
        <v>1422155</v>
      </c>
      <c r="J148" s="479">
        <f t="shared" si="6"/>
        <v>1405645</v>
      </c>
      <c r="K148" s="479">
        <f t="shared" si="6"/>
        <v>1428900</v>
      </c>
      <c r="L148" s="479">
        <f t="shared" si="6"/>
        <v>1658700</v>
      </c>
      <c r="M148" s="479">
        <f t="shared" si="6"/>
        <v>1568400</v>
      </c>
      <c r="N148" s="479">
        <f t="shared" si="6"/>
        <v>1467300</v>
      </c>
      <c r="O148" s="479">
        <f t="shared" si="6"/>
        <v>1417200</v>
      </c>
      <c r="P148" s="479">
        <f t="shared" si="6"/>
        <v>1526700</v>
      </c>
      <c r="Q148" s="479">
        <f t="shared" si="6"/>
        <v>18091800</v>
      </c>
      <c r="T148" s="477">
        <v>26</v>
      </c>
      <c r="U148" s="477">
        <f t="shared" si="2"/>
        <v>5</v>
      </c>
      <c r="V148" s="483">
        <f t="shared" si="5"/>
        <v>0.79246448122246349</v>
      </c>
      <c r="W148" s="483">
        <f t="shared" si="3"/>
        <v>0.79598662207357862</v>
      </c>
      <c r="X148" s="483">
        <f t="shared" si="3"/>
        <v>0.79267370458876552</v>
      </c>
      <c r="Y148" s="483">
        <f t="shared" si="3"/>
        <v>0.7973940097968335</v>
      </c>
      <c r="Z148" s="483">
        <f t="shared" si="3"/>
        <v>0.78585124606288337</v>
      </c>
      <c r="AA148" s="483">
        <f t="shared" si="3"/>
        <v>0.78651342754107711</v>
      </c>
      <c r="AB148" s="483">
        <f t="shared" si="3"/>
        <v>0.78861097620203979</v>
      </c>
      <c r="AC148" s="483">
        <f t="shared" si="3"/>
        <v>0.78665806671915162</v>
      </c>
      <c r="AD148" s="483">
        <f t="shared" si="3"/>
        <v>0.78695434019066735</v>
      </c>
      <c r="AE148" s="483">
        <f t="shared" si="3"/>
        <v>0.78421207343470245</v>
      </c>
      <c r="AF148" s="483">
        <f t="shared" si="3"/>
        <v>0.81553263972009948</v>
      </c>
      <c r="AG148" s="483">
        <f t="shared" si="3"/>
        <v>0.81285273133851565</v>
      </c>
    </row>
    <row r="149" spans="2:33">
      <c r="B149" s="477" t="s">
        <v>19</v>
      </c>
      <c r="C149" s="477">
        <f>SUM(C146:C148)</f>
        <v>11</v>
      </c>
      <c r="E149" s="479">
        <f>SUM(E146:E148)</f>
        <v>2040470</v>
      </c>
      <c r="F149" s="479">
        <f t="shared" ref="F149:Q149" si="7">SUM(F146:F148)</f>
        <v>1928550</v>
      </c>
      <c r="G149" s="479">
        <f t="shared" si="7"/>
        <v>1983540</v>
      </c>
      <c r="H149" s="479">
        <f t="shared" si="7"/>
        <v>1846515</v>
      </c>
      <c r="I149" s="479">
        <f t="shared" si="7"/>
        <v>1809700</v>
      </c>
      <c r="J149" s="479">
        <f t="shared" si="7"/>
        <v>1787185</v>
      </c>
      <c r="K149" s="479">
        <f t="shared" si="7"/>
        <v>1811920</v>
      </c>
      <c r="L149" s="479">
        <f t="shared" si="7"/>
        <v>2108540</v>
      </c>
      <c r="M149" s="479">
        <f t="shared" si="7"/>
        <v>1993000</v>
      </c>
      <c r="N149" s="479">
        <f t="shared" si="7"/>
        <v>1871050</v>
      </c>
      <c r="O149" s="479">
        <f t="shared" si="7"/>
        <v>1737760</v>
      </c>
      <c r="P149" s="479">
        <f t="shared" si="7"/>
        <v>1878200</v>
      </c>
      <c r="Q149" s="479">
        <f t="shared" si="7"/>
        <v>22796430</v>
      </c>
      <c r="T149" s="477"/>
      <c r="U149" s="477">
        <f t="shared" si="2"/>
        <v>11</v>
      </c>
      <c r="V149" s="483">
        <f>SUM(V146:V148)</f>
        <v>1</v>
      </c>
      <c r="W149" s="483">
        <f t="shared" ref="W149:AG149" si="8">SUM(W146:W148)</f>
        <v>1</v>
      </c>
      <c r="X149" s="483">
        <f t="shared" si="8"/>
        <v>1</v>
      </c>
      <c r="Y149" s="483">
        <f t="shared" si="8"/>
        <v>1</v>
      </c>
      <c r="Z149" s="483">
        <f t="shared" si="8"/>
        <v>1</v>
      </c>
      <c r="AA149" s="483">
        <f t="shared" si="8"/>
        <v>1</v>
      </c>
      <c r="AB149" s="483">
        <f t="shared" si="8"/>
        <v>1</v>
      </c>
      <c r="AC149" s="483">
        <f t="shared" si="8"/>
        <v>1</v>
      </c>
      <c r="AD149" s="483">
        <f t="shared" si="8"/>
        <v>1</v>
      </c>
      <c r="AE149" s="483">
        <f t="shared" si="8"/>
        <v>1</v>
      </c>
      <c r="AF149" s="483">
        <f t="shared" si="8"/>
        <v>1</v>
      </c>
      <c r="AG149" s="483">
        <f t="shared" si="8"/>
        <v>1</v>
      </c>
    </row>
    <row r="150" spans="2:33">
      <c r="B150" s="477"/>
      <c r="C150" s="477"/>
      <c r="T150" s="477"/>
      <c r="U150" s="477"/>
      <c r="V150" s="483"/>
      <c r="W150" s="483"/>
      <c r="X150" s="483"/>
      <c r="Y150" s="483"/>
      <c r="Z150" s="483"/>
      <c r="AA150" s="483"/>
      <c r="AB150" s="483"/>
      <c r="AC150" s="483"/>
      <c r="AD150" s="483"/>
      <c r="AE150" s="483"/>
      <c r="AF150" s="483"/>
      <c r="AG150" s="483"/>
    </row>
    <row r="151" spans="2:33">
      <c r="B151" s="477">
        <v>26</v>
      </c>
      <c r="C151" s="477">
        <v>1</v>
      </c>
      <c r="E151" s="479">
        <f>E18</f>
        <v>308400</v>
      </c>
      <c r="F151" s="479">
        <f t="shared" ref="F151:Q152" si="9">F18</f>
        <v>0</v>
      </c>
      <c r="G151" s="479">
        <f t="shared" si="9"/>
        <v>574200</v>
      </c>
      <c r="H151" s="479">
        <f t="shared" si="9"/>
        <v>254400</v>
      </c>
      <c r="I151" s="479">
        <f t="shared" si="9"/>
        <v>306600</v>
      </c>
      <c r="J151" s="479">
        <f t="shared" si="9"/>
        <v>335400</v>
      </c>
      <c r="K151" s="479">
        <f t="shared" si="9"/>
        <v>330000</v>
      </c>
      <c r="L151" s="479">
        <f t="shared" si="9"/>
        <v>382800</v>
      </c>
      <c r="M151" s="479">
        <f t="shared" si="9"/>
        <v>317400</v>
      </c>
      <c r="N151" s="479">
        <f t="shared" si="9"/>
        <v>286800</v>
      </c>
      <c r="O151" s="479">
        <f t="shared" si="9"/>
        <v>0</v>
      </c>
      <c r="P151" s="479">
        <f t="shared" si="9"/>
        <v>595200</v>
      </c>
      <c r="Q151" s="479">
        <f t="shared" si="9"/>
        <v>3691200</v>
      </c>
      <c r="T151" s="477">
        <v>26</v>
      </c>
      <c r="U151" s="477">
        <f t="shared" ref="U151:U153" si="10">C151</f>
        <v>1</v>
      </c>
      <c r="V151" s="483">
        <f>E151/E$153</f>
        <v>0.29171396140749151</v>
      </c>
      <c r="W151" s="483">
        <f t="shared" ref="W151:AG152" si="11">F151/F$153</f>
        <v>0</v>
      </c>
      <c r="X151" s="483">
        <f t="shared" si="11"/>
        <v>0.44698738907052776</v>
      </c>
      <c r="Y151" s="483">
        <f t="shared" si="11"/>
        <v>0.26108374384236455</v>
      </c>
      <c r="Z151" s="483">
        <f t="shared" si="11"/>
        <v>0.29250143102461362</v>
      </c>
      <c r="AA151" s="483">
        <f t="shared" si="11"/>
        <v>0.28418912048805289</v>
      </c>
      <c r="AB151" s="483">
        <f t="shared" si="11"/>
        <v>0.28147389969293757</v>
      </c>
      <c r="AC151" s="483">
        <f t="shared" si="11"/>
        <v>0.2945521698984303</v>
      </c>
      <c r="AD151" s="483">
        <f t="shared" si="11"/>
        <v>0.28123338649654439</v>
      </c>
      <c r="AE151" s="483">
        <f t="shared" si="11"/>
        <v>0.28217237308146398</v>
      </c>
      <c r="AF151" s="483">
        <f t="shared" si="11"/>
        <v>0</v>
      </c>
      <c r="AG151" s="483">
        <f t="shared" si="11"/>
        <v>0.42393162393162392</v>
      </c>
    </row>
    <row r="152" spans="2:33">
      <c r="B152" s="477">
        <v>31</v>
      </c>
      <c r="C152" s="477">
        <v>1</v>
      </c>
      <c r="E152" s="479">
        <f>E19</f>
        <v>748800</v>
      </c>
      <c r="F152" s="479">
        <f t="shared" si="9"/>
        <v>789600</v>
      </c>
      <c r="G152" s="479">
        <f t="shared" si="9"/>
        <v>710400</v>
      </c>
      <c r="H152" s="479">
        <f t="shared" si="9"/>
        <v>720000</v>
      </c>
      <c r="I152" s="479">
        <f t="shared" si="9"/>
        <v>741600</v>
      </c>
      <c r="J152" s="479">
        <f t="shared" si="9"/>
        <v>844800</v>
      </c>
      <c r="K152" s="479">
        <f t="shared" si="9"/>
        <v>842400</v>
      </c>
      <c r="L152" s="479">
        <f t="shared" si="9"/>
        <v>916800</v>
      </c>
      <c r="M152" s="479">
        <f t="shared" si="9"/>
        <v>811200</v>
      </c>
      <c r="N152" s="479">
        <f t="shared" si="9"/>
        <v>729600</v>
      </c>
      <c r="O152" s="479">
        <f t="shared" si="9"/>
        <v>753600</v>
      </c>
      <c r="P152" s="479">
        <f t="shared" si="9"/>
        <v>808800</v>
      </c>
      <c r="Q152" s="479">
        <f t="shared" si="9"/>
        <v>9417600</v>
      </c>
      <c r="T152" s="477">
        <v>31</v>
      </c>
      <c r="U152" s="477">
        <f t="shared" si="10"/>
        <v>1</v>
      </c>
      <c r="V152" s="483">
        <f>E152/E$153</f>
        <v>0.70828603859250849</v>
      </c>
      <c r="W152" s="483">
        <f t="shared" si="11"/>
        <v>1</v>
      </c>
      <c r="X152" s="483">
        <f t="shared" si="11"/>
        <v>0.55301261092947218</v>
      </c>
      <c r="Y152" s="483">
        <f t="shared" si="11"/>
        <v>0.73891625615763545</v>
      </c>
      <c r="Z152" s="483">
        <f t="shared" si="11"/>
        <v>0.70749856897538632</v>
      </c>
      <c r="AA152" s="483">
        <f t="shared" si="11"/>
        <v>0.71581087951194711</v>
      </c>
      <c r="AB152" s="483">
        <f t="shared" si="11"/>
        <v>0.71852610030706243</v>
      </c>
      <c r="AC152" s="483">
        <f t="shared" si="11"/>
        <v>0.70544783010156975</v>
      </c>
      <c r="AD152" s="483">
        <f t="shared" si="11"/>
        <v>0.71876661350345561</v>
      </c>
      <c r="AE152" s="483">
        <f t="shared" si="11"/>
        <v>0.71782762691853597</v>
      </c>
      <c r="AF152" s="483">
        <f t="shared" si="11"/>
        <v>1</v>
      </c>
      <c r="AG152" s="483">
        <f t="shared" si="11"/>
        <v>0.57606837606837602</v>
      </c>
    </row>
    <row r="153" spans="2:33">
      <c r="B153" s="477" t="s">
        <v>19</v>
      </c>
      <c r="C153" s="477">
        <f>SUM(C151:C152)</f>
        <v>2</v>
      </c>
      <c r="E153" s="479">
        <f>SUM(E151:E152)</f>
        <v>1057200</v>
      </c>
      <c r="F153" s="479">
        <f t="shared" ref="F153:Q153" si="12">SUM(F151:F152)</f>
        <v>789600</v>
      </c>
      <c r="G153" s="479">
        <f t="shared" si="12"/>
        <v>1284600</v>
      </c>
      <c r="H153" s="479">
        <f t="shared" si="12"/>
        <v>974400</v>
      </c>
      <c r="I153" s="479">
        <f t="shared" si="12"/>
        <v>1048200</v>
      </c>
      <c r="J153" s="479">
        <f t="shared" si="12"/>
        <v>1180200</v>
      </c>
      <c r="K153" s="479">
        <f t="shared" si="12"/>
        <v>1172400</v>
      </c>
      <c r="L153" s="479">
        <f t="shared" si="12"/>
        <v>1299600</v>
      </c>
      <c r="M153" s="479">
        <f t="shared" si="12"/>
        <v>1128600</v>
      </c>
      <c r="N153" s="479">
        <f t="shared" si="12"/>
        <v>1016400</v>
      </c>
      <c r="O153" s="479">
        <f t="shared" si="12"/>
        <v>753600</v>
      </c>
      <c r="P153" s="479">
        <f t="shared" si="12"/>
        <v>1404000</v>
      </c>
      <c r="Q153" s="479">
        <f t="shared" si="12"/>
        <v>13108800</v>
      </c>
      <c r="T153" s="477"/>
      <c r="U153" s="477">
        <f t="shared" si="10"/>
        <v>2</v>
      </c>
      <c r="V153" s="483">
        <f>SUM(V151:V152)</f>
        <v>1</v>
      </c>
      <c r="W153" s="483">
        <f t="shared" ref="W153:AG153" si="13">SUM(W151:W152)</f>
        <v>1</v>
      </c>
      <c r="X153" s="483">
        <f t="shared" si="13"/>
        <v>1</v>
      </c>
      <c r="Y153" s="483">
        <f t="shared" si="13"/>
        <v>1</v>
      </c>
      <c r="Z153" s="483">
        <f t="shared" si="13"/>
        <v>1</v>
      </c>
      <c r="AA153" s="483">
        <f t="shared" si="13"/>
        <v>1</v>
      </c>
      <c r="AB153" s="483">
        <f t="shared" si="13"/>
        <v>1</v>
      </c>
      <c r="AC153" s="483">
        <f t="shared" si="13"/>
        <v>1</v>
      </c>
      <c r="AD153" s="483">
        <f t="shared" si="13"/>
        <v>1</v>
      </c>
      <c r="AE153" s="483">
        <f t="shared" si="13"/>
        <v>1</v>
      </c>
      <c r="AF153" s="483">
        <f t="shared" si="13"/>
        <v>1</v>
      </c>
      <c r="AG153" s="483">
        <f t="shared" si="13"/>
        <v>1</v>
      </c>
    </row>
    <row r="154" spans="2:33">
      <c r="B154" s="477"/>
      <c r="C154" s="477"/>
      <c r="T154" s="477"/>
      <c r="U154" s="477"/>
      <c r="V154" s="483"/>
      <c r="W154" s="483"/>
      <c r="X154" s="483"/>
      <c r="Y154" s="483"/>
      <c r="Z154" s="483"/>
      <c r="AA154" s="483"/>
      <c r="AB154" s="483"/>
      <c r="AC154" s="483"/>
      <c r="AD154" s="483"/>
      <c r="AE154" s="483"/>
      <c r="AF154" s="483"/>
      <c r="AG154" s="483"/>
    </row>
    <row r="155" spans="2:33">
      <c r="B155" s="477">
        <v>31</v>
      </c>
      <c r="C155" s="477">
        <v>1</v>
      </c>
      <c r="E155" s="479">
        <f>E20</f>
        <v>1500000</v>
      </c>
      <c r="F155" s="479">
        <f t="shared" ref="F155:Q155" si="14">F20</f>
        <v>1788000</v>
      </c>
      <c r="G155" s="479">
        <f t="shared" si="14"/>
        <v>1617600</v>
      </c>
      <c r="H155" s="479">
        <f t="shared" si="14"/>
        <v>1644000</v>
      </c>
      <c r="I155" s="479">
        <f t="shared" si="14"/>
        <v>1668000</v>
      </c>
      <c r="J155" s="479">
        <f t="shared" si="14"/>
        <v>0</v>
      </c>
      <c r="K155" s="479">
        <f t="shared" si="14"/>
        <v>3597600</v>
      </c>
      <c r="L155" s="479">
        <f t="shared" si="14"/>
        <v>1807200</v>
      </c>
      <c r="M155" s="479">
        <f t="shared" si="14"/>
        <v>0</v>
      </c>
      <c r="N155" s="479">
        <f t="shared" si="14"/>
        <v>3648000</v>
      </c>
      <c r="O155" s="479">
        <f t="shared" si="14"/>
        <v>1910400</v>
      </c>
      <c r="P155" s="479">
        <f t="shared" si="14"/>
        <v>1598400</v>
      </c>
      <c r="Q155" s="479">
        <f t="shared" si="14"/>
        <v>20779200</v>
      </c>
      <c r="T155" s="477">
        <v>31</v>
      </c>
      <c r="U155" s="477">
        <f>C155</f>
        <v>1</v>
      </c>
      <c r="V155" s="483">
        <v>1</v>
      </c>
      <c r="W155" s="483">
        <v>1</v>
      </c>
      <c r="X155" s="483">
        <v>1</v>
      </c>
      <c r="Y155" s="483">
        <v>1</v>
      </c>
      <c r="Z155" s="483">
        <v>1</v>
      </c>
      <c r="AA155" s="483">
        <v>1</v>
      </c>
      <c r="AB155" s="483">
        <v>1</v>
      </c>
      <c r="AC155" s="483">
        <v>1</v>
      </c>
      <c r="AD155" s="483">
        <v>1</v>
      </c>
      <c r="AE155" s="483">
        <v>1</v>
      </c>
      <c r="AF155" s="483">
        <v>1</v>
      </c>
      <c r="AG155" s="483">
        <v>1</v>
      </c>
    </row>
    <row r="156" spans="2:33">
      <c r="B156" s="477"/>
      <c r="C156" s="477"/>
      <c r="T156" s="477"/>
      <c r="U156" s="477"/>
      <c r="V156" s="483"/>
      <c r="W156" s="483"/>
      <c r="X156" s="483"/>
      <c r="Y156" s="483"/>
      <c r="Z156" s="483"/>
      <c r="AA156" s="483"/>
      <c r="AB156" s="483"/>
      <c r="AC156" s="483"/>
      <c r="AD156" s="483"/>
      <c r="AE156" s="483"/>
      <c r="AF156" s="483"/>
      <c r="AG156" s="483"/>
    </row>
    <row r="157" spans="2:33">
      <c r="B157" s="477">
        <v>24</v>
      </c>
      <c r="C157" s="477">
        <v>2</v>
      </c>
      <c r="E157" s="479">
        <f>E119+E124</f>
        <v>3020</v>
      </c>
      <c r="F157" s="479">
        <f t="shared" ref="F157:Q157" si="15">F119+F124</f>
        <v>3020</v>
      </c>
      <c r="G157" s="479">
        <f t="shared" si="15"/>
        <v>2910</v>
      </c>
      <c r="H157" s="479">
        <f t="shared" si="15"/>
        <v>2810</v>
      </c>
      <c r="I157" s="479">
        <f t="shared" si="15"/>
        <v>3010</v>
      </c>
      <c r="J157" s="479">
        <f t="shared" si="15"/>
        <v>2910</v>
      </c>
      <c r="K157" s="479">
        <f t="shared" si="15"/>
        <v>3323</v>
      </c>
      <c r="L157" s="479">
        <f t="shared" si="15"/>
        <v>3101</v>
      </c>
      <c r="M157" s="479">
        <f t="shared" si="15"/>
        <v>3101</v>
      </c>
      <c r="N157" s="479">
        <f t="shared" si="15"/>
        <v>2396</v>
      </c>
      <c r="O157" s="479">
        <f t="shared" si="15"/>
        <v>2420</v>
      </c>
      <c r="P157" s="479">
        <f t="shared" si="15"/>
        <v>2461</v>
      </c>
      <c r="Q157" s="479">
        <f t="shared" si="15"/>
        <v>34482</v>
      </c>
      <c r="T157" s="477">
        <v>24</v>
      </c>
      <c r="U157" s="477">
        <f t="shared" ref="U157:U160" si="16">C157</f>
        <v>2</v>
      </c>
      <c r="V157" s="483">
        <f>E157/E$160</f>
        <v>1.4732576898441323E-3</v>
      </c>
      <c r="W157" s="483">
        <f t="shared" ref="W157:AG159" si="17">F157/F$160</f>
        <v>1.4794203807303047E-3</v>
      </c>
      <c r="X157" s="483">
        <f t="shared" si="17"/>
        <v>1.475681678727364E-3</v>
      </c>
      <c r="Y157" s="483">
        <f t="shared" si="17"/>
        <v>1.4764374247988946E-3</v>
      </c>
      <c r="Z157" s="483">
        <f t="shared" si="17"/>
        <v>1.4206757885694597E-3</v>
      </c>
      <c r="AA157" s="483">
        <f t="shared" si="17"/>
        <v>3.1435330719123702E-3</v>
      </c>
      <c r="AB157" s="483">
        <f t="shared" si="17"/>
        <v>9.71432062753985E-4</v>
      </c>
      <c r="AC157" s="483">
        <f t="shared" si="17"/>
        <v>1.2698602498524775E-3</v>
      </c>
      <c r="AD157" s="483">
        <f t="shared" si="17"/>
        <v>1.3093443102635113E-3</v>
      </c>
      <c r="AE157" s="483">
        <f t="shared" si="17"/>
        <v>1.1744315084876694E-3</v>
      </c>
      <c r="AF157" s="483">
        <f t="shared" si="17"/>
        <v>1.172026346377373E-3</v>
      </c>
      <c r="AG157" s="483">
        <f t="shared" si="17"/>
        <v>1.1989432151067821E-3</v>
      </c>
    </row>
    <row r="158" spans="2:33">
      <c r="B158" s="477">
        <v>25</v>
      </c>
      <c r="C158" s="477">
        <v>3</v>
      </c>
      <c r="E158" s="479">
        <f>E123+E125+E126</f>
        <v>149359</v>
      </c>
      <c r="F158" s="479">
        <f t="shared" ref="F158:Q158" si="18">F123+F125+F126</f>
        <v>136560</v>
      </c>
      <c r="G158" s="479">
        <f t="shared" si="18"/>
        <v>139720</v>
      </c>
      <c r="H158" s="479">
        <f t="shared" si="18"/>
        <v>127600</v>
      </c>
      <c r="I158" s="479">
        <f t="shared" si="18"/>
        <v>121480</v>
      </c>
      <c r="J158" s="479">
        <f t="shared" si="18"/>
        <v>113400</v>
      </c>
      <c r="K158" s="479">
        <f t="shared" si="18"/>
        <v>119440</v>
      </c>
      <c r="L158" s="479">
        <f t="shared" si="18"/>
        <v>119360</v>
      </c>
      <c r="M158" s="479">
        <f t="shared" si="18"/>
        <v>120600</v>
      </c>
      <c r="N158" s="479">
        <f t="shared" si="18"/>
        <v>114680</v>
      </c>
      <c r="O158" s="479">
        <f t="shared" si="18"/>
        <v>118320</v>
      </c>
      <c r="P158" s="479">
        <f t="shared" si="18"/>
        <v>134200</v>
      </c>
      <c r="Q158" s="479">
        <f t="shared" si="18"/>
        <v>1514719</v>
      </c>
      <c r="T158" s="477">
        <v>25</v>
      </c>
      <c r="U158" s="477">
        <f t="shared" si="16"/>
        <v>3</v>
      </c>
      <c r="V158" s="483">
        <f t="shared" ref="V158:V159" si="19">E158/E$160</f>
        <v>7.2862349436235013E-2</v>
      </c>
      <c r="W158" s="483">
        <f t="shared" si="17"/>
        <v>6.689723416971205E-2</v>
      </c>
      <c r="X158" s="483">
        <f t="shared" si="17"/>
        <v>7.0853004863157154E-2</v>
      </c>
      <c r="Y158" s="483">
        <f t="shared" si="17"/>
        <v>6.7043920072718477E-2</v>
      </c>
      <c r="Z158" s="483">
        <f t="shared" si="17"/>
        <v>5.7336775679540854E-2</v>
      </c>
      <c r="AA158" s="483">
        <f t="shared" si="17"/>
        <v>0.12250056713225524</v>
      </c>
      <c r="AB158" s="483">
        <f t="shared" si="17"/>
        <v>3.4916595117464935E-2</v>
      </c>
      <c r="AC158" s="483">
        <f t="shared" si="17"/>
        <v>4.8877948862428806E-2</v>
      </c>
      <c r="AD158" s="483">
        <f t="shared" si="17"/>
        <v>5.0921291137626404E-2</v>
      </c>
      <c r="AE158" s="483">
        <f t="shared" si="17"/>
        <v>5.6211938811922345E-2</v>
      </c>
      <c r="AF158" s="483">
        <f t="shared" si="17"/>
        <v>5.7303370786516851E-2</v>
      </c>
      <c r="AG158" s="483">
        <f t="shared" si="17"/>
        <v>6.5379187105782263E-2</v>
      </c>
    </row>
    <row r="159" spans="2:33">
      <c r="B159" s="477">
        <v>26</v>
      </c>
      <c r="C159" s="477">
        <v>4</v>
      </c>
      <c r="E159" s="479">
        <f>E118+E120+E121+E122</f>
        <v>1897500</v>
      </c>
      <c r="F159" s="479">
        <f t="shared" ref="F159:Q159" si="20">F118+F120+F121+F122</f>
        <v>1901760</v>
      </c>
      <c r="G159" s="479">
        <f t="shared" si="20"/>
        <v>1829340</v>
      </c>
      <c r="H159" s="479">
        <f t="shared" si="20"/>
        <v>1772820</v>
      </c>
      <c r="I159" s="479">
        <f t="shared" si="20"/>
        <v>1994220</v>
      </c>
      <c r="J159" s="479">
        <f t="shared" si="20"/>
        <v>809400</v>
      </c>
      <c r="K159" s="479">
        <f t="shared" si="20"/>
        <v>3297960</v>
      </c>
      <c r="L159" s="479">
        <f t="shared" si="20"/>
        <v>2319540</v>
      </c>
      <c r="M159" s="479">
        <f t="shared" si="20"/>
        <v>2244660</v>
      </c>
      <c r="N159" s="479">
        <f t="shared" si="20"/>
        <v>1923060</v>
      </c>
      <c r="O159" s="479">
        <f t="shared" si="20"/>
        <v>1944060</v>
      </c>
      <c r="P159" s="479">
        <f t="shared" si="20"/>
        <v>1915980</v>
      </c>
      <c r="Q159" s="479">
        <f t="shared" si="20"/>
        <v>23850300</v>
      </c>
      <c r="T159" s="477">
        <v>26</v>
      </c>
      <c r="U159" s="477">
        <f t="shared" si="16"/>
        <v>4</v>
      </c>
      <c r="V159" s="483">
        <f t="shared" si="19"/>
        <v>0.92566439287392088</v>
      </c>
      <c r="W159" s="483">
        <f t="shared" si="17"/>
        <v>0.9316233454495576</v>
      </c>
      <c r="X159" s="483">
        <f t="shared" si="17"/>
        <v>0.92767131345811549</v>
      </c>
      <c r="Y159" s="483">
        <f t="shared" si="17"/>
        <v>0.93147964250248261</v>
      </c>
      <c r="Z159" s="483">
        <f t="shared" si="17"/>
        <v>0.94124254853188971</v>
      </c>
      <c r="AA159" s="483">
        <f t="shared" si="17"/>
        <v>0.87435589979583239</v>
      </c>
      <c r="AB159" s="483">
        <f t="shared" si="17"/>
        <v>0.96411197281978112</v>
      </c>
      <c r="AC159" s="483">
        <f t="shared" si="17"/>
        <v>0.94985219088771877</v>
      </c>
      <c r="AD159" s="483">
        <f t="shared" si="17"/>
        <v>0.94776936455211014</v>
      </c>
      <c r="AE159" s="483">
        <f t="shared" si="17"/>
        <v>0.94261362967958995</v>
      </c>
      <c r="AF159" s="483">
        <f t="shared" si="17"/>
        <v>0.94152460286710582</v>
      </c>
      <c r="AG159" s="483">
        <f t="shared" si="17"/>
        <v>0.933421869679111</v>
      </c>
    </row>
    <row r="160" spans="2:33">
      <c r="B160" s="477" t="s">
        <v>19</v>
      </c>
      <c r="C160" s="477">
        <f>SUM(C157:C159)</f>
        <v>9</v>
      </c>
      <c r="E160" s="479">
        <f>SUM(E157:E159)</f>
        <v>2049879</v>
      </c>
      <c r="F160" s="479">
        <f t="shared" ref="F160:Q160" si="21">SUM(F157:F159)</f>
        <v>2041340</v>
      </c>
      <c r="G160" s="479">
        <f t="shared" si="21"/>
        <v>1971970</v>
      </c>
      <c r="H160" s="479">
        <f t="shared" si="21"/>
        <v>1903230</v>
      </c>
      <c r="I160" s="479">
        <f t="shared" si="21"/>
        <v>2118710</v>
      </c>
      <c r="J160" s="479">
        <f t="shared" si="21"/>
        <v>925710</v>
      </c>
      <c r="K160" s="479">
        <f t="shared" si="21"/>
        <v>3420723</v>
      </c>
      <c r="L160" s="479">
        <f t="shared" si="21"/>
        <v>2442001</v>
      </c>
      <c r="M160" s="479">
        <f t="shared" si="21"/>
        <v>2368361</v>
      </c>
      <c r="N160" s="479">
        <f t="shared" si="21"/>
        <v>2040136</v>
      </c>
      <c r="O160" s="479">
        <f t="shared" si="21"/>
        <v>2064800</v>
      </c>
      <c r="P160" s="479">
        <f t="shared" si="21"/>
        <v>2052641</v>
      </c>
      <c r="Q160" s="479">
        <f t="shared" si="21"/>
        <v>25399501</v>
      </c>
      <c r="T160" s="477"/>
      <c r="U160" s="477">
        <f t="shared" si="16"/>
        <v>9</v>
      </c>
      <c r="V160" s="483">
        <f>SUM(V157:V159)</f>
        <v>1</v>
      </c>
      <c r="W160" s="483">
        <f t="shared" ref="W160:AG160" si="22">SUM(W157:W159)</f>
        <v>1</v>
      </c>
      <c r="X160" s="483">
        <f t="shared" si="22"/>
        <v>1</v>
      </c>
      <c r="Y160" s="483">
        <f t="shared" si="22"/>
        <v>1</v>
      </c>
      <c r="Z160" s="483">
        <f t="shared" si="22"/>
        <v>1</v>
      </c>
      <c r="AA160" s="483">
        <f t="shared" si="22"/>
        <v>1</v>
      </c>
      <c r="AB160" s="483">
        <f t="shared" si="22"/>
        <v>1</v>
      </c>
      <c r="AC160" s="483">
        <f t="shared" si="22"/>
        <v>1</v>
      </c>
      <c r="AD160" s="483">
        <f t="shared" si="22"/>
        <v>1</v>
      </c>
      <c r="AE160" s="483">
        <f t="shared" si="22"/>
        <v>1</v>
      </c>
      <c r="AF160" s="483">
        <f t="shared" si="22"/>
        <v>1</v>
      </c>
      <c r="AG160" s="483">
        <f t="shared" si="22"/>
        <v>1</v>
      </c>
    </row>
    <row r="161" spans="2:33">
      <c r="B161" s="477"/>
      <c r="C161" s="477"/>
      <c r="T161" s="477"/>
      <c r="U161" s="477"/>
      <c r="V161" s="483"/>
      <c r="W161" s="483"/>
      <c r="X161" s="483"/>
      <c r="Y161" s="483"/>
      <c r="Z161" s="483"/>
      <c r="AA161" s="483"/>
      <c r="AB161" s="483"/>
      <c r="AC161" s="483"/>
      <c r="AD161" s="483"/>
      <c r="AE161" s="483"/>
      <c r="AF161" s="483"/>
      <c r="AG161" s="483"/>
    </row>
    <row r="162" spans="2:33">
      <c r="B162" s="477">
        <v>24</v>
      </c>
      <c r="C162" s="477">
        <v>1</v>
      </c>
      <c r="E162" s="479">
        <f>E127</f>
        <v>15760</v>
      </c>
      <c r="F162" s="479">
        <f t="shared" ref="F162:Q162" si="23">F127</f>
        <v>15440</v>
      </c>
      <c r="G162" s="479">
        <f t="shared" si="23"/>
        <v>15600</v>
      </c>
      <c r="H162" s="479">
        <f t="shared" si="23"/>
        <v>13840</v>
      </c>
      <c r="I162" s="479">
        <f t="shared" si="23"/>
        <v>13160</v>
      </c>
      <c r="J162" s="479">
        <f t="shared" si="23"/>
        <v>13440</v>
      </c>
      <c r="K162" s="479">
        <f t="shared" si="23"/>
        <v>15280</v>
      </c>
      <c r="L162" s="479">
        <f t="shared" si="23"/>
        <v>15280</v>
      </c>
      <c r="M162" s="479">
        <f t="shared" si="23"/>
        <v>14920</v>
      </c>
      <c r="N162" s="479">
        <f t="shared" si="23"/>
        <v>14080</v>
      </c>
      <c r="O162" s="479">
        <f t="shared" si="23"/>
        <v>15080</v>
      </c>
      <c r="P162" s="479">
        <f t="shared" si="23"/>
        <v>17000</v>
      </c>
      <c r="Q162" s="479">
        <f t="shared" si="23"/>
        <v>178880</v>
      </c>
      <c r="T162" s="477">
        <v>24</v>
      </c>
      <c r="U162" s="477">
        <f t="shared" ref="U162:U165" si="24">C162</f>
        <v>1</v>
      </c>
      <c r="V162" s="483">
        <f>E162/E$165</f>
        <v>7.1060130577498826E-3</v>
      </c>
      <c r="W162" s="483">
        <f t="shared" ref="W162:AG164" si="25">F162/F$165</f>
        <v>7.5582533777168595E-3</v>
      </c>
      <c r="X162" s="483">
        <f t="shared" si="25"/>
        <v>7.462686567164179E-3</v>
      </c>
      <c r="Y162" s="483">
        <f t="shared" si="25"/>
        <v>7.1187556579705375E-3</v>
      </c>
      <c r="Z162" s="483">
        <f t="shared" si="25"/>
        <v>6.3999066275020914E-3</v>
      </c>
      <c r="AA162" s="483">
        <f t="shared" si="25"/>
        <v>0.37086092715231789</v>
      </c>
      <c r="AB162" s="483">
        <f t="shared" si="25"/>
        <v>3.4031786757893236E-3</v>
      </c>
      <c r="AC162" s="483">
        <f t="shared" si="25"/>
        <v>6.3356221182870598E-3</v>
      </c>
      <c r="AD162" s="483">
        <f t="shared" si="25"/>
        <v>6.5986165903019799E-3</v>
      </c>
      <c r="AE162" s="483">
        <f t="shared" si="25"/>
        <v>7.1469178916592222E-3</v>
      </c>
      <c r="AF162" s="483">
        <f t="shared" si="25"/>
        <v>7.732223065405993E-3</v>
      </c>
      <c r="AG162" s="483">
        <f t="shared" si="25"/>
        <v>8.764874507620285E-3</v>
      </c>
    </row>
    <row r="163" spans="2:33">
      <c r="B163" s="477">
        <v>25</v>
      </c>
      <c r="C163" s="477">
        <v>1</v>
      </c>
      <c r="E163" s="479">
        <f>E129</f>
        <v>27680</v>
      </c>
      <c r="F163" s="479">
        <f t="shared" ref="F163:Q163" si="26">F129</f>
        <v>25760</v>
      </c>
      <c r="G163" s="479">
        <f t="shared" si="26"/>
        <v>25200</v>
      </c>
      <c r="H163" s="479">
        <f t="shared" si="26"/>
        <v>22320</v>
      </c>
      <c r="I163" s="479">
        <f t="shared" si="26"/>
        <v>22320</v>
      </c>
      <c r="J163" s="479">
        <f t="shared" si="26"/>
        <v>22800</v>
      </c>
      <c r="K163" s="479">
        <f t="shared" si="26"/>
        <v>25040</v>
      </c>
      <c r="L163" s="479">
        <f t="shared" si="26"/>
        <v>22880</v>
      </c>
      <c r="M163" s="479">
        <f t="shared" si="26"/>
        <v>23760</v>
      </c>
      <c r="N163" s="479">
        <f t="shared" si="26"/>
        <v>21600</v>
      </c>
      <c r="O163" s="479">
        <f t="shared" si="26"/>
        <v>22400</v>
      </c>
      <c r="P163" s="479">
        <f t="shared" si="26"/>
        <v>24160</v>
      </c>
      <c r="Q163" s="479">
        <f t="shared" si="26"/>
        <v>285920</v>
      </c>
      <c r="T163" s="477">
        <v>25</v>
      </c>
      <c r="U163" s="477">
        <f t="shared" si="24"/>
        <v>1</v>
      </c>
      <c r="V163" s="483">
        <f t="shared" ref="V163:V164" si="27">E163/E$165</f>
        <v>1.2480611766403348E-2</v>
      </c>
      <c r="W163" s="483">
        <f t="shared" si="25"/>
        <v>1.2610142941061289E-2</v>
      </c>
      <c r="X163" s="483">
        <f t="shared" si="25"/>
        <v>1.2055109070034443E-2</v>
      </c>
      <c r="Y163" s="483">
        <f t="shared" si="25"/>
        <v>1.1480536581351329E-2</v>
      </c>
      <c r="Z163" s="483">
        <f t="shared" si="25"/>
        <v>1.0854552881903243E-2</v>
      </c>
      <c r="AA163" s="483">
        <f t="shared" si="25"/>
        <v>0.62913907284768211</v>
      </c>
      <c r="AB163" s="483">
        <f t="shared" si="25"/>
        <v>5.5769367828380012E-3</v>
      </c>
      <c r="AC163" s="483">
        <f t="shared" si="25"/>
        <v>9.4868477792151781E-3</v>
      </c>
      <c r="AD163" s="483">
        <f t="shared" si="25"/>
        <v>1.0508252693403152E-2</v>
      </c>
      <c r="AE163" s="483">
        <f t="shared" si="25"/>
        <v>1.0964021765613579E-2</v>
      </c>
      <c r="AF163" s="483">
        <f t="shared" si="25"/>
        <v>1.1485530282831183E-2</v>
      </c>
      <c r="AG163" s="483">
        <f t="shared" si="25"/>
        <v>1.2456433417888593E-2</v>
      </c>
    </row>
    <row r="164" spans="2:33">
      <c r="B164" s="477">
        <v>31</v>
      </c>
      <c r="C164" s="477">
        <v>1</v>
      </c>
      <c r="E164" s="479">
        <f>E128</f>
        <v>2174400</v>
      </c>
      <c r="F164" s="479">
        <f t="shared" ref="F164:Q164" si="28">F128</f>
        <v>2001600</v>
      </c>
      <c r="G164" s="479">
        <f t="shared" si="28"/>
        <v>2049600</v>
      </c>
      <c r="H164" s="479">
        <f t="shared" si="28"/>
        <v>1908000</v>
      </c>
      <c r="I164" s="479">
        <f t="shared" si="28"/>
        <v>2020800</v>
      </c>
      <c r="J164" s="479">
        <f t="shared" si="28"/>
        <v>0</v>
      </c>
      <c r="K164" s="479">
        <f t="shared" si="28"/>
        <v>4449600</v>
      </c>
      <c r="L164" s="479">
        <f t="shared" si="28"/>
        <v>2373600</v>
      </c>
      <c r="M164" s="479">
        <f t="shared" si="28"/>
        <v>2222400</v>
      </c>
      <c r="N164" s="479">
        <f t="shared" si="28"/>
        <v>1934400</v>
      </c>
      <c r="O164" s="479">
        <f t="shared" si="28"/>
        <v>1912800</v>
      </c>
      <c r="P164" s="479">
        <f t="shared" si="28"/>
        <v>1898400</v>
      </c>
      <c r="Q164" s="479">
        <f t="shared" si="28"/>
        <v>24945600</v>
      </c>
      <c r="T164" s="477">
        <v>31</v>
      </c>
      <c r="U164" s="477">
        <f t="shared" si="24"/>
        <v>1</v>
      </c>
      <c r="V164" s="483">
        <f t="shared" si="27"/>
        <v>0.98041337517584681</v>
      </c>
      <c r="W164" s="483">
        <f t="shared" si="25"/>
        <v>0.97983160368122191</v>
      </c>
      <c r="X164" s="483">
        <f t="shared" si="25"/>
        <v>0.98048220436280142</v>
      </c>
      <c r="Y164" s="483">
        <f t="shared" si="25"/>
        <v>0.98140070776067811</v>
      </c>
      <c r="Z164" s="483">
        <f t="shared" si="25"/>
        <v>0.9827455404905947</v>
      </c>
      <c r="AA164" s="483">
        <f t="shared" si="25"/>
        <v>0</v>
      </c>
      <c r="AB164" s="483">
        <f t="shared" si="25"/>
        <v>0.99101988454137269</v>
      </c>
      <c r="AC164" s="483">
        <f t="shared" si="25"/>
        <v>0.98417753010249776</v>
      </c>
      <c r="AD164" s="483">
        <f t="shared" si="25"/>
        <v>0.98289313071629492</v>
      </c>
      <c r="AE164" s="483">
        <f t="shared" si="25"/>
        <v>0.98188906034272716</v>
      </c>
      <c r="AF164" s="483">
        <f t="shared" si="25"/>
        <v>0.98078224665176283</v>
      </c>
      <c r="AG164" s="483">
        <f t="shared" si="25"/>
        <v>0.97877869207449109</v>
      </c>
    </row>
    <row r="165" spans="2:33">
      <c r="B165" s="477" t="s">
        <v>19</v>
      </c>
      <c r="C165" s="477">
        <f>SUM(C162:C164)</f>
        <v>3</v>
      </c>
      <c r="E165" s="479">
        <f>SUM(E162:E164)</f>
        <v>2217840</v>
      </c>
      <c r="F165" s="479">
        <f t="shared" ref="F165:Q165" si="29">SUM(F162:F164)</f>
        <v>2042800</v>
      </c>
      <c r="G165" s="479">
        <f t="shared" si="29"/>
        <v>2090400</v>
      </c>
      <c r="H165" s="479">
        <f t="shared" si="29"/>
        <v>1944160</v>
      </c>
      <c r="I165" s="479">
        <f t="shared" si="29"/>
        <v>2056280</v>
      </c>
      <c r="J165" s="479">
        <f t="shared" si="29"/>
        <v>36240</v>
      </c>
      <c r="K165" s="479">
        <f t="shared" si="29"/>
        <v>4489920</v>
      </c>
      <c r="L165" s="479">
        <f t="shared" si="29"/>
        <v>2411760</v>
      </c>
      <c r="M165" s="479">
        <f t="shared" si="29"/>
        <v>2261080</v>
      </c>
      <c r="N165" s="479">
        <f t="shared" si="29"/>
        <v>1970080</v>
      </c>
      <c r="O165" s="479">
        <f t="shared" si="29"/>
        <v>1950280</v>
      </c>
      <c r="P165" s="479">
        <f t="shared" si="29"/>
        <v>1939560</v>
      </c>
      <c r="Q165" s="479">
        <f t="shared" si="29"/>
        <v>25410400</v>
      </c>
      <c r="T165" s="477"/>
      <c r="U165" s="477">
        <f t="shared" si="24"/>
        <v>3</v>
      </c>
      <c r="V165" s="483">
        <f>SUM(V162:V164)</f>
        <v>1</v>
      </c>
      <c r="W165" s="483">
        <f t="shared" ref="W165:AG165" si="30">SUM(W162:W164)</f>
        <v>1</v>
      </c>
      <c r="X165" s="483">
        <f t="shared" si="30"/>
        <v>1</v>
      </c>
      <c r="Y165" s="483">
        <f t="shared" si="30"/>
        <v>1</v>
      </c>
      <c r="Z165" s="483">
        <f t="shared" si="30"/>
        <v>1</v>
      </c>
      <c r="AA165" s="483">
        <f t="shared" si="30"/>
        <v>1</v>
      </c>
      <c r="AB165" s="483">
        <f t="shared" si="30"/>
        <v>1</v>
      </c>
      <c r="AC165" s="483">
        <f t="shared" si="30"/>
        <v>1</v>
      </c>
      <c r="AD165" s="483">
        <f t="shared" si="30"/>
        <v>1</v>
      </c>
      <c r="AE165" s="483">
        <f t="shared" si="30"/>
        <v>1</v>
      </c>
      <c r="AF165" s="483">
        <f t="shared" si="30"/>
        <v>1</v>
      </c>
      <c r="AG165" s="483">
        <f t="shared" si="30"/>
        <v>1</v>
      </c>
    </row>
    <row r="166" spans="2:33">
      <c r="B166" s="477"/>
      <c r="C166" s="477"/>
      <c r="T166" s="477"/>
      <c r="U166" s="477"/>
      <c r="V166" s="483"/>
      <c r="W166" s="483"/>
      <c r="X166" s="483"/>
      <c r="Y166" s="483"/>
      <c r="Z166" s="483"/>
      <c r="AA166" s="483"/>
      <c r="AB166" s="483"/>
      <c r="AC166" s="483"/>
      <c r="AD166" s="483"/>
      <c r="AE166" s="483"/>
      <c r="AF166" s="483"/>
      <c r="AG166" s="483"/>
    </row>
    <row r="167" spans="2:33">
      <c r="B167" s="477">
        <v>24</v>
      </c>
      <c r="C167" s="477">
        <v>4</v>
      </c>
      <c r="E167" s="479">
        <f>SUM(E133:E136)</f>
        <v>56280</v>
      </c>
      <c r="F167" s="479">
        <f t="shared" ref="F167:Q167" si="31">SUM(F133:F136)</f>
        <v>54600</v>
      </c>
      <c r="G167" s="479">
        <f t="shared" si="31"/>
        <v>49870</v>
      </c>
      <c r="H167" s="479">
        <f t="shared" si="31"/>
        <v>47790</v>
      </c>
      <c r="I167" s="479">
        <f t="shared" si="31"/>
        <v>49360</v>
      </c>
      <c r="J167" s="479">
        <f t="shared" si="31"/>
        <v>44690</v>
      </c>
      <c r="K167" s="479">
        <f t="shared" si="31"/>
        <v>51440</v>
      </c>
      <c r="L167" s="479">
        <f t="shared" si="31"/>
        <v>50530</v>
      </c>
      <c r="M167" s="479">
        <f t="shared" si="31"/>
        <v>45070</v>
      </c>
      <c r="N167" s="479">
        <f t="shared" si="31"/>
        <v>45400</v>
      </c>
      <c r="O167" s="479">
        <f t="shared" si="31"/>
        <v>57520</v>
      </c>
      <c r="P167" s="479">
        <f t="shared" si="31"/>
        <v>54010</v>
      </c>
      <c r="Q167" s="479">
        <f t="shared" si="31"/>
        <v>606560</v>
      </c>
      <c r="T167" s="477">
        <v>24</v>
      </c>
      <c r="U167" s="477">
        <f t="shared" ref="U167:U170" si="32">C167</f>
        <v>4</v>
      </c>
      <c r="V167" s="483">
        <f>E167/E$170</f>
        <v>2.5230766471951618E-2</v>
      </c>
      <c r="W167" s="483">
        <f t="shared" ref="W167:AG169" si="33">F167/F$170</f>
        <v>1.181534306692548E-2</v>
      </c>
      <c r="X167" s="483">
        <f t="shared" si="33"/>
        <v>0.37575346594333936</v>
      </c>
      <c r="Y167" s="483">
        <f t="shared" si="33"/>
        <v>2.1940134055642272E-2</v>
      </c>
      <c r="Z167" s="483">
        <f t="shared" si="33"/>
        <v>2.2413542574832898E-2</v>
      </c>
      <c r="AA167" s="483">
        <f t="shared" si="33"/>
        <v>1.7852934009260035E-2</v>
      </c>
      <c r="AB167" s="483">
        <f t="shared" si="33"/>
        <v>2.2040550499597238E-2</v>
      </c>
      <c r="AC167" s="483">
        <f t="shared" si="33"/>
        <v>1.9788060589921521E-2</v>
      </c>
      <c r="AD167" s="483">
        <f t="shared" si="33"/>
        <v>1.616234786163567E-2</v>
      </c>
      <c r="AE167" s="483">
        <f t="shared" si="33"/>
        <v>1.0068237814438386E-2</v>
      </c>
      <c r="AF167" s="483">
        <f t="shared" si="33"/>
        <v>0.60687908841527749</v>
      </c>
      <c r="AG167" s="483">
        <f t="shared" si="33"/>
        <v>2.182063526693008E-2</v>
      </c>
    </row>
    <row r="168" spans="2:33">
      <c r="B168" s="477">
        <v>25</v>
      </c>
      <c r="C168" s="477">
        <v>3</v>
      </c>
      <c r="E168" s="479">
        <f>SUM(E130:E132)</f>
        <v>67130</v>
      </c>
      <c r="F168" s="479">
        <f t="shared" ref="F168:Q168" si="34">SUM(F130:F132)</f>
        <v>68910</v>
      </c>
      <c r="G168" s="479">
        <f t="shared" si="34"/>
        <v>82850</v>
      </c>
      <c r="H168" s="479">
        <f t="shared" si="34"/>
        <v>47210</v>
      </c>
      <c r="I168" s="479">
        <f t="shared" si="34"/>
        <v>43280</v>
      </c>
      <c r="J168" s="479">
        <f t="shared" si="34"/>
        <v>44140</v>
      </c>
      <c r="K168" s="479">
        <f t="shared" si="34"/>
        <v>45640</v>
      </c>
      <c r="L168" s="479">
        <f t="shared" si="34"/>
        <v>43030</v>
      </c>
      <c r="M168" s="479">
        <f t="shared" si="34"/>
        <v>33910</v>
      </c>
      <c r="N168" s="479">
        <f t="shared" si="34"/>
        <v>31030</v>
      </c>
      <c r="O168" s="479">
        <f t="shared" si="34"/>
        <v>37260</v>
      </c>
      <c r="P168" s="479">
        <f t="shared" si="34"/>
        <v>35570</v>
      </c>
      <c r="Q168" s="479">
        <f t="shared" si="34"/>
        <v>579960</v>
      </c>
      <c r="T168" s="477">
        <v>25</v>
      </c>
      <c r="U168" s="477">
        <f t="shared" si="32"/>
        <v>3</v>
      </c>
      <c r="V168" s="483">
        <f t="shared" ref="V168:V169" si="35">E168/E$170</f>
        <v>3.0094906774380103E-2</v>
      </c>
      <c r="W168" s="483">
        <f t="shared" si="33"/>
        <v>1.4912001661938365E-2</v>
      </c>
      <c r="X168" s="483">
        <f t="shared" si="33"/>
        <v>0.62424653405666064</v>
      </c>
      <c r="Y168" s="483">
        <f t="shared" si="33"/>
        <v>2.1673859149756679E-2</v>
      </c>
      <c r="Z168" s="483">
        <f t="shared" si="33"/>
        <v>1.9652717233362395E-2</v>
      </c>
      <c r="AA168" s="483">
        <f t="shared" si="33"/>
        <v>1.7633217882495816E-2</v>
      </c>
      <c r="AB168" s="483">
        <f t="shared" si="33"/>
        <v>1.9555418444821501E-2</v>
      </c>
      <c r="AC168" s="483">
        <f t="shared" si="33"/>
        <v>1.6850984507902692E-2</v>
      </c>
      <c r="AD168" s="483">
        <f t="shared" si="33"/>
        <v>1.2160310982650668E-2</v>
      </c>
      <c r="AE168" s="483">
        <f t="shared" si="33"/>
        <v>6.8814409555511694E-3</v>
      </c>
      <c r="AF168" s="483">
        <f t="shared" si="33"/>
        <v>0.39312091158472251</v>
      </c>
      <c r="AG168" s="483">
        <f t="shared" si="33"/>
        <v>1.4370672031933032E-2</v>
      </c>
    </row>
    <row r="169" spans="2:33">
      <c r="B169" s="477">
        <v>31</v>
      </c>
      <c r="C169" s="477">
        <v>1</v>
      </c>
      <c r="E169" s="479">
        <f>E137</f>
        <v>2107200</v>
      </c>
      <c r="F169" s="479">
        <f t="shared" ref="F169:Q169" si="36">F137</f>
        <v>4497600</v>
      </c>
      <c r="G169" s="479">
        <f t="shared" si="36"/>
        <v>0</v>
      </c>
      <c r="H169" s="479">
        <f t="shared" si="36"/>
        <v>2083200</v>
      </c>
      <c r="I169" s="479">
        <f t="shared" si="36"/>
        <v>2109600</v>
      </c>
      <c r="J169" s="479">
        <f t="shared" si="36"/>
        <v>2414400</v>
      </c>
      <c r="K169" s="479">
        <f t="shared" si="36"/>
        <v>2236800</v>
      </c>
      <c r="L169" s="479">
        <f t="shared" si="36"/>
        <v>2460000</v>
      </c>
      <c r="M169" s="479">
        <f t="shared" si="36"/>
        <v>2709600</v>
      </c>
      <c r="N169" s="479">
        <f t="shared" si="36"/>
        <v>4432800</v>
      </c>
      <c r="O169" s="479">
        <f t="shared" si="36"/>
        <v>0</v>
      </c>
      <c r="P169" s="479">
        <f t="shared" si="36"/>
        <v>2385600</v>
      </c>
      <c r="Q169" s="479">
        <f t="shared" si="36"/>
        <v>27436800</v>
      </c>
      <c r="T169" s="477">
        <v>31</v>
      </c>
      <c r="U169" s="477">
        <f t="shared" si="32"/>
        <v>1</v>
      </c>
      <c r="V169" s="483">
        <f t="shared" si="35"/>
        <v>0.94467432675366825</v>
      </c>
      <c r="W169" s="483">
        <f t="shared" si="33"/>
        <v>0.97327265527113616</v>
      </c>
      <c r="X169" s="483">
        <f t="shared" si="33"/>
        <v>0</v>
      </c>
      <c r="Y169" s="483">
        <f t="shared" si="33"/>
        <v>0.95638600679460106</v>
      </c>
      <c r="Z169" s="483">
        <f t="shared" si="33"/>
        <v>0.95793374019180466</v>
      </c>
      <c r="AA169" s="483">
        <f t="shared" si="33"/>
        <v>0.96451384810824414</v>
      </c>
      <c r="AB169" s="483">
        <f t="shared" si="33"/>
        <v>0.95840403105558125</v>
      </c>
      <c r="AC169" s="483">
        <f t="shared" si="33"/>
        <v>0.96336095490217577</v>
      </c>
      <c r="AD169" s="483">
        <f t="shared" si="33"/>
        <v>0.97167734115571369</v>
      </c>
      <c r="AE169" s="483">
        <f t="shared" si="33"/>
        <v>0.98305032123001046</v>
      </c>
      <c r="AF169" s="483">
        <f t="shared" si="33"/>
        <v>0</v>
      </c>
      <c r="AG169" s="483">
        <f t="shared" si="33"/>
        <v>0.96380869270113689</v>
      </c>
    </row>
    <row r="170" spans="2:33">
      <c r="B170" s="477" t="s">
        <v>19</v>
      </c>
      <c r="C170" s="477">
        <f>SUM(C167:C169)</f>
        <v>8</v>
      </c>
      <c r="E170" s="479">
        <f>SUM(E167:E169)</f>
        <v>2230610</v>
      </c>
      <c r="F170" s="479">
        <f t="shared" ref="F170:Q170" si="37">SUM(F167:F169)</f>
        <v>4621110</v>
      </c>
      <c r="G170" s="479">
        <f t="shared" si="37"/>
        <v>132720</v>
      </c>
      <c r="H170" s="479">
        <f t="shared" si="37"/>
        <v>2178200</v>
      </c>
      <c r="I170" s="479">
        <f t="shared" si="37"/>
        <v>2202240</v>
      </c>
      <c r="J170" s="479">
        <f t="shared" si="37"/>
        <v>2503230</v>
      </c>
      <c r="K170" s="479">
        <f t="shared" si="37"/>
        <v>2333880</v>
      </c>
      <c r="L170" s="479">
        <f t="shared" si="37"/>
        <v>2553560</v>
      </c>
      <c r="M170" s="479">
        <f t="shared" si="37"/>
        <v>2788580</v>
      </c>
      <c r="N170" s="479">
        <f t="shared" si="37"/>
        <v>4509230</v>
      </c>
      <c r="O170" s="479">
        <f t="shared" si="37"/>
        <v>94780</v>
      </c>
      <c r="P170" s="479">
        <f t="shared" si="37"/>
        <v>2475180</v>
      </c>
      <c r="Q170" s="479">
        <f t="shared" si="37"/>
        <v>28623320</v>
      </c>
      <c r="T170" s="477"/>
      <c r="U170" s="477">
        <f t="shared" si="32"/>
        <v>8</v>
      </c>
      <c r="V170" s="483">
        <f>SUM(V167:V169)</f>
        <v>1</v>
      </c>
      <c r="W170" s="483">
        <f t="shared" ref="W170:AG170" si="38">SUM(W167:W169)</f>
        <v>1</v>
      </c>
      <c r="X170" s="483">
        <f t="shared" si="38"/>
        <v>1</v>
      </c>
      <c r="Y170" s="483">
        <f t="shared" si="38"/>
        <v>1</v>
      </c>
      <c r="Z170" s="483">
        <f t="shared" si="38"/>
        <v>1</v>
      </c>
      <c r="AA170" s="483">
        <f t="shared" si="38"/>
        <v>1</v>
      </c>
      <c r="AB170" s="483">
        <f t="shared" si="38"/>
        <v>1</v>
      </c>
      <c r="AC170" s="483">
        <f t="shared" si="38"/>
        <v>1</v>
      </c>
      <c r="AD170" s="483">
        <f t="shared" si="38"/>
        <v>1</v>
      </c>
      <c r="AE170" s="483">
        <f t="shared" si="38"/>
        <v>1</v>
      </c>
      <c r="AF170" s="483">
        <f t="shared" si="38"/>
        <v>1</v>
      </c>
      <c r="AG170" s="483">
        <f t="shared" si="38"/>
        <v>1</v>
      </c>
    </row>
    <row r="171" spans="2:33">
      <c r="B171" s="477"/>
      <c r="C171" s="477"/>
      <c r="T171" s="477"/>
      <c r="U171" s="477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</row>
    <row r="172" spans="2:33">
      <c r="B172" s="477" t="s">
        <v>188</v>
      </c>
      <c r="C172" s="477">
        <v>10</v>
      </c>
      <c r="E172" s="479">
        <f>SUM(E21:E30)</f>
        <v>2332199</v>
      </c>
      <c r="F172" s="479">
        <f t="shared" ref="F172:Q172" si="39">SUM(F21:F30)</f>
        <v>1985400</v>
      </c>
      <c r="G172" s="479">
        <f t="shared" si="39"/>
        <v>2020200</v>
      </c>
      <c r="H172" s="479">
        <f t="shared" si="39"/>
        <v>2214600</v>
      </c>
      <c r="I172" s="479">
        <f t="shared" si="39"/>
        <v>1045200</v>
      </c>
      <c r="J172" s="479">
        <f t="shared" si="39"/>
        <v>1146861</v>
      </c>
      <c r="K172" s="479">
        <f t="shared" si="39"/>
        <v>2718502</v>
      </c>
      <c r="L172" s="479">
        <f t="shared" si="39"/>
        <v>2112837</v>
      </c>
      <c r="M172" s="479">
        <f t="shared" si="39"/>
        <v>1962765</v>
      </c>
      <c r="N172" s="479">
        <f t="shared" si="39"/>
        <v>1031789</v>
      </c>
      <c r="O172" s="479">
        <f t="shared" si="39"/>
        <v>2063830</v>
      </c>
      <c r="P172" s="479">
        <f t="shared" si="39"/>
        <v>1827961</v>
      </c>
      <c r="Q172" s="479">
        <f t="shared" si="39"/>
        <v>22462144</v>
      </c>
      <c r="T172" s="477" t="s">
        <v>189</v>
      </c>
      <c r="U172" s="477">
        <f>C176</f>
        <v>97</v>
      </c>
      <c r="V172" s="483">
        <v>1</v>
      </c>
      <c r="W172" s="483">
        <v>1</v>
      </c>
      <c r="X172" s="483">
        <v>1</v>
      </c>
      <c r="Y172" s="483">
        <v>1</v>
      </c>
      <c r="Z172" s="483">
        <v>1</v>
      </c>
      <c r="AA172" s="483">
        <v>1</v>
      </c>
      <c r="AB172" s="483">
        <v>1</v>
      </c>
      <c r="AC172" s="483">
        <v>1</v>
      </c>
      <c r="AD172" s="483">
        <v>1</v>
      </c>
      <c r="AE172" s="483">
        <v>1</v>
      </c>
      <c r="AF172" s="483">
        <v>1</v>
      </c>
      <c r="AG172" s="483">
        <v>1</v>
      </c>
    </row>
    <row r="173" spans="2:33">
      <c r="B173" s="477" t="s">
        <v>188</v>
      </c>
      <c r="C173" s="477">
        <v>46</v>
      </c>
      <c r="E173" s="479">
        <f>SUM(E31:E76)</f>
        <v>21399724</v>
      </c>
      <c r="F173" s="479">
        <f t="shared" ref="F173:Q173" si="40">SUM(F31:F76)</f>
        <v>18720128</v>
      </c>
      <c r="G173" s="479">
        <f t="shared" si="40"/>
        <v>17109467</v>
      </c>
      <c r="H173" s="479">
        <f t="shared" si="40"/>
        <v>16870377</v>
      </c>
      <c r="I173" s="479">
        <f t="shared" si="40"/>
        <v>15891521</v>
      </c>
      <c r="J173" s="479">
        <f t="shared" si="40"/>
        <v>15367066</v>
      </c>
      <c r="K173" s="479">
        <f t="shared" si="40"/>
        <v>15515548</v>
      </c>
      <c r="L173" s="479">
        <f t="shared" si="40"/>
        <v>17906187</v>
      </c>
      <c r="M173" s="479">
        <f t="shared" si="40"/>
        <v>16528312</v>
      </c>
      <c r="N173" s="479">
        <f t="shared" si="40"/>
        <v>7084143</v>
      </c>
      <c r="O173" s="479">
        <f t="shared" si="40"/>
        <v>22891942</v>
      </c>
      <c r="P173" s="479">
        <f t="shared" si="40"/>
        <v>15859894</v>
      </c>
      <c r="Q173" s="479">
        <f t="shared" si="40"/>
        <v>201144309</v>
      </c>
      <c r="T173" s="477"/>
      <c r="U173" s="477"/>
    </row>
    <row r="174" spans="2:33">
      <c r="B174" s="477" t="s">
        <v>188</v>
      </c>
      <c r="C174" s="477">
        <v>2</v>
      </c>
      <c r="E174" s="479">
        <f>SUM(E77:E78)</f>
        <v>2887200</v>
      </c>
      <c r="F174" s="479">
        <f t="shared" ref="F174:Q174" si="41">SUM(F77:F78)</f>
        <v>2491200</v>
      </c>
      <c r="G174" s="479">
        <f t="shared" si="41"/>
        <v>2577600</v>
      </c>
      <c r="H174" s="479">
        <f t="shared" si="41"/>
        <v>2640000</v>
      </c>
      <c r="I174" s="479">
        <f t="shared" si="41"/>
        <v>2491200</v>
      </c>
      <c r="J174" s="479">
        <f t="shared" si="41"/>
        <v>2611200</v>
      </c>
      <c r="K174" s="479">
        <f t="shared" si="41"/>
        <v>2836800</v>
      </c>
      <c r="L174" s="479">
        <f t="shared" si="41"/>
        <v>2786400</v>
      </c>
      <c r="M174" s="479">
        <f t="shared" si="41"/>
        <v>2548800</v>
      </c>
      <c r="N174" s="479">
        <f t="shared" si="41"/>
        <v>1338775</v>
      </c>
      <c r="O174" s="479">
        <f t="shared" si="41"/>
        <v>2508488</v>
      </c>
      <c r="P174" s="479">
        <f t="shared" si="41"/>
        <v>2260960</v>
      </c>
      <c r="Q174" s="479">
        <f t="shared" si="41"/>
        <v>29978623</v>
      </c>
      <c r="T174" s="477"/>
      <c r="U174" s="477"/>
    </row>
    <row r="175" spans="2:33">
      <c r="B175" s="477" t="s">
        <v>188</v>
      </c>
      <c r="C175" s="477">
        <v>39</v>
      </c>
      <c r="E175" s="479">
        <f>SUM(E79:E117)</f>
        <v>5393005</v>
      </c>
      <c r="F175" s="479">
        <f t="shared" ref="F175:Q175" si="42">SUM(F79:F117)</f>
        <v>5042502</v>
      </c>
      <c r="G175" s="479">
        <f t="shared" si="42"/>
        <v>11022371</v>
      </c>
      <c r="H175" s="479">
        <f t="shared" si="42"/>
        <v>7928370</v>
      </c>
      <c r="I175" s="479">
        <f t="shared" si="42"/>
        <v>9198971</v>
      </c>
      <c r="J175" s="479">
        <f t="shared" si="42"/>
        <v>8184700</v>
      </c>
      <c r="K175" s="479">
        <f t="shared" si="42"/>
        <v>8319278</v>
      </c>
      <c r="L175" s="479">
        <f t="shared" si="42"/>
        <v>8750464</v>
      </c>
      <c r="M175" s="479">
        <f t="shared" si="42"/>
        <v>8960700</v>
      </c>
      <c r="N175" s="479">
        <f t="shared" si="42"/>
        <v>8050084</v>
      </c>
      <c r="O175" s="479">
        <f t="shared" si="42"/>
        <v>8502077</v>
      </c>
      <c r="P175" s="479">
        <f t="shared" si="42"/>
        <v>8455798</v>
      </c>
      <c r="Q175" s="479">
        <f t="shared" si="42"/>
        <v>97808320</v>
      </c>
      <c r="T175" s="477"/>
      <c r="U175" s="477"/>
    </row>
    <row r="176" spans="2:33">
      <c r="B176" s="477" t="s">
        <v>19</v>
      </c>
      <c r="C176" s="477">
        <f>SUM(C172:C175)</f>
        <v>97</v>
      </c>
      <c r="E176" s="479">
        <f>SUM(E172:E175)</f>
        <v>32012128</v>
      </c>
      <c r="F176" s="479">
        <f t="shared" ref="F176:Q176" si="43">SUM(F172:F175)</f>
        <v>28239230</v>
      </c>
      <c r="G176" s="479">
        <f t="shared" si="43"/>
        <v>32729638</v>
      </c>
      <c r="H176" s="479">
        <f t="shared" si="43"/>
        <v>29653347</v>
      </c>
      <c r="I176" s="479">
        <f t="shared" si="43"/>
        <v>28626892</v>
      </c>
      <c r="J176" s="479">
        <f t="shared" si="43"/>
        <v>27309827</v>
      </c>
      <c r="K176" s="479">
        <f t="shared" si="43"/>
        <v>29390128</v>
      </c>
      <c r="L176" s="479">
        <f t="shared" si="43"/>
        <v>31555888</v>
      </c>
      <c r="M176" s="479">
        <f t="shared" si="43"/>
        <v>30000577</v>
      </c>
      <c r="N176" s="479">
        <f t="shared" si="43"/>
        <v>17504791</v>
      </c>
      <c r="O176" s="479">
        <f t="shared" si="43"/>
        <v>35966337</v>
      </c>
      <c r="P176" s="479">
        <f t="shared" si="43"/>
        <v>28404613</v>
      </c>
      <c r="Q176" s="479">
        <f t="shared" si="43"/>
        <v>351393396</v>
      </c>
      <c r="T176" s="477"/>
      <c r="U176" s="477"/>
    </row>
    <row r="177" spans="1:33">
      <c r="B177" s="477"/>
      <c r="C177" s="477"/>
    </row>
    <row r="178" spans="1:33">
      <c r="A178" s="477" t="s">
        <v>21</v>
      </c>
      <c r="C178" s="477">
        <f>C144+C149+C153+C155+C160+C165+C170+C176</f>
        <v>132</v>
      </c>
      <c r="E178" s="479">
        <f>E144+E149+E153+E155+E160+E165+E170+E176</f>
        <v>45745727</v>
      </c>
      <c r="F178" s="479">
        <f t="shared" ref="F178:Q178" si="44">F144+F149+F153+F155+F160+F165+F170+F176</f>
        <v>43929830</v>
      </c>
      <c r="G178" s="479">
        <f t="shared" si="44"/>
        <v>44503268</v>
      </c>
      <c r="H178" s="479">
        <f t="shared" si="44"/>
        <v>42551052</v>
      </c>
      <c r="I178" s="479">
        <f t="shared" si="44"/>
        <v>42098022</v>
      </c>
      <c r="J178" s="479">
        <f t="shared" si="44"/>
        <v>36454392</v>
      </c>
      <c r="K178" s="479">
        <f t="shared" si="44"/>
        <v>48717371</v>
      </c>
      <c r="L178" s="479">
        <f t="shared" si="44"/>
        <v>46696149</v>
      </c>
      <c r="M178" s="479">
        <f t="shared" si="44"/>
        <v>43379398</v>
      </c>
      <c r="N178" s="479">
        <f t="shared" si="44"/>
        <v>35046087</v>
      </c>
      <c r="O178" s="479">
        <f t="shared" si="44"/>
        <v>47156357</v>
      </c>
      <c r="P178" s="479">
        <f t="shared" si="44"/>
        <v>42267794</v>
      </c>
      <c r="Q178" s="479">
        <f t="shared" si="44"/>
        <v>518545447</v>
      </c>
    </row>
    <row r="181" spans="1:33" ht="18.75">
      <c r="B181" s="480" t="s">
        <v>190</v>
      </c>
      <c r="S181" s="503" t="s">
        <v>182</v>
      </c>
      <c r="T181" s="503"/>
      <c r="U181" s="503"/>
      <c r="V181" s="503"/>
      <c r="W181" s="503"/>
      <c r="X181" s="503"/>
      <c r="Y181" s="503"/>
      <c r="Z181" s="503"/>
      <c r="AA181" s="503"/>
      <c r="AB181" s="503"/>
      <c r="AC181" s="503"/>
      <c r="AD181" s="503"/>
      <c r="AE181" s="503"/>
      <c r="AF181" s="503"/>
      <c r="AG181" s="503"/>
    </row>
    <row r="183" spans="1:33">
      <c r="E183" s="504" t="s">
        <v>183</v>
      </c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T183" s="504" t="s">
        <v>183</v>
      </c>
      <c r="U183" s="504"/>
      <c r="V183" s="504"/>
      <c r="W183" s="504"/>
      <c r="X183" s="504"/>
      <c r="Y183" s="504"/>
      <c r="Z183" s="504"/>
      <c r="AA183" s="504"/>
      <c r="AB183" s="504"/>
      <c r="AC183" s="504"/>
      <c r="AD183" s="504"/>
      <c r="AE183" s="504"/>
    </row>
    <row r="184" spans="1:33">
      <c r="A184" s="481"/>
      <c r="B184" s="481" t="s">
        <v>185</v>
      </c>
      <c r="C184" s="481" t="s">
        <v>186</v>
      </c>
      <c r="E184" s="481" t="s">
        <v>80</v>
      </c>
      <c r="F184" s="481" t="s">
        <v>81</v>
      </c>
      <c r="G184" s="481" t="s">
        <v>82</v>
      </c>
      <c r="H184" s="481" t="s">
        <v>83</v>
      </c>
      <c r="I184" s="481" t="s">
        <v>84</v>
      </c>
      <c r="J184" s="481" t="s">
        <v>85</v>
      </c>
      <c r="K184" s="481" t="s">
        <v>86</v>
      </c>
      <c r="L184" s="481" t="s">
        <v>87</v>
      </c>
      <c r="M184" s="481" t="s">
        <v>88</v>
      </c>
      <c r="N184" s="481" t="s">
        <v>89</v>
      </c>
      <c r="O184" s="481" t="s">
        <v>90</v>
      </c>
      <c r="P184" s="481" t="s">
        <v>91</v>
      </c>
      <c r="Q184" s="481" t="s">
        <v>19</v>
      </c>
      <c r="S184" s="481" t="s">
        <v>185</v>
      </c>
      <c r="T184" s="481" t="s">
        <v>80</v>
      </c>
      <c r="U184" s="481" t="s">
        <v>81</v>
      </c>
      <c r="V184" s="481" t="s">
        <v>82</v>
      </c>
      <c r="W184" s="481" t="s">
        <v>83</v>
      </c>
      <c r="X184" s="481" t="s">
        <v>84</v>
      </c>
      <c r="Y184" s="481" t="s">
        <v>85</v>
      </c>
      <c r="Z184" s="481" t="s">
        <v>86</v>
      </c>
      <c r="AA184" s="481" t="s">
        <v>87</v>
      </c>
      <c r="AB184" s="481" t="s">
        <v>88</v>
      </c>
      <c r="AC184" s="481" t="s">
        <v>89</v>
      </c>
      <c r="AD184" s="481" t="s">
        <v>90</v>
      </c>
      <c r="AE184" s="481" t="s">
        <v>91</v>
      </c>
      <c r="AF184" s="481"/>
    </row>
    <row r="185" spans="1:33">
      <c r="B185" s="477">
        <v>24</v>
      </c>
      <c r="C185" s="476">
        <f>C146+C157+C162+C167</f>
        <v>8</v>
      </c>
      <c r="E185" s="478">
        <f t="shared" ref="E185:Q186" si="45">E146+E157+E162+E167</f>
        <v>81070</v>
      </c>
      <c r="F185" s="478">
        <f t="shared" si="45"/>
        <v>78770</v>
      </c>
      <c r="G185" s="478">
        <f t="shared" si="45"/>
        <v>74240</v>
      </c>
      <c r="H185" s="478">
        <f t="shared" si="45"/>
        <v>69920</v>
      </c>
      <c r="I185" s="478">
        <f t="shared" si="45"/>
        <v>70670</v>
      </c>
      <c r="J185" s="478">
        <f t="shared" si="45"/>
        <v>65940</v>
      </c>
      <c r="K185" s="478">
        <f t="shared" si="45"/>
        <v>75103</v>
      </c>
      <c r="L185" s="478">
        <f t="shared" si="45"/>
        <v>74291</v>
      </c>
      <c r="M185" s="478">
        <f t="shared" si="45"/>
        <v>68291</v>
      </c>
      <c r="N185" s="478">
        <f t="shared" si="45"/>
        <v>67306</v>
      </c>
      <c r="O185" s="478">
        <f t="shared" si="45"/>
        <v>80440</v>
      </c>
      <c r="P185" s="478">
        <f t="shared" si="45"/>
        <v>79411</v>
      </c>
      <c r="Q185" s="478">
        <f t="shared" si="45"/>
        <v>885452</v>
      </c>
      <c r="S185" s="477">
        <v>24</v>
      </c>
      <c r="T185" s="484">
        <f>E185/E$192</f>
        <v>1.7721873782878125E-3</v>
      </c>
      <c r="U185" s="484">
        <f t="shared" ref="U185:AE188" si="46">F185/F$192</f>
        <v>1.7930868387152875E-3</v>
      </c>
      <c r="V185" s="484">
        <f t="shared" si="46"/>
        <v>1.6681920977129141E-3</v>
      </c>
      <c r="W185" s="484">
        <f t="shared" si="46"/>
        <v>1.6432026169411747E-3</v>
      </c>
      <c r="X185" s="484">
        <f t="shared" si="46"/>
        <v>1.6787011988354226E-3</v>
      </c>
      <c r="Y185" s="484">
        <f t="shared" si="46"/>
        <v>1.8088355444249352E-3</v>
      </c>
      <c r="Z185" s="484">
        <f t="shared" si="46"/>
        <v>1.5416061757519714E-3</v>
      </c>
      <c r="AA185" s="484">
        <f t="shared" si="46"/>
        <v>1.5909448978330097E-3</v>
      </c>
      <c r="AB185" s="484">
        <f t="shared" si="46"/>
        <v>1.5742726535762437E-3</v>
      </c>
      <c r="AC185" s="484">
        <f t="shared" si="46"/>
        <v>1.9204997122788631E-3</v>
      </c>
      <c r="AD185" s="484">
        <f t="shared" si="46"/>
        <v>1.7058145522140314E-3</v>
      </c>
      <c r="AE185" s="484">
        <f t="shared" si="46"/>
        <v>1.8787590381461592E-3</v>
      </c>
      <c r="AF185" s="478"/>
    </row>
    <row r="186" spans="1:33">
      <c r="B186" s="477">
        <v>25</v>
      </c>
      <c r="C186" s="476">
        <f>C147+C158+C163+C168</f>
        <v>12</v>
      </c>
      <c r="E186" s="478">
        <f t="shared" si="45"/>
        <v>661629</v>
      </c>
      <c r="F186" s="478">
        <f t="shared" si="45"/>
        <v>618970</v>
      </c>
      <c r="G186" s="478">
        <f t="shared" si="45"/>
        <v>653150</v>
      </c>
      <c r="H186" s="478">
        <f t="shared" si="45"/>
        <v>565765</v>
      </c>
      <c r="I186" s="478">
        <f t="shared" si="45"/>
        <v>569485</v>
      </c>
      <c r="J186" s="478">
        <f t="shared" si="45"/>
        <v>556980</v>
      </c>
      <c r="K186" s="478">
        <f t="shared" si="45"/>
        <v>568080</v>
      </c>
      <c r="L186" s="478">
        <f t="shared" si="45"/>
        <v>629730</v>
      </c>
      <c r="M186" s="478">
        <f t="shared" si="45"/>
        <v>597670</v>
      </c>
      <c r="N186" s="478">
        <f t="shared" si="45"/>
        <v>565630</v>
      </c>
      <c r="O186" s="478">
        <f t="shared" si="45"/>
        <v>493120</v>
      </c>
      <c r="P186" s="478">
        <f t="shared" si="45"/>
        <v>539490</v>
      </c>
      <c r="Q186" s="478">
        <f t="shared" si="45"/>
        <v>7019699</v>
      </c>
      <c r="S186" s="477">
        <v>25</v>
      </c>
      <c r="T186" s="484">
        <f t="shared" ref="T186:T188" si="47">E186/E$192</f>
        <v>1.4463186911424536E-2</v>
      </c>
      <c r="U186" s="484">
        <f t="shared" si="46"/>
        <v>1.4089970300363101E-2</v>
      </c>
      <c r="V186" s="484">
        <f t="shared" si="46"/>
        <v>1.4676450277763872E-2</v>
      </c>
      <c r="W186" s="484">
        <f t="shared" si="46"/>
        <v>1.3296146003628771E-2</v>
      </c>
      <c r="X186" s="484">
        <f t="shared" si="46"/>
        <v>1.3527595192002133E-2</v>
      </c>
      <c r="Y186" s="484">
        <f t="shared" si="46"/>
        <v>1.5278817433027E-2</v>
      </c>
      <c r="Z186" s="484">
        <f t="shared" si="46"/>
        <v>1.1660727751503668E-2</v>
      </c>
      <c r="AA186" s="484">
        <f t="shared" si="46"/>
        <v>1.3485694505557621E-2</v>
      </c>
      <c r="AB186" s="484">
        <f t="shared" si="46"/>
        <v>1.377773845547603E-2</v>
      </c>
      <c r="AC186" s="484">
        <f t="shared" si="46"/>
        <v>1.6139604972161371E-2</v>
      </c>
      <c r="AD186" s="484">
        <f t="shared" si="46"/>
        <v>1.0457126702980895E-2</v>
      </c>
      <c r="AE186" s="484">
        <f t="shared" si="46"/>
        <v>1.2763618560268369E-2</v>
      </c>
      <c r="AF186" s="478"/>
    </row>
    <row r="187" spans="1:33">
      <c r="B187" s="477">
        <v>26</v>
      </c>
      <c r="C187" s="476">
        <f>C148+C151+C159</f>
        <v>10</v>
      </c>
      <c r="E187" s="478">
        <f t="shared" ref="E187:Q187" si="48">E148+E151+E159</f>
        <v>3822900</v>
      </c>
      <c r="F187" s="478">
        <f t="shared" si="48"/>
        <v>3436860</v>
      </c>
      <c r="G187" s="478">
        <f t="shared" si="48"/>
        <v>3975840</v>
      </c>
      <c r="H187" s="478">
        <f t="shared" si="48"/>
        <v>3499620</v>
      </c>
      <c r="I187" s="478">
        <f t="shared" si="48"/>
        <v>3722975</v>
      </c>
      <c r="J187" s="478">
        <f t="shared" si="48"/>
        <v>2550445</v>
      </c>
      <c r="K187" s="478">
        <f t="shared" si="48"/>
        <v>5056860</v>
      </c>
      <c r="L187" s="478">
        <f t="shared" si="48"/>
        <v>4361040</v>
      </c>
      <c r="M187" s="478">
        <f t="shared" si="48"/>
        <v>4130460</v>
      </c>
      <c r="N187" s="478">
        <f t="shared" si="48"/>
        <v>3677160</v>
      </c>
      <c r="O187" s="478">
        <f t="shared" si="48"/>
        <v>3361260</v>
      </c>
      <c r="P187" s="478">
        <f t="shared" si="48"/>
        <v>4037880</v>
      </c>
      <c r="Q187" s="478">
        <f t="shared" si="48"/>
        <v>45633300</v>
      </c>
      <c r="S187" s="477">
        <v>26</v>
      </c>
      <c r="T187" s="484">
        <f t="shared" si="47"/>
        <v>8.3568460940625117E-2</v>
      </c>
      <c r="U187" s="484">
        <f t="shared" si="46"/>
        <v>7.8235221943722524E-2</v>
      </c>
      <c r="V187" s="484">
        <f t="shared" si="46"/>
        <v>8.9338158267388362E-2</v>
      </c>
      <c r="W187" s="484">
        <f t="shared" si="46"/>
        <v>8.2245205124423251E-2</v>
      </c>
      <c r="X187" s="484">
        <f t="shared" si="46"/>
        <v>8.8435865229012423E-2</v>
      </c>
      <c r="Y187" s="484">
        <f t="shared" si="46"/>
        <v>6.9962626176840362E-2</v>
      </c>
      <c r="Z187" s="484">
        <f t="shared" si="46"/>
        <v>0.10379993616650619</v>
      </c>
      <c r="AA187" s="484">
        <f t="shared" si="46"/>
        <v>9.3391855503973137E-2</v>
      </c>
      <c r="AB187" s="484">
        <f t="shared" si="46"/>
        <v>9.5217088996947349E-2</v>
      </c>
      <c r="AC187" s="484">
        <f t="shared" si="46"/>
        <v>0.10492355394769179</v>
      </c>
      <c r="AD187" s="484">
        <f t="shared" si="46"/>
        <v>7.1279043035491485E-2</v>
      </c>
      <c r="AE187" s="484">
        <f t="shared" si="46"/>
        <v>9.5530890493125811E-2</v>
      </c>
      <c r="AF187" s="478"/>
    </row>
    <row r="188" spans="1:33">
      <c r="B188" s="477">
        <v>31</v>
      </c>
      <c r="C188" s="476">
        <f>C144+C152+C155+C164+C169</f>
        <v>5</v>
      </c>
      <c r="E188" s="478">
        <f t="shared" ref="E188:Q188" si="49">E144+E152+E155+E164+E169</f>
        <v>9168000</v>
      </c>
      <c r="F188" s="478">
        <f t="shared" si="49"/>
        <v>11556000</v>
      </c>
      <c r="G188" s="478">
        <f t="shared" si="49"/>
        <v>7070400</v>
      </c>
      <c r="H188" s="478">
        <f t="shared" si="49"/>
        <v>8762400</v>
      </c>
      <c r="I188" s="478">
        <f t="shared" si="49"/>
        <v>9108000</v>
      </c>
      <c r="J188" s="478">
        <f t="shared" si="49"/>
        <v>5971200</v>
      </c>
      <c r="K188" s="478">
        <f t="shared" si="49"/>
        <v>13627200</v>
      </c>
      <c r="L188" s="478">
        <f t="shared" si="49"/>
        <v>10075200</v>
      </c>
      <c r="M188" s="478">
        <f t="shared" si="49"/>
        <v>8582400</v>
      </c>
      <c r="N188" s="478">
        <f t="shared" si="49"/>
        <v>13231200</v>
      </c>
      <c r="O188" s="478">
        <f t="shared" si="49"/>
        <v>7255200</v>
      </c>
      <c r="P188" s="478">
        <f t="shared" si="49"/>
        <v>9206400</v>
      </c>
      <c r="Q188" s="478">
        <f t="shared" si="49"/>
        <v>113613600</v>
      </c>
      <c r="S188" s="477">
        <v>31</v>
      </c>
      <c r="T188" s="484">
        <f t="shared" si="47"/>
        <v>0.20041216089974917</v>
      </c>
      <c r="U188" s="484">
        <f t="shared" si="46"/>
        <v>0.26305587797630903</v>
      </c>
      <c r="V188" s="484">
        <f t="shared" si="46"/>
        <v>0.15887372585761567</v>
      </c>
      <c r="W188" s="484">
        <f t="shared" si="46"/>
        <v>0.20592675358531676</v>
      </c>
      <c r="X188" s="484">
        <f t="shared" si="46"/>
        <v>0.21635220771180175</v>
      </c>
      <c r="Y188" s="484">
        <f t="shared" si="46"/>
        <v>0.16379919324947184</v>
      </c>
      <c r="Z188" s="484">
        <f t="shared" si="46"/>
        <v>0.27971952755825019</v>
      </c>
      <c r="AA188" s="484">
        <f t="shared" si="46"/>
        <v>0.21576083286868045</v>
      </c>
      <c r="AB188" s="484">
        <f t="shared" si="46"/>
        <v>0.19784506921926395</v>
      </c>
      <c r="AC188" s="484">
        <f t="shared" si="46"/>
        <v>0.37753715557460094</v>
      </c>
      <c r="AD188" s="484">
        <f t="shared" si="46"/>
        <v>0.15385412405797166</v>
      </c>
      <c r="AE188" s="484">
        <f t="shared" si="46"/>
        <v>0.21781122525580587</v>
      </c>
      <c r="AF188" s="478"/>
    </row>
    <row r="189" spans="1:33">
      <c r="B189" s="477" t="s">
        <v>19</v>
      </c>
      <c r="C189" s="476">
        <f>SUM(C185:C188)</f>
        <v>35</v>
      </c>
      <c r="E189" s="478">
        <f t="shared" ref="E189:Q189" si="50">SUM(E185:E188)</f>
        <v>13733599</v>
      </c>
      <c r="F189" s="478">
        <f t="shared" si="50"/>
        <v>15690600</v>
      </c>
      <c r="G189" s="478">
        <f t="shared" si="50"/>
        <v>11773630</v>
      </c>
      <c r="H189" s="478">
        <f t="shared" si="50"/>
        <v>12897705</v>
      </c>
      <c r="I189" s="478">
        <f t="shared" si="50"/>
        <v>13471130</v>
      </c>
      <c r="J189" s="478">
        <f t="shared" si="50"/>
        <v>9144565</v>
      </c>
      <c r="K189" s="478">
        <f t="shared" si="50"/>
        <v>19327243</v>
      </c>
      <c r="L189" s="478">
        <f t="shared" si="50"/>
        <v>15140261</v>
      </c>
      <c r="M189" s="478">
        <f t="shared" si="50"/>
        <v>13378821</v>
      </c>
      <c r="N189" s="478">
        <f t="shared" si="50"/>
        <v>17541296</v>
      </c>
      <c r="O189" s="478">
        <f t="shared" si="50"/>
        <v>11190020</v>
      </c>
      <c r="P189" s="478">
        <f t="shared" si="50"/>
        <v>13863181</v>
      </c>
      <c r="Q189" s="478">
        <f t="shared" si="50"/>
        <v>167152051</v>
      </c>
      <c r="R189" s="479"/>
      <c r="S189" s="476" t="s">
        <v>188</v>
      </c>
      <c r="T189" s="484">
        <f>E191/E$192</f>
        <v>0.69978400386991335</v>
      </c>
      <c r="U189" s="484">
        <f t="shared" ref="U189:AE189" si="51">F191/F$192</f>
        <v>0.64282584294089007</v>
      </c>
      <c r="V189" s="484">
        <f t="shared" si="51"/>
        <v>0.73544347349951922</v>
      </c>
      <c r="W189" s="484">
        <f t="shared" si="51"/>
        <v>0.69688869266969</v>
      </c>
      <c r="X189" s="484">
        <f t="shared" si="51"/>
        <v>0.68000563066834829</v>
      </c>
      <c r="Y189" s="484">
        <f t="shared" si="51"/>
        <v>0.7491505275962359</v>
      </c>
      <c r="Z189" s="484">
        <f t="shared" si="51"/>
        <v>0.6032782023479879</v>
      </c>
      <c r="AA189" s="484">
        <f t="shared" si="51"/>
        <v>0.67577067222395582</v>
      </c>
      <c r="AB189" s="484">
        <f t="shared" si="51"/>
        <v>0.69158583067473645</v>
      </c>
      <c r="AC189" s="484">
        <f t="shared" si="51"/>
        <v>0.499479185793267</v>
      </c>
      <c r="AD189" s="484">
        <f t="shared" si="51"/>
        <v>0.76270389165134189</v>
      </c>
      <c r="AE189" s="484">
        <f t="shared" si="51"/>
        <v>0.67201550665265375</v>
      </c>
    </row>
    <row r="190" spans="1:33">
      <c r="T190" s="485">
        <f>SUM(T185:T189)</f>
        <v>1</v>
      </c>
      <c r="U190" s="485">
        <f t="shared" ref="U190:AE190" si="52">SUM(U185:U189)</f>
        <v>1</v>
      </c>
      <c r="V190" s="485">
        <f t="shared" si="52"/>
        <v>1</v>
      </c>
      <c r="W190" s="485">
        <f t="shared" si="52"/>
        <v>1</v>
      </c>
      <c r="X190" s="485">
        <f t="shared" si="52"/>
        <v>1</v>
      </c>
      <c r="Y190" s="485">
        <f t="shared" si="52"/>
        <v>1</v>
      </c>
      <c r="Z190" s="485">
        <f t="shared" si="52"/>
        <v>1</v>
      </c>
      <c r="AA190" s="485">
        <f t="shared" si="52"/>
        <v>1</v>
      </c>
      <c r="AB190" s="485">
        <f t="shared" si="52"/>
        <v>1</v>
      </c>
      <c r="AC190" s="485">
        <f t="shared" si="52"/>
        <v>1</v>
      </c>
      <c r="AD190" s="485">
        <f t="shared" si="52"/>
        <v>1</v>
      </c>
      <c r="AE190" s="485">
        <f t="shared" si="52"/>
        <v>1</v>
      </c>
    </row>
    <row r="191" spans="1:33">
      <c r="B191" s="476" t="s">
        <v>188</v>
      </c>
      <c r="C191" s="476">
        <f>C176</f>
        <v>97</v>
      </c>
      <c r="E191" s="479">
        <f>E176</f>
        <v>32012128</v>
      </c>
      <c r="F191" s="479">
        <f t="shared" ref="F191:Q191" si="53">F176</f>
        <v>28239230</v>
      </c>
      <c r="G191" s="479">
        <f t="shared" si="53"/>
        <v>32729638</v>
      </c>
      <c r="H191" s="479">
        <f t="shared" si="53"/>
        <v>29653347</v>
      </c>
      <c r="I191" s="479">
        <f t="shared" si="53"/>
        <v>28626892</v>
      </c>
      <c r="J191" s="479">
        <f t="shared" si="53"/>
        <v>27309827</v>
      </c>
      <c r="K191" s="479">
        <f t="shared" si="53"/>
        <v>29390128</v>
      </c>
      <c r="L191" s="479">
        <f t="shared" si="53"/>
        <v>31555888</v>
      </c>
      <c r="M191" s="479">
        <f t="shared" si="53"/>
        <v>30000577</v>
      </c>
      <c r="N191" s="479">
        <f t="shared" si="53"/>
        <v>17504791</v>
      </c>
      <c r="O191" s="479">
        <f t="shared" si="53"/>
        <v>35966337</v>
      </c>
      <c r="P191" s="479">
        <f t="shared" si="53"/>
        <v>28404613</v>
      </c>
      <c r="Q191" s="479">
        <f t="shared" si="53"/>
        <v>351393396</v>
      </c>
    </row>
    <row r="192" spans="1:33">
      <c r="B192" s="476" t="s">
        <v>191</v>
      </c>
      <c r="C192" s="476">
        <f>SUM(C189:C191)</f>
        <v>132</v>
      </c>
      <c r="E192" s="479">
        <f t="shared" ref="E192:Q192" si="54">SUM(E189:E191)</f>
        <v>45745727</v>
      </c>
      <c r="F192" s="479">
        <f t="shared" si="54"/>
        <v>43929830</v>
      </c>
      <c r="G192" s="479">
        <f t="shared" si="54"/>
        <v>44503268</v>
      </c>
      <c r="H192" s="479">
        <f t="shared" si="54"/>
        <v>42551052</v>
      </c>
      <c r="I192" s="479">
        <f t="shared" si="54"/>
        <v>42098022</v>
      </c>
      <c r="J192" s="479">
        <f t="shared" si="54"/>
        <v>36454392</v>
      </c>
      <c r="K192" s="479">
        <f t="shared" si="54"/>
        <v>48717371</v>
      </c>
      <c r="L192" s="479">
        <f t="shared" si="54"/>
        <v>46696149</v>
      </c>
      <c r="M192" s="479">
        <f t="shared" si="54"/>
        <v>43379398</v>
      </c>
      <c r="N192" s="479">
        <f t="shared" si="54"/>
        <v>35046087</v>
      </c>
      <c r="O192" s="479">
        <f t="shared" si="54"/>
        <v>47156357</v>
      </c>
      <c r="P192" s="479">
        <f t="shared" si="54"/>
        <v>42267794</v>
      </c>
      <c r="Q192" s="479">
        <f t="shared" si="54"/>
        <v>518545447</v>
      </c>
    </row>
    <row r="193" spans="2:17">
      <c r="E193" s="479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79"/>
      <c r="Q193" s="479"/>
    </row>
    <row r="194" spans="2:17">
      <c r="E194" s="479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79"/>
      <c r="Q194" s="479"/>
    </row>
    <row r="195" spans="2:17">
      <c r="B195" s="486" t="s">
        <v>192</v>
      </c>
      <c r="E195" s="479">
        <f t="shared" ref="E195:Q195" si="55">E188-E144</f>
        <v>6530400</v>
      </c>
      <c r="F195" s="479">
        <f t="shared" si="55"/>
        <v>9076800</v>
      </c>
      <c r="G195" s="479">
        <f t="shared" si="55"/>
        <v>4377600</v>
      </c>
      <c r="H195" s="479">
        <f t="shared" si="55"/>
        <v>6355200</v>
      </c>
      <c r="I195" s="479">
        <f t="shared" si="55"/>
        <v>6540000</v>
      </c>
      <c r="J195" s="479">
        <f t="shared" si="55"/>
        <v>3259200</v>
      </c>
      <c r="K195" s="479">
        <f t="shared" si="55"/>
        <v>11126400</v>
      </c>
      <c r="L195" s="479">
        <f t="shared" si="55"/>
        <v>7557600</v>
      </c>
      <c r="M195" s="479">
        <f t="shared" si="55"/>
        <v>5743200</v>
      </c>
      <c r="N195" s="479">
        <f t="shared" si="55"/>
        <v>10744800</v>
      </c>
      <c r="O195" s="479">
        <f t="shared" si="55"/>
        <v>4576800</v>
      </c>
      <c r="P195" s="479">
        <f t="shared" si="55"/>
        <v>6691200</v>
      </c>
      <c r="Q195" s="479">
        <f t="shared" si="55"/>
        <v>82579200</v>
      </c>
    </row>
    <row r="196" spans="2:17">
      <c r="E196" s="483">
        <f t="shared" ref="E196:Q196" si="56">E195/E188</f>
        <v>0.71230366492146602</v>
      </c>
      <c r="F196" s="483">
        <f t="shared" si="56"/>
        <v>0.78546209761163033</v>
      </c>
      <c r="G196" s="483">
        <f t="shared" si="56"/>
        <v>0.61914460285132378</v>
      </c>
      <c r="H196" s="483">
        <f t="shared" si="56"/>
        <v>0.72528074500136952</v>
      </c>
      <c r="I196" s="483">
        <f t="shared" si="56"/>
        <v>0.71805006587615283</v>
      </c>
      <c r="J196" s="483">
        <f t="shared" si="56"/>
        <v>0.54581993569131837</v>
      </c>
      <c r="K196" s="483">
        <f t="shared" si="56"/>
        <v>0.81648467770341671</v>
      </c>
      <c r="L196" s="483">
        <f t="shared" si="56"/>
        <v>0.75011910433539786</v>
      </c>
      <c r="M196" s="483">
        <f t="shared" si="56"/>
        <v>0.6691834451901566</v>
      </c>
      <c r="N196" s="483">
        <f t="shared" si="56"/>
        <v>0.81208053691275173</v>
      </c>
      <c r="O196" s="483">
        <f t="shared" si="56"/>
        <v>0.63083030102547144</v>
      </c>
      <c r="P196" s="483">
        <f t="shared" si="56"/>
        <v>0.72679874869655892</v>
      </c>
      <c r="Q196" s="483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workbookViewId="0">
      <selection activeCell="D12" sqref="D12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3.28515625" customWidth="1"/>
    <col min="7" max="7" width="6" customWidth="1"/>
    <col min="8" max="8" width="9.5703125" customWidth="1"/>
    <col min="10" max="10" width="1" customWidth="1"/>
    <col min="11" max="12" width="10.7109375" customWidth="1"/>
    <col min="13" max="13" width="8.28515625" bestFit="1" customWidth="1"/>
    <col min="14" max="14" width="0.7109375" customWidth="1"/>
    <col min="15" max="16" width="10.7109375" customWidth="1"/>
    <col min="17" max="17" width="10.7109375" bestFit="1" customWidth="1"/>
    <col min="18" max="18" width="0.7109375" customWidth="1"/>
    <col min="19" max="20" width="10.7109375" customWidth="1"/>
  </cols>
  <sheetData>
    <row r="1" spans="1:21">
      <c r="B1" s="24"/>
      <c r="C1" s="24"/>
      <c r="D1" s="24"/>
      <c r="E1" s="24"/>
      <c r="F1" s="236"/>
    </row>
    <row r="2" spans="1:21">
      <c r="A2" s="25" t="s">
        <v>136</v>
      </c>
      <c r="B2" s="25"/>
      <c r="C2" s="25"/>
      <c r="D2" s="25"/>
      <c r="E2" s="25"/>
      <c r="F2" s="25"/>
    </row>
    <row r="3" spans="1:21">
      <c r="A3" s="25" t="s">
        <v>11</v>
      </c>
      <c r="B3" s="25"/>
      <c r="C3" s="25"/>
      <c r="D3" s="25"/>
      <c r="E3" s="25"/>
      <c r="F3" s="25"/>
    </row>
    <row r="4" spans="1:21">
      <c r="A4" s="26" t="s">
        <v>165</v>
      </c>
      <c r="B4" s="26"/>
      <c r="C4" s="26"/>
      <c r="D4" s="26"/>
      <c r="E4" s="26"/>
      <c r="F4" s="26"/>
    </row>
    <row r="5" spans="1:21" ht="15.75" customHeight="1">
      <c r="A5" s="25"/>
      <c r="B5" s="25"/>
      <c r="C5" s="25"/>
      <c r="D5" s="25"/>
      <c r="E5" s="25"/>
      <c r="F5" s="25"/>
      <c r="I5" s="499" t="s">
        <v>193</v>
      </c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</row>
    <row r="6" spans="1:21" ht="15.75">
      <c r="A6" s="27"/>
      <c r="B6" s="24"/>
      <c r="C6" s="24"/>
      <c r="D6" s="24"/>
      <c r="E6" s="24"/>
      <c r="F6" s="24"/>
      <c r="I6" s="499" t="s">
        <v>123</v>
      </c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</row>
    <row r="7" spans="1:21">
      <c r="A7" s="28" t="s">
        <v>12</v>
      </c>
      <c r="B7" s="29"/>
      <c r="C7" s="29"/>
      <c r="D7" s="29"/>
      <c r="E7" s="24"/>
      <c r="F7" s="24"/>
      <c r="G7" s="30"/>
    </row>
    <row r="8" spans="1:21">
      <c r="A8" s="31" t="s">
        <v>13</v>
      </c>
      <c r="B8" s="32" t="s">
        <v>14</v>
      </c>
      <c r="C8" s="32"/>
      <c r="D8" s="32"/>
      <c r="E8" s="33"/>
      <c r="F8" s="89"/>
      <c r="G8" s="30"/>
      <c r="K8" s="228" t="s">
        <v>119</v>
      </c>
      <c r="L8" s="229"/>
      <c r="M8" s="229"/>
      <c r="N8" s="230"/>
      <c r="O8" s="228" t="s">
        <v>127</v>
      </c>
      <c r="P8" s="229"/>
      <c r="Q8" s="229"/>
      <c r="R8" s="230"/>
      <c r="S8" s="228" t="s">
        <v>131</v>
      </c>
      <c r="T8" s="229"/>
      <c r="U8" s="229"/>
    </row>
    <row r="9" spans="1:21">
      <c r="A9" s="27"/>
      <c r="B9" s="34"/>
      <c r="C9" s="35"/>
      <c r="D9" s="36"/>
      <c r="E9" s="34"/>
      <c r="F9" s="34"/>
      <c r="G9" s="30"/>
      <c r="K9" s="231" t="s">
        <v>120</v>
      </c>
      <c r="L9" s="232"/>
      <c r="M9" s="232"/>
      <c r="N9" s="230"/>
      <c r="O9" s="231" t="s">
        <v>121</v>
      </c>
      <c r="P9" s="232"/>
      <c r="Q9" s="232"/>
      <c r="R9" s="230"/>
      <c r="S9" s="231" t="s">
        <v>122</v>
      </c>
      <c r="T9" s="232"/>
      <c r="U9" s="232"/>
    </row>
    <row r="10" spans="1:21">
      <c r="A10" s="37">
        <v>1</v>
      </c>
      <c r="B10" s="38"/>
      <c r="C10" s="39" t="s">
        <v>15</v>
      </c>
      <c r="D10" s="40" t="s">
        <v>16</v>
      </c>
      <c r="E10" s="41" t="s">
        <v>137</v>
      </c>
      <c r="F10" s="42"/>
      <c r="G10" s="40"/>
      <c r="I10" s="223" t="s">
        <v>55</v>
      </c>
      <c r="J10" s="223"/>
      <c r="K10" s="223" t="s">
        <v>110</v>
      </c>
      <c r="L10" s="223" t="s">
        <v>117</v>
      </c>
      <c r="M10" s="223" t="s">
        <v>118</v>
      </c>
      <c r="N10" s="24"/>
      <c r="O10" s="223" t="s">
        <v>110</v>
      </c>
      <c r="P10" s="223" t="s">
        <v>117</v>
      </c>
      <c r="Q10" s="223" t="s">
        <v>118</v>
      </c>
      <c r="R10" s="24"/>
      <c r="S10" s="223" t="s">
        <v>110</v>
      </c>
      <c r="T10" s="223" t="s">
        <v>117</v>
      </c>
      <c r="U10" s="223" t="s">
        <v>118</v>
      </c>
    </row>
    <row r="11" spans="1:21">
      <c r="A11" s="37">
        <f t="shared" ref="A11:A35" si="0">A10+1</f>
        <v>2</v>
      </c>
      <c r="B11" s="38"/>
      <c r="C11" s="160" t="s">
        <v>137</v>
      </c>
      <c r="D11" s="43" t="s">
        <v>137</v>
      </c>
      <c r="E11" s="44" t="s">
        <v>17</v>
      </c>
      <c r="F11" s="340"/>
      <c r="G11" s="339"/>
      <c r="H11" s="120"/>
      <c r="I11" s="224">
        <f t="shared" ref="I11:I22" si="1">B12</f>
        <v>43101</v>
      </c>
      <c r="J11" s="58"/>
      <c r="K11" s="278">
        <f t="array" ref="K11:K22">TRANSPOSE('Actual Total Usage'!B9:M9)/1000</f>
        <v>1245600.4971179999</v>
      </c>
      <c r="L11" s="278">
        <f t="array" ref="L11:L22">TRANSPOSE('Normalized Total Usage'!B9:M9)/1000</f>
        <v>1320394.2791770399</v>
      </c>
      <c r="M11" s="278">
        <f>L11-K11</f>
        <v>74793.782059039921</v>
      </c>
      <c r="N11" s="278"/>
      <c r="O11" s="278">
        <f t="array" ref="O11:O22">TRANSPOSE('Actual Total Usage'!B13:M13)/1000</f>
        <v>270052.26044799993</v>
      </c>
      <c r="P11" s="278">
        <f t="array" ref="P11:P22">TRANSPOSE('Normalized Total Usage'!B13:M13)/1000</f>
        <v>279700.26698594971</v>
      </c>
      <c r="Q11" s="278">
        <f>P11-O11</f>
        <v>9648.0065379497828</v>
      </c>
      <c r="R11" s="278"/>
      <c r="S11" s="278">
        <f t="array" ref="S11:S22">TRANSPOSE('Actual Total Usage'!B17:M17)/1000</f>
        <v>268152.90463499998</v>
      </c>
      <c r="T11" s="278">
        <f t="array" ref="T11:T22">TRANSPOSE('Normalized Total Usage'!B17:M17)/1000</f>
        <v>274353.55290206574</v>
      </c>
      <c r="U11" s="278">
        <f>T11-S11</f>
        <v>6200.648267065757</v>
      </c>
    </row>
    <row r="12" spans="1:21">
      <c r="A12" s="37">
        <f t="shared" si="0"/>
        <v>3</v>
      </c>
      <c r="B12" s="45">
        <v>43101</v>
      </c>
      <c r="C12" s="291">
        <f>K62*1000</f>
        <v>2117768502.5340002</v>
      </c>
      <c r="D12" s="292">
        <f>L62*1000</f>
        <v>2211605012.7320209</v>
      </c>
      <c r="E12" s="277">
        <f t="shared" ref="E12:E23" si="2">+D12-C12</f>
        <v>93836510.198020697</v>
      </c>
      <c r="F12" s="277"/>
      <c r="G12" s="30"/>
      <c r="H12" s="138"/>
      <c r="I12" s="224">
        <f t="shared" si="1"/>
        <v>43132</v>
      </c>
      <c r="J12" s="58"/>
      <c r="K12" s="278">
        <v>1123202.8302799999</v>
      </c>
      <c r="L12" s="278">
        <v>1078333.7287120998</v>
      </c>
      <c r="M12" s="278">
        <f t="shared" ref="M12:M22" si="3">L12-K12</f>
        <v>-44869.101567900041</v>
      </c>
      <c r="N12" s="278"/>
      <c r="O12" s="278">
        <v>250610.40238099999</v>
      </c>
      <c r="P12" s="278">
        <v>244756.10462235223</v>
      </c>
      <c r="Q12" s="278">
        <f t="shared" ref="Q12:Q22" si="4">P12-O12</f>
        <v>-5854.2977586477646</v>
      </c>
      <c r="R12" s="278"/>
      <c r="S12" s="278">
        <v>260714.836633</v>
      </c>
      <c r="T12" s="278">
        <v>256874.74831296259</v>
      </c>
      <c r="U12" s="278">
        <f t="shared" ref="U12:U22" si="5">T12-S12</f>
        <v>-3840.0883200374083</v>
      </c>
    </row>
    <row r="13" spans="1:21">
      <c r="A13" s="37">
        <f t="shared" si="0"/>
        <v>4</v>
      </c>
      <c r="B13" s="45">
        <v>43132</v>
      </c>
      <c r="C13" s="291">
        <f t="shared" ref="C13:C23" si="6">K63*1000</f>
        <v>1966820016.0199997</v>
      </c>
      <c r="D13" s="292">
        <f t="shared" ref="D13:D23" si="7">L63*1000</f>
        <v>1910362641.9264953</v>
      </c>
      <c r="E13" s="277">
        <f t="shared" si="2"/>
        <v>-56457374.093504429</v>
      </c>
      <c r="F13" s="277"/>
      <c r="G13" s="30"/>
      <c r="H13" s="138"/>
      <c r="I13" s="224">
        <f t="shared" si="1"/>
        <v>43160</v>
      </c>
      <c r="J13" s="58"/>
      <c r="K13" s="278">
        <v>1119823.6269689999</v>
      </c>
      <c r="L13" s="278">
        <v>1124218.3040027621</v>
      </c>
      <c r="M13" s="278">
        <f t="shared" si="3"/>
        <v>4394.6770337622147</v>
      </c>
      <c r="N13" s="278"/>
      <c r="O13" s="278">
        <v>249794.73207899998</v>
      </c>
      <c r="P13" s="278">
        <v>250558.78072801692</v>
      </c>
      <c r="Q13" s="278">
        <f t="shared" si="4"/>
        <v>764.04864901694236</v>
      </c>
      <c r="R13" s="278"/>
      <c r="S13" s="278">
        <v>261974.89123100002</v>
      </c>
      <c r="T13" s="278">
        <v>262585.9460057519</v>
      </c>
      <c r="U13" s="278">
        <f t="shared" si="5"/>
        <v>611.05477475188673</v>
      </c>
    </row>
    <row r="14" spans="1:21">
      <c r="A14" s="37">
        <f t="shared" si="0"/>
        <v>5</v>
      </c>
      <c r="B14" s="45">
        <v>43160</v>
      </c>
      <c r="C14" s="291">
        <f t="shared" si="6"/>
        <v>1943634196.267</v>
      </c>
      <c r="D14" s="292">
        <f t="shared" si="7"/>
        <v>1949460356.5087843</v>
      </c>
      <c r="E14" s="277">
        <f t="shared" si="2"/>
        <v>5826160.2417843342</v>
      </c>
      <c r="F14" s="277"/>
      <c r="H14" s="138"/>
      <c r="I14" s="224">
        <f t="shared" si="1"/>
        <v>43191</v>
      </c>
      <c r="J14" s="58"/>
      <c r="K14" s="278">
        <v>924598.02489300002</v>
      </c>
      <c r="L14" s="278">
        <v>940942.93963610567</v>
      </c>
      <c r="M14" s="278">
        <f t="shared" si="3"/>
        <v>16344.914743105648</v>
      </c>
      <c r="N14" s="278"/>
      <c r="O14" s="278">
        <v>222392.89107099999</v>
      </c>
      <c r="P14" s="278">
        <v>223858.74202468261</v>
      </c>
      <c r="Q14" s="278">
        <f t="shared" si="4"/>
        <v>1465.8509536826168</v>
      </c>
      <c r="R14" s="278"/>
      <c r="S14" s="278">
        <v>243307.75608700002</v>
      </c>
      <c r="T14" s="278">
        <v>243931.40949264902</v>
      </c>
      <c r="U14" s="278">
        <f t="shared" si="5"/>
        <v>623.65340564900544</v>
      </c>
    </row>
    <row r="15" spans="1:21">
      <c r="A15" s="37">
        <f t="shared" si="0"/>
        <v>6</v>
      </c>
      <c r="B15" s="45">
        <v>43191</v>
      </c>
      <c r="C15" s="291">
        <f t="shared" si="6"/>
        <v>1699164092.1280003</v>
      </c>
      <c r="D15" s="292">
        <f t="shared" si="7"/>
        <v>1718136018.0731821</v>
      </c>
      <c r="E15" s="277">
        <f t="shared" si="2"/>
        <v>18971925.945181847</v>
      </c>
      <c r="F15" s="277"/>
      <c r="H15" s="341"/>
      <c r="I15" s="224">
        <f t="shared" si="1"/>
        <v>43221</v>
      </c>
      <c r="J15" s="58"/>
      <c r="K15" s="278">
        <v>741369.50304700003</v>
      </c>
      <c r="L15" s="278">
        <v>790422.19592384121</v>
      </c>
      <c r="M15" s="278">
        <f t="shared" si="3"/>
        <v>49052.692876841174</v>
      </c>
      <c r="N15" s="278"/>
      <c r="O15" s="278">
        <v>203704.35266199999</v>
      </c>
      <c r="P15" s="278">
        <v>206299.14155461596</v>
      </c>
      <c r="Q15" s="278">
        <f t="shared" si="4"/>
        <v>2594.7888926159649</v>
      </c>
      <c r="R15" s="278"/>
      <c r="S15" s="278">
        <v>237955.92672299998</v>
      </c>
      <c r="T15" s="278">
        <v>237498.34136960321</v>
      </c>
      <c r="U15" s="278">
        <f t="shared" si="5"/>
        <v>-457.58535339677474</v>
      </c>
    </row>
    <row r="16" spans="1:21">
      <c r="A16" s="37">
        <f t="shared" si="0"/>
        <v>7</v>
      </c>
      <c r="B16" s="45">
        <v>43221</v>
      </c>
      <c r="C16" s="291">
        <f t="shared" si="6"/>
        <v>1490892224.5599999</v>
      </c>
      <c r="D16" s="292">
        <f t="shared" si="7"/>
        <v>1542507070.3846564</v>
      </c>
      <c r="E16" s="277">
        <f t="shared" si="2"/>
        <v>51614845.824656487</v>
      </c>
      <c r="F16" s="277"/>
      <c r="H16" s="138"/>
      <c r="I16" s="224">
        <f t="shared" si="1"/>
        <v>43252</v>
      </c>
      <c r="J16" s="58"/>
      <c r="K16" s="278">
        <v>663353.18537899991</v>
      </c>
      <c r="L16" s="278">
        <v>657526.52312316094</v>
      </c>
      <c r="M16" s="278">
        <f t="shared" si="3"/>
        <v>-5826.662255838979</v>
      </c>
      <c r="N16" s="278"/>
      <c r="O16" s="278">
        <v>201826.31566099994</v>
      </c>
      <c r="P16" s="278">
        <v>200696.88239109679</v>
      </c>
      <c r="Q16" s="278">
        <f t="shared" si="4"/>
        <v>-1129.4332699031511</v>
      </c>
      <c r="R16" s="278"/>
      <c r="S16" s="278">
        <v>232786.86050099999</v>
      </c>
      <c r="T16" s="278">
        <v>231741.31400070514</v>
      </c>
      <c r="U16" s="278">
        <f t="shared" si="5"/>
        <v>-1045.5465002948476</v>
      </c>
    </row>
    <row r="17" spans="1:21">
      <c r="A17" s="37">
        <f t="shared" si="0"/>
        <v>8</v>
      </c>
      <c r="B17" s="45">
        <v>43252</v>
      </c>
      <c r="C17" s="291">
        <f t="shared" si="6"/>
        <v>1402796988.2709999</v>
      </c>
      <c r="D17" s="292">
        <f t="shared" si="7"/>
        <v>1393796264.7921755</v>
      </c>
      <c r="E17" s="277">
        <f t="shared" si="2"/>
        <v>-9000723.4788243771</v>
      </c>
      <c r="F17" s="277"/>
      <c r="H17" s="138"/>
      <c r="I17" s="224">
        <f t="shared" si="1"/>
        <v>43282</v>
      </c>
      <c r="J17" s="58"/>
      <c r="K17" s="278">
        <v>670337.02335200005</v>
      </c>
      <c r="L17" s="278">
        <v>619908.53963391413</v>
      </c>
      <c r="M17" s="278">
        <f t="shared" si="3"/>
        <v>-50428.483718085918</v>
      </c>
      <c r="N17" s="278"/>
      <c r="O17" s="278">
        <v>209722.59827400002</v>
      </c>
      <c r="P17" s="278">
        <v>199943.35979643895</v>
      </c>
      <c r="Q17" s="278">
        <f t="shared" si="4"/>
        <v>-9779.2384775610699</v>
      </c>
      <c r="R17" s="278"/>
      <c r="S17" s="278">
        <v>236616.96438699999</v>
      </c>
      <c r="T17" s="278">
        <v>227607.11378449391</v>
      </c>
      <c r="U17" s="278">
        <f t="shared" si="5"/>
        <v>-9009.8506025060778</v>
      </c>
    </row>
    <row r="18" spans="1:21">
      <c r="A18" s="37">
        <f t="shared" si="0"/>
        <v>9</v>
      </c>
      <c r="B18" s="45">
        <v>43282</v>
      </c>
      <c r="C18" s="291">
        <f t="shared" si="6"/>
        <v>1444305094.7399998</v>
      </c>
      <c r="D18" s="292">
        <f t="shared" si="7"/>
        <v>1366445615.4333427</v>
      </c>
      <c r="E18" s="277">
        <f t="shared" si="2"/>
        <v>-77859479.306657076</v>
      </c>
      <c r="F18" s="277"/>
      <c r="H18" s="138"/>
      <c r="I18" s="224">
        <f t="shared" si="1"/>
        <v>43313</v>
      </c>
      <c r="J18" s="58"/>
      <c r="K18" s="278">
        <v>735328.69555099995</v>
      </c>
      <c r="L18" s="278">
        <v>708817.12199245114</v>
      </c>
      <c r="M18" s="278">
        <f t="shared" si="3"/>
        <v>-26511.573558548815</v>
      </c>
      <c r="N18" s="278"/>
      <c r="O18" s="278">
        <v>226661.21228899999</v>
      </c>
      <c r="P18" s="278">
        <v>221519.00984958143</v>
      </c>
      <c r="Q18" s="278">
        <f t="shared" si="4"/>
        <v>-5142.2024394185573</v>
      </c>
      <c r="R18" s="278"/>
      <c r="S18" s="278">
        <v>267578.76714700001</v>
      </c>
      <c r="T18" s="278">
        <v>262846.38670681993</v>
      </c>
      <c r="U18" s="278">
        <f t="shared" si="5"/>
        <v>-4732.3804401800735</v>
      </c>
    </row>
    <row r="19" spans="1:21">
      <c r="A19" s="37">
        <f t="shared" si="0"/>
        <v>10</v>
      </c>
      <c r="B19" s="45">
        <v>43313</v>
      </c>
      <c r="C19" s="291">
        <f t="shared" si="6"/>
        <v>1582213550.2459996</v>
      </c>
      <c r="D19" s="292">
        <f t="shared" si="7"/>
        <v>1541279586.4041083</v>
      </c>
      <c r="E19" s="277">
        <f t="shared" si="2"/>
        <v>-40933963.841891289</v>
      </c>
      <c r="F19" s="277"/>
      <c r="H19" s="138"/>
      <c r="I19" s="224">
        <f t="shared" si="1"/>
        <v>43344</v>
      </c>
      <c r="J19" s="58"/>
      <c r="K19" s="278">
        <v>680363.49579099996</v>
      </c>
      <c r="L19" s="278">
        <v>684422.40077883576</v>
      </c>
      <c r="M19" s="278">
        <f t="shared" si="3"/>
        <v>4058.904987835791</v>
      </c>
      <c r="N19" s="278"/>
      <c r="O19" s="278">
        <v>214122.84150400001</v>
      </c>
      <c r="P19" s="278">
        <v>214909.84803733189</v>
      </c>
      <c r="Q19" s="278">
        <f t="shared" si="4"/>
        <v>787.00653333187802</v>
      </c>
      <c r="R19" s="278"/>
      <c r="S19" s="278">
        <v>241721.71924600002</v>
      </c>
      <c r="T19" s="278">
        <v>242445.24149808046</v>
      </c>
      <c r="U19" s="278">
        <f t="shared" si="5"/>
        <v>723.52225208043819</v>
      </c>
    </row>
    <row r="20" spans="1:21">
      <c r="A20" s="37">
        <f t="shared" si="0"/>
        <v>11</v>
      </c>
      <c r="B20" s="45">
        <v>43344</v>
      </c>
      <c r="C20" s="291">
        <f t="shared" si="6"/>
        <v>1463713525.3280001</v>
      </c>
      <c r="D20" s="292">
        <f t="shared" si="7"/>
        <v>1469977742.6955874</v>
      </c>
      <c r="E20" s="277">
        <f t="shared" si="2"/>
        <v>6264217.367587328</v>
      </c>
      <c r="F20" s="277"/>
      <c r="H20" s="138"/>
      <c r="I20" s="224">
        <f t="shared" si="1"/>
        <v>43374</v>
      </c>
      <c r="J20" s="58"/>
      <c r="K20" s="278">
        <v>687720.73388199997</v>
      </c>
      <c r="L20" s="278">
        <v>697805.19490895129</v>
      </c>
      <c r="M20" s="278">
        <f t="shared" si="3"/>
        <v>10084.461026951321</v>
      </c>
      <c r="N20" s="278"/>
      <c r="O20" s="278">
        <v>199410.52197099998</v>
      </c>
      <c r="P20" s="278">
        <v>200278.15366502735</v>
      </c>
      <c r="Q20" s="278">
        <f t="shared" si="4"/>
        <v>867.63169402736821</v>
      </c>
      <c r="R20" s="278"/>
      <c r="S20" s="278">
        <v>229756.25103300001</v>
      </c>
      <c r="T20" s="278">
        <v>230092.64596147297</v>
      </c>
      <c r="U20" s="278">
        <f t="shared" si="5"/>
        <v>336.3949284729606</v>
      </c>
    </row>
    <row r="21" spans="1:21">
      <c r="A21" s="37">
        <f t="shared" si="0"/>
        <v>12</v>
      </c>
      <c r="B21" s="45">
        <v>43374</v>
      </c>
      <c r="C21" s="291">
        <f t="shared" si="6"/>
        <v>1419110790.6479998</v>
      </c>
      <c r="D21" s="292">
        <f t="shared" si="7"/>
        <v>1431038051.7473032</v>
      </c>
      <c r="E21" s="277">
        <f t="shared" si="2"/>
        <v>11927261.099303484</v>
      </c>
      <c r="F21" s="277"/>
      <c r="H21" s="138"/>
      <c r="I21" s="224">
        <f t="shared" si="1"/>
        <v>43405</v>
      </c>
      <c r="J21" s="58"/>
      <c r="K21" s="278">
        <v>842221.07113299996</v>
      </c>
      <c r="L21" s="278">
        <v>899431.99971165601</v>
      </c>
      <c r="M21" s="278">
        <f t="shared" si="3"/>
        <v>57210.92857865605</v>
      </c>
      <c r="N21" s="278"/>
      <c r="O21" s="278">
        <v>210596.23024499998</v>
      </c>
      <c r="P21" s="278">
        <v>216817.39955998774</v>
      </c>
      <c r="Q21" s="278">
        <f t="shared" si="4"/>
        <v>6221.1693149877538</v>
      </c>
      <c r="R21" s="278"/>
      <c r="S21" s="278">
        <v>236210.73050000001</v>
      </c>
      <c r="T21" s="278">
        <v>239724.98089549437</v>
      </c>
      <c r="U21" s="278">
        <f t="shared" si="5"/>
        <v>3514.2503954943677</v>
      </c>
    </row>
    <row r="22" spans="1:21">
      <c r="A22" s="37">
        <f t="shared" si="0"/>
        <v>13</v>
      </c>
      <c r="B22" s="45">
        <v>43405</v>
      </c>
      <c r="C22" s="291">
        <f t="shared" si="6"/>
        <v>1590358483.6039999</v>
      </c>
      <c r="D22" s="292">
        <f t="shared" si="7"/>
        <v>1659759618.1684327</v>
      </c>
      <c r="E22" s="277">
        <f t="shared" si="2"/>
        <v>69401134.564432859</v>
      </c>
      <c r="F22" s="277"/>
      <c r="H22" s="138"/>
      <c r="I22" s="226">
        <f t="shared" si="1"/>
        <v>43435</v>
      </c>
      <c r="J22" s="167"/>
      <c r="K22" s="279">
        <v>1085744.61167</v>
      </c>
      <c r="L22" s="279">
        <v>1160576.0444485361</v>
      </c>
      <c r="M22" s="279">
        <f t="shared" si="3"/>
        <v>74831.432778536109</v>
      </c>
      <c r="N22" s="278"/>
      <c r="O22" s="279">
        <v>239275.20177900002</v>
      </c>
      <c r="P22" s="279">
        <v>248828.53044025111</v>
      </c>
      <c r="Q22" s="279">
        <f t="shared" si="4"/>
        <v>9553.3286612510856</v>
      </c>
      <c r="R22" s="278"/>
      <c r="S22" s="279">
        <v>260618.35510500002</v>
      </c>
      <c r="T22" s="279">
        <v>266959.15666416177</v>
      </c>
      <c r="U22" s="279">
        <f t="shared" si="5"/>
        <v>6340.8015591617441</v>
      </c>
    </row>
    <row r="23" spans="1:21">
      <c r="A23" s="37">
        <f t="shared" si="0"/>
        <v>14</v>
      </c>
      <c r="B23" s="45">
        <v>43435</v>
      </c>
      <c r="C23" s="293">
        <f t="shared" si="6"/>
        <v>1912905137.8720002</v>
      </c>
      <c r="D23" s="294">
        <f t="shared" si="7"/>
        <v>2006770858.5626192</v>
      </c>
      <c r="E23" s="277">
        <f t="shared" si="2"/>
        <v>93865720.690618992</v>
      </c>
      <c r="F23" s="277"/>
      <c r="H23" s="138"/>
      <c r="I23" s="224" t="s">
        <v>19</v>
      </c>
      <c r="J23" s="58"/>
      <c r="K23" s="77">
        <f>SUM(K11:K22)</f>
        <v>10519663.299064999</v>
      </c>
      <c r="L23" s="77">
        <f t="shared" ref="L23:M23" si="8">SUM(L11:L22)</f>
        <v>10682799.272049353</v>
      </c>
      <c r="M23" s="77">
        <f t="shared" si="8"/>
        <v>163135.97298435448</v>
      </c>
      <c r="N23" s="77"/>
      <c r="O23" s="77">
        <f>SUM(O11:O22)</f>
        <v>2698169.5603639991</v>
      </c>
      <c r="P23" s="77">
        <f t="shared" ref="P23" si="9">SUM(P11:P22)</f>
        <v>2708166.2196553331</v>
      </c>
      <c r="Q23" s="77">
        <f t="shared" ref="Q23" si="10">SUM(Q11:Q22)</f>
        <v>9996.6592913328495</v>
      </c>
      <c r="R23" s="77"/>
      <c r="S23" s="77">
        <f>SUM(S11:S22)</f>
        <v>2977395.9632280003</v>
      </c>
      <c r="T23" s="77">
        <f t="shared" ref="T23" si="11">SUM(T11:T22)</f>
        <v>2976660.8375942609</v>
      </c>
      <c r="U23" s="77">
        <f t="shared" ref="U23" si="12">SUM(U11:U22)</f>
        <v>-735.12563373902231</v>
      </c>
    </row>
    <row r="24" spans="1:21">
      <c r="A24" s="37">
        <f t="shared" si="0"/>
        <v>15</v>
      </c>
      <c r="B24" s="24"/>
      <c r="C24" s="65">
        <f>SUM(C12:C23)</f>
        <v>20033682602.218002</v>
      </c>
      <c r="D24" s="189">
        <f>SUM(D12:D23)</f>
        <v>20201138837.428707</v>
      </c>
      <c r="E24" s="189">
        <f>SUM(E12:E23)</f>
        <v>167456235.21070886</v>
      </c>
      <c r="F24" s="337"/>
    </row>
    <row r="25" spans="1:21">
      <c r="A25" s="37">
        <f t="shared" si="0"/>
        <v>16</v>
      </c>
      <c r="B25" s="34"/>
      <c r="C25" s="46"/>
      <c r="D25" s="46"/>
      <c r="E25" s="47"/>
      <c r="F25" s="47"/>
      <c r="K25" s="228" t="s">
        <v>130</v>
      </c>
      <c r="L25" s="229"/>
      <c r="M25" s="229"/>
      <c r="O25" s="228" t="s">
        <v>132</v>
      </c>
      <c r="P25" s="229"/>
      <c r="Q25" s="229"/>
      <c r="R25" s="230"/>
      <c r="S25" s="228"/>
      <c r="T25" s="229"/>
      <c r="U25" s="229"/>
    </row>
    <row r="26" spans="1:21">
      <c r="A26" s="37">
        <f t="shared" si="0"/>
        <v>17</v>
      </c>
      <c r="B26" s="318" t="s">
        <v>147</v>
      </c>
      <c r="C26" s="48" t="s">
        <v>0</v>
      </c>
      <c r="D26" s="49"/>
      <c r="E26" s="277">
        <f>'Sales Adj. load only'!B8</f>
        <v>163135972.98435408</v>
      </c>
      <c r="F26" s="50"/>
      <c r="G26" s="64"/>
      <c r="H26" s="78"/>
      <c r="K26" s="231" t="s">
        <v>145</v>
      </c>
      <c r="L26" s="232"/>
      <c r="M26" s="232"/>
      <c r="O26" s="231" t="s">
        <v>124</v>
      </c>
      <c r="P26" s="232"/>
      <c r="Q26" s="232"/>
      <c r="R26" s="230"/>
      <c r="S26" s="231"/>
      <c r="T26" s="232"/>
      <c r="U26" s="232"/>
    </row>
    <row r="27" spans="1:21">
      <c r="A27" s="37">
        <f t="shared" si="0"/>
        <v>18</v>
      </c>
      <c r="B27" s="321" t="s">
        <v>148</v>
      </c>
      <c r="C27" s="48" t="s">
        <v>1</v>
      </c>
      <c r="D27" s="48"/>
      <c r="E27" s="277">
        <f>'Sales Adj. load only'!B9</f>
        <v>9996659.2913328111</v>
      </c>
      <c r="F27" s="50"/>
      <c r="G27" s="64"/>
      <c r="H27" s="78"/>
      <c r="I27" s="223" t="s">
        <v>55</v>
      </c>
      <c r="J27" s="223"/>
      <c r="K27" s="223" t="s">
        <v>110</v>
      </c>
      <c r="L27" s="223" t="s">
        <v>117</v>
      </c>
      <c r="M27" s="223" t="s">
        <v>118</v>
      </c>
      <c r="O27" s="223" t="s">
        <v>110</v>
      </c>
      <c r="P27" s="223" t="s">
        <v>117</v>
      </c>
      <c r="Q27" s="223" t="s">
        <v>118</v>
      </c>
      <c r="R27" s="24"/>
      <c r="S27" s="223"/>
      <c r="T27" s="223"/>
      <c r="U27" s="223"/>
    </row>
    <row r="28" spans="1:21">
      <c r="A28" s="37">
        <f t="shared" si="0"/>
        <v>19</v>
      </c>
      <c r="B28" s="48"/>
      <c r="C28" s="51" t="s">
        <v>2</v>
      </c>
      <c r="D28" s="52"/>
      <c r="E28" s="277">
        <f>'Sales Adj. load only'!B10</f>
        <v>-735125.63373911753</v>
      </c>
      <c r="F28" s="50"/>
      <c r="G28" s="64"/>
      <c r="H28" s="78"/>
      <c r="I28" s="224">
        <f t="shared" ref="I28:I39" si="13">I11</f>
        <v>43101</v>
      </c>
      <c r="J28" s="58"/>
      <c r="K28" s="278">
        <f t="array" ref="K28:K39">TRANSPOSE('Actual Total Usage'!B21:M21)/1000</f>
        <v>158122.61891200001</v>
      </c>
      <c r="L28" s="278">
        <f t="array" ref="L28:L39">TRANSPOSE('Normalized Total Usage'!B21:M21)/1000</f>
        <v>158801.83227809009</v>
      </c>
      <c r="M28" s="278">
        <f>L28-K28</f>
        <v>679.21336609008722</v>
      </c>
      <c r="N28" s="278"/>
      <c r="O28" s="278">
        <f t="array" ref="O28:O39">TRANSPOSE('Actual Total Usage'!B25:M25)/1000</f>
        <v>114391.46893399999</v>
      </c>
      <c r="P28" s="278">
        <f t="array" ref="P28:P39">TRANSPOSE('Normalized Total Usage'!B25:M25)/1000</f>
        <v>115079.16034450827</v>
      </c>
      <c r="Q28" s="278">
        <f>P28-O28</f>
        <v>687.6914105082833</v>
      </c>
      <c r="R28" s="278"/>
      <c r="S28" s="278"/>
      <c r="T28" s="278"/>
      <c r="U28" s="278"/>
    </row>
    <row r="29" spans="1:21">
      <c r="A29" s="37">
        <f t="shared" si="0"/>
        <v>20</v>
      </c>
      <c r="B29" s="53"/>
      <c r="C29" s="48" t="s">
        <v>3</v>
      </c>
      <c r="D29" s="51"/>
      <c r="E29" s="277">
        <f>'Sales Adj. load only'!B11</f>
        <v>-6542110.0974097066</v>
      </c>
      <c r="F29" s="50"/>
      <c r="G29" s="64"/>
      <c r="H29" s="78"/>
      <c r="I29" s="224">
        <f t="shared" si="13"/>
        <v>43132</v>
      </c>
      <c r="J29" s="58"/>
      <c r="K29" s="278">
        <v>159054.356891</v>
      </c>
      <c r="L29" s="278">
        <v>158655.69633206222</v>
      </c>
      <c r="M29" s="278">
        <f t="shared" ref="M29:M39" si="14">L29-K29</f>
        <v>-398.66055893778685</v>
      </c>
      <c r="N29" s="278"/>
      <c r="O29" s="278">
        <v>115062.34970199999</v>
      </c>
      <c r="P29" s="278">
        <v>114657.4625463558</v>
      </c>
      <c r="Q29" s="278">
        <f t="shared" ref="Q29:Q39" si="15">P29-O29</f>
        <v>-404.88715564418817</v>
      </c>
      <c r="R29" s="278"/>
      <c r="S29" s="278"/>
      <c r="T29" s="278"/>
      <c r="U29" s="278"/>
    </row>
    <row r="30" spans="1:21">
      <c r="A30" s="37">
        <f t="shared" si="0"/>
        <v>21</v>
      </c>
      <c r="B30" s="48"/>
      <c r="C30" s="51" t="s">
        <v>4</v>
      </c>
      <c r="D30" s="48"/>
      <c r="E30" s="277">
        <f>'Sales Adj. load only'!B12</f>
        <v>0</v>
      </c>
      <c r="F30" s="50"/>
      <c r="G30" s="64"/>
      <c r="H30" s="78"/>
      <c r="I30" s="224">
        <f t="shared" si="13"/>
        <v>43160</v>
      </c>
      <c r="J30" s="58"/>
      <c r="K30" s="278">
        <v>148013.02018899997</v>
      </c>
      <c r="L30" s="278">
        <v>147992.48814831485</v>
      </c>
      <c r="M30" s="278">
        <f t="shared" si="14"/>
        <v>-20.53204068512423</v>
      </c>
      <c r="N30" s="278"/>
      <c r="O30" s="278">
        <v>103806.900106</v>
      </c>
      <c r="P30" s="278">
        <v>103789.97307059425</v>
      </c>
      <c r="Q30" s="278">
        <f t="shared" si="15"/>
        <v>-16.927035405751667</v>
      </c>
      <c r="R30" s="278"/>
      <c r="S30" s="278"/>
      <c r="T30" s="278"/>
      <c r="U30" s="278"/>
    </row>
    <row r="31" spans="1:21">
      <c r="A31" s="37">
        <f t="shared" si="0"/>
        <v>22</v>
      </c>
      <c r="B31" s="48"/>
      <c r="C31" s="51" t="s">
        <v>5</v>
      </c>
      <c r="D31" s="48"/>
      <c r="E31" s="277">
        <f>'Sales Adj. load only'!B13</f>
        <v>-734770.83322440018</v>
      </c>
      <c r="F31" s="50"/>
      <c r="G31" s="64"/>
      <c r="H31" s="78"/>
      <c r="I31" s="224">
        <f t="shared" si="13"/>
        <v>43191</v>
      </c>
      <c r="J31" s="58"/>
      <c r="K31" s="278">
        <v>144668.35019699999</v>
      </c>
      <c r="L31" s="278">
        <v>144788.99847383687</v>
      </c>
      <c r="M31" s="278">
        <f t="shared" si="14"/>
        <v>120.64827683687326</v>
      </c>
      <c r="N31" s="278"/>
      <c r="O31" s="278">
        <v>108701.480595</v>
      </c>
      <c r="P31" s="278">
        <v>108824.64938574439</v>
      </c>
      <c r="Q31" s="278">
        <f t="shared" si="15"/>
        <v>123.16879074438475</v>
      </c>
      <c r="R31" s="278"/>
      <c r="S31" s="278"/>
      <c r="T31" s="278"/>
      <c r="U31" s="278"/>
    </row>
    <row r="32" spans="1:21">
      <c r="A32" s="37">
        <f t="shared" si="0"/>
        <v>23</v>
      </c>
      <c r="B32" s="48"/>
      <c r="C32" s="48" t="s">
        <v>7</v>
      </c>
      <c r="D32" s="48"/>
      <c r="E32" s="277">
        <f>'Sales Adj. load only'!B14</f>
        <v>-1182495.8614938441</v>
      </c>
      <c r="F32" s="50"/>
      <c r="G32" s="64"/>
      <c r="H32" s="78"/>
      <c r="I32" s="224">
        <f t="shared" si="13"/>
        <v>43221</v>
      </c>
      <c r="J32" s="58"/>
      <c r="K32" s="278">
        <v>150175.392609</v>
      </c>
      <c r="L32" s="278">
        <v>149838.00948349896</v>
      </c>
      <c r="M32" s="278">
        <f t="shared" si="14"/>
        <v>-337.38312550104456</v>
      </c>
      <c r="N32" s="278"/>
      <c r="O32" s="278">
        <v>105469.56447499999</v>
      </c>
      <c r="P32" s="278">
        <v>105613.76630010434</v>
      </c>
      <c r="Q32" s="278">
        <f t="shared" si="15"/>
        <v>144.20182510434825</v>
      </c>
      <c r="R32" s="278"/>
      <c r="S32" s="278"/>
      <c r="T32" s="278"/>
      <c r="U32" s="278"/>
    </row>
    <row r="33" spans="1:22">
      <c r="A33" s="37">
        <f t="shared" si="0"/>
        <v>24</v>
      </c>
      <c r="B33" s="48"/>
      <c r="C33" s="76" t="s">
        <v>22</v>
      </c>
      <c r="D33" s="48"/>
      <c r="E33" s="277">
        <f>SUM('Sales Adj. load only'!B15:B15)</f>
        <v>3404679.8765506782</v>
      </c>
      <c r="F33" s="50"/>
      <c r="G33" s="64"/>
      <c r="H33" s="78"/>
      <c r="I33" s="224">
        <f t="shared" si="13"/>
        <v>43252</v>
      </c>
      <c r="J33" s="58"/>
      <c r="K33" s="278">
        <v>156368.30940299999</v>
      </c>
      <c r="L33" s="278">
        <v>155768.25657265744</v>
      </c>
      <c r="M33" s="278">
        <f t="shared" si="14"/>
        <v>-600.05283034255262</v>
      </c>
      <c r="N33" s="278"/>
      <c r="O33" s="278">
        <v>103412.23788</v>
      </c>
      <c r="P33" s="278">
        <v>103209.84699514753</v>
      </c>
      <c r="Q33" s="278">
        <f t="shared" si="15"/>
        <v>-202.39088485247339</v>
      </c>
      <c r="R33" s="278"/>
      <c r="S33" s="278"/>
      <c r="T33" s="278"/>
      <c r="U33" s="278"/>
    </row>
    <row r="34" spans="1:22">
      <c r="A34" s="37">
        <f t="shared" si="0"/>
        <v>25</v>
      </c>
      <c r="B34" s="48"/>
      <c r="C34" s="319" t="s">
        <v>8</v>
      </c>
      <c r="D34" s="319"/>
      <c r="E34" s="320">
        <f>'Sales Adj. load only'!B16</f>
        <v>113425.48433827792</v>
      </c>
      <c r="F34" s="338"/>
      <c r="G34" s="64"/>
      <c r="H34" s="78"/>
      <c r="I34" s="224">
        <f t="shared" si="13"/>
        <v>43282</v>
      </c>
      <c r="J34" s="58"/>
      <c r="K34" s="278">
        <v>162872.29865000001</v>
      </c>
      <c r="L34" s="278">
        <v>157693.24150919163</v>
      </c>
      <c r="M34" s="278">
        <f t="shared" si="14"/>
        <v>-5179.0571408083779</v>
      </c>
      <c r="N34" s="278"/>
      <c r="O34" s="278">
        <v>109389.24895800001</v>
      </c>
      <c r="P34" s="278">
        <v>107638.3355032502</v>
      </c>
      <c r="Q34" s="278">
        <f t="shared" si="15"/>
        <v>-1750.9134547498106</v>
      </c>
      <c r="R34" s="278"/>
      <c r="S34" s="278"/>
      <c r="T34" s="278"/>
      <c r="U34" s="278"/>
    </row>
    <row r="35" spans="1:22">
      <c r="A35" s="37">
        <f t="shared" si="0"/>
        <v>26</v>
      </c>
      <c r="B35" s="48"/>
      <c r="C35" s="318" t="s">
        <v>19</v>
      </c>
      <c r="D35" s="48"/>
      <c r="E35" s="277">
        <f>SUM(E26:E34)</f>
        <v>167456235.2107088</v>
      </c>
      <c r="F35" s="54"/>
      <c r="G35" s="64"/>
      <c r="H35" s="77"/>
      <c r="I35" s="224">
        <f t="shared" si="13"/>
        <v>43313</v>
      </c>
      <c r="J35" s="58"/>
      <c r="K35" s="278">
        <v>185803.802368</v>
      </c>
      <c r="L35" s="278">
        <v>183071.71263236791</v>
      </c>
      <c r="M35" s="278">
        <f t="shared" si="14"/>
        <v>-2732.0897356320929</v>
      </c>
      <c r="N35" s="278"/>
      <c r="O35" s="278">
        <v>114294.681037</v>
      </c>
      <c r="P35" s="278">
        <v>113376.97004598725</v>
      </c>
      <c r="Q35" s="278">
        <f t="shared" si="15"/>
        <v>-917.7109910127474</v>
      </c>
      <c r="R35" s="278"/>
      <c r="S35" s="278"/>
      <c r="T35" s="278"/>
      <c r="U35" s="278"/>
    </row>
    <row r="36" spans="1:22">
      <c r="A36" s="37"/>
      <c r="B36" s="24"/>
      <c r="C36" s="24"/>
      <c r="D36" s="24"/>
      <c r="E36" s="24"/>
      <c r="F36" s="24"/>
      <c r="I36" s="224">
        <f t="shared" si="13"/>
        <v>43344</v>
      </c>
      <c r="J36" s="58"/>
      <c r="K36" s="278">
        <v>166948.099047</v>
      </c>
      <c r="L36" s="278">
        <v>167365.65717955917</v>
      </c>
      <c r="M36" s="278">
        <f t="shared" si="14"/>
        <v>417.55813255917747</v>
      </c>
      <c r="N36" s="278"/>
      <c r="O36" s="278">
        <v>111133.23430900001</v>
      </c>
      <c r="P36" s="278">
        <v>111273.21318395511</v>
      </c>
      <c r="Q36" s="278">
        <f t="shared" si="15"/>
        <v>139.97887495510804</v>
      </c>
      <c r="R36" s="278"/>
      <c r="S36" s="278"/>
      <c r="T36" s="278"/>
      <c r="U36" s="278"/>
    </row>
    <row r="37" spans="1:22">
      <c r="A37" s="67"/>
      <c r="B37" s="68"/>
      <c r="C37" s="68"/>
      <c r="D37" s="68"/>
      <c r="E37" s="69"/>
      <c r="F37" s="70"/>
      <c r="I37" s="224">
        <f t="shared" si="13"/>
        <v>43374</v>
      </c>
      <c r="J37" s="58"/>
      <c r="K37" s="278">
        <v>155888.47705199997</v>
      </c>
      <c r="L37" s="278">
        <v>156091.67504748559</v>
      </c>
      <c r="M37" s="278">
        <f t="shared" si="14"/>
        <v>203.1979954856215</v>
      </c>
      <c r="N37" s="278"/>
      <c r="O37" s="278">
        <v>102939.77304099999</v>
      </c>
      <c r="P37" s="278">
        <v>103127.23784546841</v>
      </c>
      <c r="Q37" s="278">
        <f t="shared" si="15"/>
        <v>187.46480446841451</v>
      </c>
      <c r="R37" s="278"/>
      <c r="S37" s="278"/>
      <c r="T37" s="278"/>
      <c r="U37" s="278"/>
    </row>
    <row r="38" spans="1:22">
      <c r="A38" s="289"/>
      <c r="B38" s="68"/>
      <c r="C38" s="68"/>
      <c r="D38" s="68"/>
      <c r="E38" s="69"/>
      <c r="F38" s="71"/>
      <c r="I38" s="224">
        <f t="shared" si="13"/>
        <v>43405</v>
      </c>
      <c r="J38" s="58"/>
      <c r="K38" s="278">
        <v>146612.391519</v>
      </c>
      <c r="L38" s="278">
        <v>147218.77259765356</v>
      </c>
      <c r="M38" s="278">
        <f t="shared" si="14"/>
        <v>606.38107865356142</v>
      </c>
      <c r="N38" s="278"/>
      <c r="O38" s="278">
        <v>97852.071420000007</v>
      </c>
      <c r="P38" s="278">
        <v>98443.3776668059</v>
      </c>
      <c r="Q38" s="278">
        <f t="shared" si="15"/>
        <v>591.30624680589244</v>
      </c>
      <c r="R38" s="278"/>
      <c r="S38" s="278"/>
      <c r="T38" s="278"/>
      <c r="U38" s="278"/>
    </row>
    <row r="39" spans="1:22">
      <c r="A39" s="289"/>
      <c r="B39" s="68"/>
      <c r="C39" s="68"/>
      <c r="D39" s="68"/>
      <c r="E39" s="69"/>
      <c r="F39" s="66"/>
      <c r="I39" s="226">
        <f t="shared" si="13"/>
        <v>43435</v>
      </c>
      <c r="J39" s="167"/>
      <c r="K39" s="279">
        <v>160253.025692</v>
      </c>
      <c r="L39" s="279">
        <v>160951.69217687196</v>
      </c>
      <c r="M39" s="279">
        <f t="shared" si="14"/>
        <v>698.66648487196653</v>
      </c>
      <c r="N39" s="278"/>
      <c r="O39" s="279">
        <v>111404.95738000001</v>
      </c>
      <c r="P39" s="279">
        <v>112089.20411585415</v>
      </c>
      <c r="Q39" s="279">
        <f t="shared" si="15"/>
        <v>684.24673585414712</v>
      </c>
      <c r="R39" s="278"/>
      <c r="S39" s="279"/>
      <c r="T39" s="279"/>
      <c r="U39" s="279"/>
    </row>
    <row r="40" spans="1:22">
      <c r="A40" s="67"/>
      <c r="B40" s="68"/>
      <c r="C40" s="68"/>
      <c r="D40" s="68"/>
      <c r="E40" s="69"/>
      <c r="F40" s="65"/>
      <c r="I40" s="224" t="s">
        <v>19</v>
      </c>
      <c r="J40" s="58"/>
      <c r="K40" s="77">
        <f>SUM(K28:K39)</f>
        <v>1894780.1425289998</v>
      </c>
      <c r="L40" s="77">
        <f t="shared" ref="L40" si="16">SUM(L28:L39)</f>
        <v>1888238.0324315904</v>
      </c>
      <c r="M40" s="77">
        <f t="shared" ref="M40" si="17">SUM(M28:M39)</f>
        <v>-6542.1100974096917</v>
      </c>
      <c r="O40" s="77">
        <f>SUM(O28:O39)</f>
        <v>1297857.967837</v>
      </c>
      <c r="P40" s="77">
        <f t="shared" ref="P40" si="18">SUM(P28:P39)</f>
        <v>1297123.1970037755</v>
      </c>
      <c r="Q40" s="77">
        <f t="shared" ref="Q40" si="19">SUM(Q28:Q39)</f>
        <v>-734.77083322439285</v>
      </c>
      <c r="R40" s="77"/>
      <c r="S40" s="77"/>
      <c r="T40" s="77"/>
      <c r="U40" s="77"/>
    </row>
    <row r="41" spans="1:22">
      <c r="A41" s="290" t="str">
        <f ca="1">CELL("filename",$A$41)</f>
        <v>J:\GrpRevnu\PUBLIC\# 2019 GRC\Data Requests\Bench Requests\Bench Request No. 011 (proforma updates)\#RevReq-Attrition-COS-Bench-Request-011(R)\[NEW-PSE-WP-JAP03-ELEC-TEMP-ADJ-(2018CBR)-19GRC-06-2019.xlsx]Summary Sheet_ Pre Migration</v>
      </c>
      <c r="B41" s="68"/>
      <c r="C41" s="68"/>
      <c r="D41" s="68"/>
      <c r="E41" s="69"/>
      <c r="F41" s="70"/>
    </row>
    <row r="42" spans="1:22">
      <c r="A42" s="67"/>
      <c r="B42" s="68"/>
      <c r="C42" s="68"/>
      <c r="D42" s="68"/>
      <c r="E42" s="72"/>
      <c r="F42" s="66"/>
      <c r="J42" s="230"/>
      <c r="K42" s="228" t="s">
        <v>156</v>
      </c>
      <c r="L42" s="229"/>
      <c r="M42" s="229"/>
      <c r="O42" s="228" t="s">
        <v>125</v>
      </c>
      <c r="P42" s="229"/>
      <c r="Q42" s="229"/>
      <c r="R42" s="230"/>
      <c r="S42" s="228" t="s">
        <v>25</v>
      </c>
      <c r="T42" s="229"/>
      <c r="U42" s="229"/>
      <c r="V42" s="230"/>
    </row>
    <row r="43" spans="1:22">
      <c r="A43" s="67"/>
      <c r="B43" s="68"/>
      <c r="C43" s="68"/>
      <c r="D43" s="68"/>
      <c r="E43" s="72"/>
      <c r="F43" s="73"/>
      <c r="H43" s="55"/>
      <c r="J43" s="230"/>
      <c r="K43" s="231" t="s">
        <v>128</v>
      </c>
      <c r="L43" s="232"/>
      <c r="M43" s="232"/>
      <c r="O43" s="231" t="s">
        <v>126</v>
      </c>
      <c r="P43" s="232"/>
      <c r="Q43" s="232"/>
      <c r="R43" s="230"/>
      <c r="S43" s="231" t="s">
        <v>129</v>
      </c>
      <c r="T43" s="232"/>
      <c r="U43" s="232"/>
      <c r="V43" s="77"/>
    </row>
    <row r="44" spans="1:22">
      <c r="A44" s="67"/>
      <c r="B44" s="68"/>
      <c r="C44" s="68"/>
      <c r="D44" s="68"/>
      <c r="E44" s="72"/>
      <c r="F44" s="66"/>
      <c r="H44" s="55"/>
      <c r="I44" s="223" t="s">
        <v>55</v>
      </c>
      <c r="J44" s="24"/>
      <c r="K44" s="223" t="s">
        <v>110</v>
      </c>
      <c r="L44" s="223" t="s">
        <v>117</v>
      </c>
      <c r="M44" s="223" t="s">
        <v>118</v>
      </c>
      <c r="O44" s="223" t="s">
        <v>110</v>
      </c>
      <c r="P44" s="223" t="s">
        <v>117</v>
      </c>
      <c r="Q44" s="223" t="s">
        <v>118</v>
      </c>
      <c r="R44" s="24"/>
      <c r="S44" s="223" t="s">
        <v>110</v>
      </c>
      <c r="T44" s="223" t="s">
        <v>117</v>
      </c>
      <c r="U44" s="223" t="s">
        <v>118</v>
      </c>
      <c r="V44" s="24"/>
    </row>
    <row r="45" spans="1:22">
      <c r="A45" s="67"/>
      <c r="B45" s="68"/>
      <c r="C45" s="68"/>
      <c r="D45" s="68"/>
      <c r="E45" s="72"/>
      <c r="F45" s="65"/>
      <c r="I45" s="224">
        <f t="shared" ref="I45:I56" si="20">I28</f>
        <v>43101</v>
      </c>
      <c r="J45" s="77"/>
      <c r="K45" s="278">
        <f t="array" ref="K45:K56">TRANSPOSE('Actual Total Usage'!B28:M28)/1000</f>
        <v>45745.730302000004</v>
      </c>
      <c r="L45" s="278">
        <f t="array" ref="L45:L56">TRANSPOSE('Normalized Total Usage'!B28:M28)/1000</f>
        <v>46107.288461917502</v>
      </c>
      <c r="M45" s="278">
        <f>L45-K45</f>
        <v>361.55815991749841</v>
      </c>
      <c r="N45" s="278"/>
      <c r="O45" s="278">
        <f t="array" ref="O45:O56">TRANSPOSE('Actual Total Usage'!B29:M29)/1000</f>
        <v>14705.562185000001</v>
      </c>
      <c r="P45" s="278">
        <f t="array" ref="P45:P56">TRANSPOSE('Normalized Total Usage'!B29:M29)/1000</f>
        <v>16135.887624979556</v>
      </c>
      <c r="Q45" s="278">
        <f>P45-O45</f>
        <v>1430.3254399795551</v>
      </c>
      <c r="R45" s="278"/>
      <c r="S45" s="278">
        <f t="array" ref="S45:S56">TRANSPOSE('Actual Total Usage'!B30:M30)/1000</f>
        <v>997.46</v>
      </c>
      <c r="T45" s="278">
        <f t="array" ref="T45:T56">TRANSPOSE('Normalized Total Usage'!B30:M30)/1000</f>
        <v>1032.7449574701111</v>
      </c>
      <c r="U45" s="278">
        <f>T45-S45</f>
        <v>35.284957470111067</v>
      </c>
      <c r="V45" s="77"/>
    </row>
    <row r="46" spans="1:22">
      <c r="A46" s="67"/>
      <c r="B46" s="68"/>
      <c r="C46" s="68"/>
      <c r="D46" s="68"/>
      <c r="E46" s="74"/>
      <c r="F46" s="66"/>
      <c r="I46" s="224">
        <f t="shared" si="20"/>
        <v>43132</v>
      </c>
      <c r="J46" s="77"/>
      <c r="K46" s="278">
        <v>43929.830578000001</v>
      </c>
      <c r="L46" s="278">
        <v>43720.612311344004</v>
      </c>
      <c r="M46" s="278">
        <f t="shared" ref="M46:M56" si="21">L46-K46</f>
        <v>-209.21826665599656</v>
      </c>
      <c r="N46" s="278"/>
      <c r="O46" s="278">
        <v>13348.269554999999</v>
      </c>
      <c r="P46" s="278">
        <v>12488.203885918338</v>
      </c>
      <c r="Q46" s="278">
        <f t="shared" ref="Q46:Q56" si="22">P46-O46</f>
        <v>-860.06566908166133</v>
      </c>
      <c r="R46" s="278"/>
      <c r="S46" s="278">
        <v>897.14</v>
      </c>
      <c r="T46" s="278">
        <v>876.08520340055566</v>
      </c>
      <c r="U46" s="278">
        <f t="shared" ref="U46:U56" si="23">T46-S46</f>
        <v>-21.05479659944433</v>
      </c>
      <c r="V46" s="77"/>
    </row>
    <row r="47" spans="1:22">
      <c r="A47" s="67"/>
      <c r="B47" s="68"/>
      <c r="C47" s="68"/>
      <c r="D47" s="68"/>
      <c r="E47" s="72"/>
      <c r="F47" s="75"/>
      <c r="I47" s="224">
        <f t="shared" si="20"/>
        <v>43160</v>
      </c>
      <c r="J47" s="77"/>
      <c r="K47" s="278">
        <v>44503.265692999994</v>
      </c>
      <c r="L47" s="278">
        <v>44485.677911581333</v>
      </c>
      <c r="M47" s="278">
        <f t="shared" si="21"/>
        <v>-17.587781418660597</v>
      </c>
      <c r="N47" s="278"/>
      <c r="O47" s="278">
        <v>14774.1</v>
      </c>
      <c r="P47" s="278">
        <v>14883.732220817168</v>
      </c>
      <c r="Q47" s="278">
        <f t="shared" si="22"/>
        <v>109.63222081716776</v>
      </c>
      <c r="R47" s="278"/>
      <c r="S47" s="278">
        <v>943.66</v>
      </c>
      <c r="T47" s="278">
        <v>945.45442094594455</v>
      </c>
      <c r="U47" s="278">
        <f t="shared" si="23"/>
        <v>1.7944209459445801</v>
      </c>
      <c r="V47" s="77"/>
    </row>
    <row r="48" spans="1:22">
      <c r="A48" s="56"/>
      <c r="B48" s="34"/>
      <c r="C48" s="34"/>
      <c r="D48" s="34"/>
      <c r="E48" s="34"/>
      <c r="F48" s="34"/>
      <c r="I48" s="224">
        <f t="shared" si="20"/>
        <v>43191</v>
      </c>
      <c r="J48" s="77"/>
      <c r="K48" s="278">
        <v>42551.050405000002</v>
      </c>
      <c r="L48" s="278">
        <v>42613.773536296001</v>
      </c>
      <c r="M48" s="278">
        <f t="shared" si="21"/>
        <v>62.723131295999337</v>
      </c>
      <c r="N48" s="278"/>
      <c r="O48" s="278">
        <v>12167.918880000001</v>
      </c>
      <c r="P48" s="278">
        <v>12390.292650166386</v>
      </c>
      <c r="Q48" s="278">
        <f t="shared" si="22"/>
        <v>222.37377016638493</v>
      </c>
      <c r="R48" s="278"/>
      <c r="S48" s="278">
        <v>776.62</v>
      </c>
      <c r="T48" s="278">
        <v>785.21287370111099</v>
      </c>
      <c r="U48" s="278">
        <f t="shared" si="23"/>
        <v>8.5928737011109888</v>
      </c>
      <c r="V48" s="77"/>
    </row>
    <row r="49" spans="1:22">
      <c r="A49" s="56"/>
      <c r="B49" s="34"/>
      <c r="C49" s="34"/>
      <c r="D49" s="34"/>
      <c r="E49" s="34"/>
      <c r="F49" s="34"/>
      <c r="I49" s="224">
        <f t="shared" si="20"/>
        <v>43221</v>
      </c>
      <c r="J49" s="77"/>
      <c r="K49" s="278">
        <v>42098.019358999998</v>
      </c>
      <c r="L49" s="278">
        <v>42100.069489929774</v>
      </c>
      <c r="M49" s="278">
        <f t="shared" si="21"/>
        <v>2.0501309297760599</v>
      </c>
      <c r="N49" s="278"/>
      <c r="O49" s="278">
        <v>9528.3856850000011</v>
      </c>
      <c r="P49" s="278">
        <v>10114.283391297085</v>
      </c>
      <c r="Q49" s="278">
        <f t="shared" si="22"/>
        <v>585.89770629708437</v>
      </c>
      <c r="R49" s="278"/>
      <c r="S49" s="278">
        <v>591.08000000000004</v>
      </c>
      <c r="T49" s="278">
        <v>621.26287176566677</v>
      </c>
      <c r="U49" s="278">
        <f t="shared" si="23"/>
        <v>30.182871765666732</v>
      </c>
      <c r="V49" s="77"/>
    </row>
    <row r="50" spans="1:22">
      <c r="A50" s="56"/>
      <c r="B50" s="34"/>
      <c r="C50" s="34"/>
      <c r="D50" s="34"/>
      <c r="E50" s="34"/>
      <c r="F50" s="34"/>
      <c r="I50" s="224">
        <f t="shared" si="20"/>
        <v>43252</v>
      </c>
      <c r="J50" s="77"/>
      <c r="K50" s="278">
        <v>36454.394177000002</v>
      </c>
      <c r="L50" s="278">
        <v>36294.692301524447</v>
      </c>
      <c r="M50" s="278">
        <f t="shared" si="21"/>
        <v>-159.70187547555543</v>
      </c>
      <c r="N50" s="278"/>
      <c r="O50" s="278">
        <v>8207.9652699999988</v>
      </c>
      <c r="P50" s="278">
        <v>8171.7635611658325</v>
      </c>
      <c r="Q50" s="278">
        <f t="shared" si="22"/>
        <v>-36.201708834166311</v>
      </c>
      <c r="R50" s="278"/>
      <c r="S50" s="278">
        <v>387.72</v>
      </c>
      <c r="T50" s="278">
        <v>386.98584671727775</v>
      </c>
      <c r="U50" s="278">
        <f t="shared" si="23"/>
        <v>-0.73415328272227498</v>
      </c>
      <c r="V50" s="77"/>
    </row>
    <row r="51" spans="1:22">
      <c r="A51" s="56"/>
      <c r="B51" s="34"/>
      <c r="C51" s="34"/>
      <c r="D51" s="34"/>
      <c r="E51" s="34"/>
      <c r="F51" s="34"/>
      <c r="I51" s="224">
        <f t="shared" si="20"/>
        <v>43282</v>
      </c>
      <c r="J51" s="77"/>
      <c r="K51" s="278">
        <v>48717.375324000001</v>
      </c>
      <c r="L51" s="278">
        <v>47324.977012712297</v>
      </c>
      <c r="M51" s="278">
        <f t="shared" si="21"/>
        <v>-1392.3983112877031</v>
      </c>
      <c r="N51" s="278"/>
      <c r="O51" s="278">
        <v>6333.3257949999997</v>
      </c>
      <c r="P51" s="278">
        <v>6020.139461885834</v>
      </c>
      <c r="Q51" s="278">
        <f t="shared" si="22"/>
        <v>-313.18633311416579</v>
      </c>
      <c r="R51" s="278"/>
      <c r="S51" s="278">
        <v>316.26</v>
      </c>
      <c r="T51" s="278">
        <v>309.90873145594446</v>
      </c>
      <c r="U51" s="278">
        <f t="shared" si="23"/>
        <v>-6.3512685440555288</v>
      </c>
      <c r="V51" s="77"/>
    </row>
    <row r="52" spans="1:22">
      <c r="A52" s="56"/>
      <c r="B52" s="34"/>
      <c r="C52" s="34"/>
      <c r="D52" s="34"/>
      <c r="E52" s="34"/>
      <c r="F52" s="34"/>
      <c r="I52" s="224">
        <f t="shared" si="20"/>
        <v>43313</v>
      </c>
      <c r="J52" s="77"/>
      <c r="K52" s="278">
        <v>46696.152519000003</v>
      </c>
      <c r="L52" s="278">
        <v>45964.898204942088</v>
      </c>
      <c r="M52" s="278">
        <f t="shared" si="21"/>
        <v>-731.2543140579146</v>
      </c>
      <c r="N52" s="278"/>
      <c r="O52" s="278">
        <v>5565.0993349999999</v>
      </c>
      <c r="P52" s="278">
        <v>5401.6825063993338</v>
      </c>
      <c r="Q52" s="278">
        <f t="shared" si="22"/>
        <v>-163.41682860066612</v>
      </c>
      <c r="R52" s="278"/>
      <c r="S52" s="278">
        <v>285.14</v>
      </c>
      <c r="T52" s="278">
        <v>281.80446555922219</v>
      </c>
      <c r="U52" s="278">
        <f t="shared" si="23"/>
        <v>-3.335534440777792</v>
      </c>
      <c r="V52" s="77"/>
    </row>
    <row r="53" spans="1:22">
      <c r="I53" s="224">
        <f t="shared" si="20"/>
        <v>43344</v>
      </c>
      <c r="J53" s="77"/>
      <c r="K53" s="278">
        <v>43379.395791000003</v>
      </c>
      <c r="L53" s="278">
        <v>43491.15682938083</v>
      </c>
      <c r="M53" s="278">
        <f t="shared" si="21"/>
        <v>111.76103838082781</v>
      </c>
      <c r="N53" s="278"/>
      <c r="O53" s="278">
        <v>5746.4796399999996</v>
      </c>
      <c r="P53" s="278">
        <v>5771.4554030173331</v>
      </c>
      <c r="Q53" s="278">
        <f t="shared" si="22"/>
        <v>24.97576301733352</v>
      </c>
      <c r="R53" s="278"/>
      <c r="S53" s="278">
        <v>298.26</v>
      </c>
      <c r="T53" s="278">
        <v>298.76978542688892</v>
      </c>
      <c r="U53" s="278">
        <f t="shared" si="23"/>
        <v>0.50978542688892503</v>
      </c>
      <c r="V53" s="77"/>
    </row>
    <row r="54" spans="1:22">
      <c r="I54" s="224">
        <f t="shared" si="20"/>
        <v>43374</v>
      </c>
      <c r="J54" s="77"/>
      <c r="K54" s="278">
        <v>35046.087943999999</v>
      </c>
      <c r="L54" s="278">
        <v>35159.125522603252</v>
      </c>
      <c r="M54" s="278">
        <f t="shared" si="21"/>
        <v>113.03757860325277</v>
      </c>
      <c r="N54" s="278"/>
      <c r="O54" s="278">
        <v>7995.505725</v>
      </c>
      <c r="P54" s="278">
        <v>8125.2624549187503</v>
      </c>
      <c r="Q54" s="278">
        <f t="shared" si="22"/>
        <v>129.75672991875035</v>
      </c>
      <c r="R54" s="278"/>
      <c r="S54" s="278">
        <v>353.44</v>
      </c>
      <c r="T54" s="278">
        <v>358.75634137555562</v>
      </c>
      <c r="U54" s="278">
        <f t="shared" si="23"/>
        <v>5.3163413755556235</v>
      </c>
      <c r="V54" s="77"/>
    </row>
    <row r="55" spans="1:22">
      <c r="I55" s="224">
        <f t="shared" si="20"/>
        <v>43405</v>
      </c>
      <c r="J55" s="77"/>
      <c r="K55" s="278">
        <v>47156.353951999998</v>
      </c>
      <c r="L55" s="278">
        <v>47479.767463204873</v>
      </c>
      <c r="M55" s="278">
        <f t="shared" si="21"/>
        <v>323.41351120487525</v>
      </c>
      <c r="N55" s="278"/>
      <c r="O55" s="278">
        <v>9194.1588350000002</v>
      </c>
      <c r="P55" s="278">
        <v>10099.571836292311</v>
      </c>
      <c r="Q55" s="278">
        <f t="shared" si="22"/>
        <v>905.41300129231058</v>
      </c>
      <c r="R55" s="278"/>
      <c r="S55" s="278">
        <v>515.476</v>
      </c>
      <c r="T55" s="278">
        <v>543.74843733811099</v>
      </c>
      <c r="U55" s="278">
        <f t="shared" si="23"/>
        <v>28.27243733811099</v>
      </c>
      <c r="V55" s="77"/>
    </row>
    <row r="56" spans="1:22">
      <c r="I56" s="226">
        <f t="shared" si="20"/>
        <v>43435</v>
      </c>
      <c r="J56" s="77"/>
      <c r="K56" s="279">
        <v>42267.793201</v>
      </c>
      <c r="L56" s="279">
        <v>42620.91433806975</v>
      </c>
      <c r="M56" s="279">
        <f t="shared" si="21"/>
        <v>353.12113706974924</v>
      </c>
      <c r="N56" s="278"/>
      <c r="O56" s="279">
        <v>12572.569045</v>
      </c>
      <c r="P56" s="279">
        <v>13941.74482969275</v>
      </c>
      <c r="Q56" s="279">
        <f t="shared" si="22"/>
        <v>1369.1757846927503</v>
      </c>
      <c r="R56" s="278"/>
      <c r="S56" s="279">
        <v>768.62400000000002</v>
      </c>
      <c r="T56" s="279">
        <v>803.57154918188905</v>
      </c>
      <c r="U56" s="279">
        <f t="shared" si="23"/>
        <v>34.94754918188903</v>
      </c>
      <c r="V56" s="77"/>
    </row>
    <row r="57" spans="1:22">
      <c r="I57" s="224" t="s">
        <v>19</v>
      </c>
      <c r="J57" s="77"/>
      <c r="K57" s="77">
        <f>SUM(K45:K56)</f>
        <v>518545.44924500003</v>
      </c>
      <c r="L57" s="77">
        <f t="shared" ref="L57" si="24">SUM(L45:L56)</f>
        <v>517362.9533835061</v>
      </c>
      <c r="M57" s="77">
        <f t="shared" ref="M57" si="25">SUM(M45:M56)</f>
        <v>-1182.4958614938514</v>
      </c>
      <c r="O57" s="77">
        <f>SUM(O45:O56)</f>
        <v>120139.33994999999</v>
      </c>
      <c r="P57" s="77">
        <f t="shared" ref="P57" si="26">SUM(P45:P56)</f>
        <v>123544.01982655066</v>
      </c>
      <c r="Q57" s="77">
        <f t="shared" ref="Q57" si="27">SUM(Q45:Q56)</f>
        <v>3404.6798765506774</v>
      </c>
      <c r="R57" s="77"/>
      <c r="S57" s="77">
        <f>SUM(S45:S56)</f>
        <v>7130.88</v>
      </c>
      <c r="T57" s="77">
        <f t="shared" ref="T57" si="28">SUM(T45:T56)</f>
        <v>7244.3054843382797</v>
      </c>
      <c r="U57" s="77">
        <f t="shared" ref="U57" si="29">SUM(U45:U56)</f>
        <v>113.42548433827801</v>
      </c>
      <c r="V57" s="77"/>
    </row>
    <row r="59" spans="1:22">
      <c r="K59" s="228"/>
      <c r="L59" s="229"/>
      <c r="M59" s="229"/>
    </row>
    <row r="60" spans="1:22">
      <c r="K60" s="231" t="s">
        <v>19</v>
      </c>
      <c r="L60" s="232"/>
      <c r="M60" s="232"/>
    </row>
    <row r="61" spans="1:22">
      <c r="I61" s="223" t="s">
        <v>55</v>
      </c>
      <c r="K61" s="223" t="s">
        <v>110</v>
      </c>
      <c r="L61" s="223" t="s">
        <v>117</v>
      </c>
      <c r="M61" s="223" t="s">
        <v>118</v>
      </c>
    </row>
    <row r="62" spans="1:22">
      <c r="I62" s="224">
        <f t="shared" ref="I62:I73" si="30">I45</f>
        <v>43101</v>
      </c>
      <c r="K62" s="278">
        <f>K11+O11+S11+K28+O28+S28+K45+O45+S45</f>
        <v>2117768.5025340002</v>
      </c>
      <c r="L62" s="278">
        <f t="shared" ref="L62:M73" si="31">L11+P11+T11+L28+P28+T28+L45+P45+T45</f>
        <v>2211605.012732021</v>
      </c>
      <c r="M62" s="278">
        <f t="shared" si="31"/>
        <v>93836.510198020987</v>
      </c>
    </row>
    <row r="63" spans="1:22">
      <c r="I63" s="224">
        <f t="shared" si="30"/>
        <v>43132</v>
      </c>
      <c r="K63" s="278">
        <f t="shared" ref="K63:K73" si="32">K12+O12+S12+K29+O29+S29+K46+O46+S46</f>
        <v>1966820.0160199997</v>
      </c>
      <c r="L63" s="278">
        <f t="shared" si="31"/>
        <v>1910362.6419264954</v>
      </c>
      <c r="M63" s="278">
        <f t="shared" si="31"/>
        <v>-56457.374093504288</v>
      </c>
    </row>
    <row r="64" spans="1:22">
      <c r="I64" s="224">
        <f t="shared" si="30"/>
        <v>43160</v>
      </c>
      <c r="K64" s="278">
        <f t="shared" si="32"/>
        <v>1943634.1962669999</v>
      </c>
      <c r="L64" s="278">
        <f t="shared" si="31"/>
        <v>1949460.3565087842</v>
      </c>
      <c r="M64" s="278">
        <f t="shared" si="31"/>
        <v>5826.1602417846198</v>
      </c>
    </row>
    <row r="65" spans="9:13">
      <c r="I65" s="224">
        <f t="shared" si="30"/>
        <v>43191</v>
      </c>
      <c r="K65" s="278">
        <f t="shared" si="32"/>
        <v>1699164.0921280002</v>
      </c>
      <c r="L65" s="278">
        <f t="shared" si="31"/>
        <v>1718136.0180731821</v>
      </c>
      <c r="M65" s="278">
        <f t="shared" si="31"/>
        <v>18971.925945182025</v>
      </c>
    </row>
    <row r="66" spans="9:13">
      <c r="I66" s="224">
        <f t="shared" si="30"/>
        <v>43221</v>
      </c>
      <c r="K66" s="278">
        <f t="shared" si="32"/>
        <v>1490892.22456</v>
      </c>
      <c r="L66" s="278">
        <f t="shared" si="31"/>
        <v>1542507.0703846563</v>
      </c>
      <c r="M66" s="278">
        <f t="shared" si="31"/>
        <v>51614.8458246562</v>
      </c>
    </row>
    <row r="67" spans="9:13">
      <c r="I67" s="224">
        <f t="shared" si="30"/>
        <v>43252</v>
      </c>
      <c r="K67" s="278">
        <f t="shared" si="32"/>
        <v>1402796.9882709999</v>
      </c>
      <c r="L67" s="278">
        <f t="shared" si="31"/>
        <v>1393796.2647921755</v>
      </c>
      <c r="M67" s="278">
        <f t="shared" si="31"/>
        <v>-9000.7234788244496</v>
      </c>
    </row>
    <row r="68" spans="9:13">
      <c r="I68" s="224">
        <f t="shared" si="30"/>
        <v>43282</v>
      </c>
      <c r="K68" s="278">
        <f t="shared" si="32"/>
        <v>1444305.0947399999</v>
      </c>
      <c r="L68" s="278">
        <f t="shared" si="31"/>
        <v>1366445.6154333428</v>
      </c>
      <c r="M68" s="278">
        <f t="shared" si="31"/>
        <v>-77859.479306657173</v>
      </c>
    </row>
    <row r="69" spans="9:13">
      <c r="I69" s="224">
        <f t="shared" si="30"/>
        <v>43313</v>
      </c>
      <c r="K69" s="278">
        <f t="shared" si="32"/>
        <v>1582213.5502459996</v>
      </c>
      <c r="L69" s="278">
        <f t="shared" si="31"/>
        <v>1541279.5864041082</v>
      </c>
      <c r="M69" s="278">
        <f t="shared" si="31"/>
        <v>-40933.963841891644</v>
      </c>
    </row>
    <row r="70" spans="9:13">
      <c r="I70" s="224">
        <f t="shared" si="30"/>
        <v>43344</v>
      </c>
      <c r="K70" s="278">
        <f t="shared" si="32"/>
        <v>1463713.5253280001</v>
      </c>
      <c r="L70" s="278">
        <f t="shared" si="31"/>
        <v>1469977.7426955875</v>
      </c>
      <c r="M70" s="278">
        <f t="shared" si="31"/>
        <v>6264.2173675874428</v>
      </c>
    </row>
    <row r="71" spans="9:13">
      <c r="I71" s="224">
        <f t="shared" si="30"/>
        <v>43374</v>
      </c>
      <c r="K71" s="278">
        <f t="shared" si="32"/>
        <v>1419110.7906479998</v>
      </c>
      <c r="L71" s="278">
        <f t="shared" si="31"/>
        <v>1431038.0517473032</v>
      </c>
      <c r="M71" s="278">
        <f t="shared" si="31"/>
        <v>11927.261099303245</v>
      </c>
    </row>
    <row r="72" spans="9:13">
      <c r="I72" s="224">
        <f t="shared" si="30"/>
        <v>43405</v>
      </c>
      <c r="K72" s="278">
        <f t="shared" si="32"/>
        <v>1590358.4836039999</v>
      </c>
      <c r="L72" s="278">
        <f t="shared" si="31"/>
        <v>1659759.6181684327</v>
      </c>
      <c r="M72" s="278">
        <f t="shared" si="31"/>
        <v>69401.134564432912</v>
      </c>
    </row>
    <row r="73" spans="9:13">
      <c r="I73" s="226">
        <f t="shared" si="30"/>
        <v>43435</v>
      </c>
      <c r="K73" s="279">
        <f t="shared" si="32"/>
        <v>1912905.1378720002</v>
      </c>
      <c r="L73" s="279">
        <f t="shared" si="31"/>
        <v>2006770.8585626192</v>
      </c>
      <c r="M73" s="279">
        <f t="shared" si="31"/>
        <v>93865.720690619448</v>
      </c>
    </row>
    <row r="74" spans="9:13">
      <c r="I74" s="224" t="s">
        <v>19</v>
      </c>
      <c r="K74" s="77">
        <f>SUM(K62:K73)</f>
        <v>20033682.602218002</v>
      </c>
      <c r="L74" s="77">
        <f t="shared" ref="L74" si="33">SUM(L62:L73)</f>
        <v>20201138.837428708</v>
      </c>
      <c r="M74" s="77">
        <f t="shared" ref="M74" si="34">SUM(M62:M73)</f>
        <v>167456.23521070933</v>
      </c>
    </row>
  </sheetData>
  <mergeCells count="2">
    <mergeCell ref="I5:U5"/>
    <mergeCell ref="I6:U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workbookViewId="0">
      <selection activeCell="C8" sqref="C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 Pre Migration'!B12</f>
        <v>43101</v>
      </c>
      <c r="D5" s="21">
        <f>'Summary Sheet_ Pre Migration'!B13</f>
        <v>43132</v>
      </c>
      <c r="E5" s="21">
        <f>'Summary Sheet_ Pre Migration'!B14</f>
        <v>43160</v>
      </c>
      <c r="F5" s="21">
        <f>'Summary Sheet_ Pre Migration'!B15</f>
        <v>43191</v>
      </c>
      <c r="G5" s="21">
        <f>'Summary Sheet_ Pre Migration'!B16</f>
        <v>43221</v>
      </c>
      <c r="H5" s="21">
        <f>'Summary Sheet_ Pre Migration'!B17</f>
        <v>43252</v>
      </c>
      <c r="I5" s="21">
        <f>'Summary Sheet_ Pre Migration'!B18</f>
        <v>43282</v>
      </c>
      <c r="J5" s="21">
        <f>'Summary Sheet_ Pre Migration'!B19</f>
        <v>43313</v>
      </c>
      <c r="K5" s="21">
        <f>'Summary Sheet_ Pre Migration'!B20</f>
        <v>43344</v>
      </c>
      <c r="L5" s="21">
        <f>'Summary Sheet_ Pre Migration'!B21</f>
        <v>43374</v>
      </c>
      <c r="M5" s="21">
        <f>'Summary Sheet_ Pre Migration'!B22</f>
        <v>43405</v>
      </c>
      <c r="N5" s="21">
        <f>'Summary Sheet_ Pre Migration'!B23</f>
        <v>43435</v>
      </c>
    </row>
    <row r="6" spans="1:14" s="5" customFormat="1">
      <c r="A6" s="14"/>
      <c r="B6" s="15"/>
      <c r="C6" s="281"/>
      <c r="D6" s="16"/>
      <c r="E6" s="16"/>
      <c r="F6" s="16"/>
      <c r="G6" s="16"/>
      <c r="H6" s="16"/>
      <c r="I6" s="16"/>
      <c r="J6" s="16"/>
      <c r="K6" s="16"/>
      <c r="L6" s="16"/>
      <c r="M6" s="16"/>
      <c r="N6" s="17"/>
    </row>
    <row r="7" spans="1:14">
      <c r="A7" s="405" t="s">
        <v>209</v>
      </c>
      <c r="B7" s="7"/>
      <c r="C7" s="282"/>
      <c r="D7" s="7"/>
      <c r="E7" s="7"/>
      <c r="F7" s="7"/>
      <c r="G7" s="7"/>
      <c r="H7" s="7"/>
      <c r="I7" s="7"/>
      <c r="J7" s="7"/>
      <c r="K7" s="7"/>
      <c r="L7" s="7"/>
      <c r="M7" s="7"/>
      <c r="N7" s="8"/>
    </row>
    <row r="8" spans="1:14">
      <c r="A8" s="9" t="s">
        <v>0</v>
      </c>
      <c r="B8" s="18">
        <f>SUM(C8:N8)</f>
        <v>163135972.98435408</v>
      </c>
      <c r="C8" s="283">
        <f>'Temp Adj. by Schedule'!B9</f>
        <v>74793782.059039772</v>
      </c>
      <c r="D8" s="22">
        <f>'Temp Adj. by Schedule'!C9</f>
        <v>-44869101.567900084</v>
      </c>
      <c r="E8" s="22">
        <f>'Temp Adj. by Schedule'!D9</f>
        <v>4394677.0337621355</v>
      </c>
      <c r="F8" s="22">
        <f>'Temp Adj. by Schedule'!E9</f>
        <v>16344914.743105689</v>
      </c>
      <c r="G8" s="22">
        <f>'Temp Adj. by Schedule'!F9</f>
        <v>49052692.87684124</v>
      </c>
      <c r="H8" s="22">
        <f>'Temp Adj. by Schedule'!G9</f>
        <v>-5826662.2558389846</v>
      </c>
      <c r="I8" s="22">
        <f>'Temp Adj. by Schedule'!H9</f>
        <v>-50428483.718085885</v>
      </c>
      <c r="J8" s="22">
        <f>'Temp Adj. by Schedule'!I9</f>
        <v>-26511573.558548819</v>
      </c>
      <c r="K8" s="22">
        <f>'Temp Adj. by Schedule'!J9</f>
        <v>4058904.9878357491</v>
      </c>
      <c r="L8" s="22">
        <f>'Temp Adj. by Schedule'!K9</f>
        <v>10084461.026951266</v>
      </c>
      <c r="M8" s="22">
        <f>'Temp Adj. by Schedule'!L9</f>
        <v>57210928.578655943</v>
      </c>
      <c r="N8" s="99">
        <f>'Temp Adj. by Schedule'!M9</f>
        <v>74831432.778536066</v>
      </c>
    </row>
    <row r="9" spans="1:14">
      <c r="A9" s="336" t="s">
        <v>157</v>
      </c>
      <c r="B9" s="18">
        <f t="shared" ref="B9:B16" si="0">SUM(C9:N9)</f>
        <v>9996659.2913328111</v>
      </c>
      <c r="C9" s="283">
        <f>'Temp Adj. by Schedule'!B13</f>
        <v>9648006.5379497018</v>
      </c>
      <c r="D9" s="22">
        <f>'Temp Adj. by Schedule'!C13</f>
        <v>-5854297.7586477567</v>
      </c>
      <c r="E9" s="22">
        <f>'Temp Adj. by Schedule'!D13</f>
        <v>764048.6490169249</v>
      </c>
      <c r="F9" s="22">
        <f>'Temp Adj. by Schedule'!E13</f>
        <v>1465850.9536826147</v>
      </c>
      <c r="G9" s="22">
        <f>'Temp Adj. by Schedule'!F13</f>
        <v>2594788.8926159521</v>
      </c>
      <c r="H9" s="22">
        <f>'Temp Adj. by Schedule'!G13</f>
        <v>-1129433.2699031665</v>
      </c>
      <c r="I9" s="22">
        <f>'Temp Adj. by Schedule'!H13</f>
        <v>-9779238.4775610268</v>
      </c>
      <c r="J9" s="22">
        <f>'Temp Adj. by Schedule'!I13</f>
        <v>-5142202.4394185636</v>
      </c>
      <c r="K9" s="22">
        <f>'Temp Adj. by Schedule'!J13</f>
        <v>787006.53333190619</v>
      </c>
      <c r="L9" s="22">
        <f>'Temp Adj. by Schedule'!K13</f>
        <v>867631.69402734027</v>
      </c>
      <c r="M9" s="22">
        <f>'Temp Adj. by Schedule'!L13</f>
        <v>6221169.3149877535</v>
      </c>
      <c r="N9" s="99">
        <f>'Temp Adj. by Schedule'!M13</f>
        <v>9553328.6612511296</v>
      </c>
    </row>
    <row r="10" spans="1:14">
      <c r="A10" s="336" t="s">
        <v>160</v>
      </c>
      <c r="B10" s="18">
        <f t="shared" si="0"/>
        <v>-735125.63373911753</v>
      </c>
      <c r="C10" s="283">
        <f>'Temp Adj. by Schedule'!B17</f>
        <v>6200648.2670657504</v>
      </c>
      <c r="D10" s="22">
        <f>'Temp Adj. by Schedule'!C17</f>
        <v>-3840088.3200373966</v>
      </c>
      <c r="E10" s="22">
        <f>'Temp Adj. by Schedule'!D17</f>
        <v>611054.77475189045</v>
      </c>
      <c r="F10" s="22">
        <f>'Temp Adj. by Schedule'!E17</f>
        <v>623653.4056490208</v>
      </c>
      <c r="G10" s="22">
        <f>'Temp Adj. by Schedule'!F17</f>
        <v>-457585.35339677241</v>
      </c>
      <c r="H10" s="22">
        <f>'Temp Adj. by Schedule'!G17</f>
        <v>-1045546.5002948691</v>
      </c>
      <c r="I10" s="22">
        <f>'Temp Adj. by Schedule'!H17</f>
        <v>-9009850.6025060937</v>
      </c>
      <c r="J10" s="22">
        <f>'Temp Adj. by Schedule'!I17</f>
        <v>-4732380.4401801089</v>
      </c>
      <c r="K10" s="22">
        <f>'Temp Adj. by Schedule'!J17</f>
        <v>723522.25208045007</v>
      </c>
      <c r="L10" s="22">
        <f>'Temp Adj. by Schedule'!K17</f>
        <v>336394.92847293185</v>
      </c>
      <c r="M10" s="22">
        <f>'Temp Adj. by Schedule'!L17</f>
        <v>3514250.3954943591</v>
      </c>
      <c r="N10" s="99">
        <f>'Temp Adj. by Schedule'!M17</f>
        <v>6340801.5591617208</v>
      </c>
    </row>
    <row r="11" spans="1:14">
      <c r="A11" s="336" t="s">
        <v>158</v>
      </c>
      <c r="B11" s="18">
        <f t="shared" si="0"/>
        <v>-6542110.0974097066</v>
      </c>
      <c r="C11" s="283">
        <f>'Temp Adj. by Schedule'!B21</f>
        <v>679213.36609008501</v>
      </c>
      <c r="D11" s="22">
        <f>'Temp Adj. by Schedule'!C21</f>
        <v>-398660.55893778708</v>
      </c>
      <c r="E11" s="22">
        <f>'Temp Adj. by Schedule'!D21</f>
        <v>-20532.040685098458</v>
      </c>
      <c r="F11" s="22">
        <f>'Temp Adj. by Schedule'!E21</f>
        <v>120648.27683686078</v>
      </c>
      <c r="G11" s="22">
        <f>'Temp Adj. by Schedule'!F21</f>
        <v>-337383.12550102995</v>
      </c>
      <c r="H11" s="22">
        <f>'Temp Adj. by Schedule'!G21</f>
        <v>-600052.83034256997</v>
      </c>
      <c r="I11" s="22">
        <f>'Temp Adj. by Schedule'!H21</f>
        <v>-5179057.1408083569</v>
      </c>
      <c r="J11" s="22">
        <f>'Temp Adj. by Schedule'!I21</f>
        <v>-2732089.7356320741</v>
      </c>
      <c r="K11" s="22">
        <f>'Temp Adj. by Schedule'!J21</f>
        <v>417558.13255916996</v>
      </c>
      <c r="L11" s="22">
        <f>'Temp Adj. by Schedule'!K21</f>
        <v>203197.99548558885</v>
      </c>
      <c r="M11" s="22">
        <f>'Temp Adj. by Schedule'!L21</f>
        <v>606381.07865356631</v>
      </c>
      <c r="N11" s="99">
        <f>'Temp Adj. by Schedule'!M21</f>
        <v>698666.48487193778</v>
      </c>
    </row>
    <row r="12" spans="1:14">
      <c r="A12" s="9" t="s">
        <v>4</v>
      </c>
      <c r="B12" s="18">
        <f t="shared" si="0"/>
        <v>0</v>
      </c>
      <c r="C12" s="283">
        <f>'Temp Adj. by Schedule'!B27</f>
        <v>0</v>
      </c>
      <c r="D12" s="22">
        <f>'Temp Adj. by Schedule'!C27</f>
        <v>0</v>
      </c>
      <c r="E12" s="22">
        <f>'Temp Adj. by Schedule'!D27</f>
        <v>0</v>
      </c>
      <c r="F12" s="22">
        <f>'Temp Adj. by Schedule'!E27</f>
        <v>0</v>
      </c>
      <c r="G12" s="22">
        <f>'Temp Adj. by Schedule'!F27</f>
        <v>0</v>
      </c>
      <c r="H12" s="22">
        <f>'Temp Adj. by Schedule'!G27</f>
        <v>0</v>
      </c>
      <c r="I12" s="22">
        <f>'Temp Adj. by Schedule'!H27</f>
        <v>0</v>
      </c>
      <c r="J12" s="22">
        <f>'Temp Adj. by Schedule'!I27</f>
        <v>0</v>
      </c>
      <c r="K12" s="22">
        <f>'Temp Adj. by Schedule'!J27</f>
        <v>0</v>
      </c>
      <c r="L12" s="22">
        <f>'Temp Adj. by Schedule'!K27</f>
        <v>0</v>
      </c>
      <c r="M12" s="22">
        <f>'Temp Adj. by Schedule'!L27</f>
        <v>0</v>
      </c>
      <c r="N12" s="99">
        <f>'Temp Adj. by Schedule'!M27</f>
        <v>0</v>
      </c>
    </row>
    <row r="13" spans="1:14">
      <c r="A13" s="336" t="s">
        <v>159</v>
      </c>
      <c r="B13" s="18">
        <f t="shared" si="0"/>
        <v>-734770.83322440018</v>
      </c>
      <c r="C13" s="283">
        <f>'Temp Adj. by Schedule'!B25</f>
        <v>687691.41050827946</v>
      </c>
      <c r="D13" s="22">
        <f>'Temp Adj. by Schedule'!C25</f>
        <v>-404887.15564418997</v>
      </c>
      <c r="E13" s="22">
        <f>'Temp Adj. by Schedule'!D25</f>
        <v>-16927.035405762348</v>
      </c>
      <c r="F13" s="22">
        <f>'Temp Adj. by Schedule'!E25</f>
        <v>123168.79074438846</v>
      </c>
      <c r="G13" s="22">
        <f>'Temp Adj. by Schedule'!F25</f>
        <v>144201.82510433369</v>
      </c>
      <c r="H13" s="22">
        <f>'Temp Adj. by Schedule'!G25</f>
        <v>-202390.88485247246</v>
      </c>
      <c r="I13" s="22">
        <f>'Temp Adj. by Schedule'!H25</f>
        <v>-1750913.4547497996</v>
      </c>
      <c r="J13" s="22">
        <f>'Temp Adj. by Schedule'!I25</f>
        <v>-917710.99101274693</v>
      </c>
      <c r="K13" s="22">
        <f>'Temp Adj. by Schedule'!J25</f>
        <v>139978.87495511223</v>
      </c>
      <c r="L13" s="22">
        <f>'Temp Adj. by Schedule'!K25</f>
        <v>187464.80446841667</v>
      </c>
      <c r="M13" s="22">
        <f>'Temp Adj. by Schedule'!L25</f>
        <v>591306.24680589803</v>
      </c>
      <c r="N13" s="99">
        <f>'Temp Adj. by Schedule'!M25</f>
        <v>684246.73585414304</v>
      </c>
    </row>
    <row r="14" spans="1:14">
      <c r="A14" s="10" t="s">
        <v>22</v>
      </c>
      <c r="B14" s="18">
        <f t="shared" si="0"/>
        <v>-1182495.8614938441</v>
      </c>
      <c r="C14" s="283">
        <f>'Temp Adj. by Schedule'!B28</f>
        <v>361558.15991750103</v>
      </c>
      <c r="D14" s="22">
        <f>'Temp Adj. by Schedule'!C28</f>
        <v>-209218.26665599737</v>
      </c>
      <c r="E14" s="22">
        <f>'Temp Adj. by Schedule'!D28</f>
        <v>-17587.781418665792</v>
      </c>
      <c r="F14" s="22">
        <f>'Temp Adj. by Schedule'!E28</f>
        <v>62723.131295999978</v>
      </c>
      <c r="G14" s="22">
        <f>'Temp Adj. by Schedule'!F28</f>
        <v>2050.1309297779226</v>
      </c>
      <c r="H14" s="22">
        <f>'Temp Adj. by Schedule'!G28</f>
        <v>-159701.87547555572</v>
      </c>
      <c r="I14" s="22">
        <f>'Temp Adj. by Schedule'!H28</f>
        <v>-1392398.3112877035</v>
      </c>
      <c r="J14" s="22">
        <f>'Temp Adj. by Schedule'!I28</f>
        <v>-731254.31405791431</v>
      </c>
      <c r="K14" s="22">
        <f>'Temp Adj. by Schedule'!J28</f>
        <v>111761.03838083422</v>
      </c>
      <c r="L14" s="22">
        <f>'Temp Adj. by Schedule'!K28</f>
        <v>113037.5786032499</v>
      </c>
      <c r="M14" s="22">
        <f>'Temp Adj. by Schedule'!L28</f>
        <v>323413.51120487665</v>
      </c>
      <c r="N14" s="99">
        <f>'Temp Adj. by Schedule'!M28</f>
        <v>353121.13706975261</v>
      </c>
    </row>
    <row r="15" spans="1:14">
      <c r="A15" s="9" t="s">
        <v>7</v>
      </c>
      <c r="B15" s="18">
        <f>SUM(C15:N15)</f>
        <v>3404679.8765506782</v>
      </c>
      <c r="C15" s="283">
        <f>'Temp Adj. by Schedule'!B29</f>
        <v>1430325.4399795551</v>
      </c>
      <c r="D15" s="22">
        <f>'Temp Adj. by Schedule'!C29</f>
        <v>-860065.66908166162</v>
      </c>
      <c r="E15" s="22">
        <f>'Temp Adj. by Schedule'!D29</f>
        <v>109632.22081716802</v>
      </c>
      <c r="F15" s="22">
        <f>'Temp Adj. by Schedule'!E29</f>
        <v>222373.77016638598</v>
      </c>
      <c r="G15" s="22">
        <f>'Temp Adj. by Schedule'!F29</f>
        <v>585897.70629708446</v>
      </c>
      <c r="H15" s="22">
        <f>'Temp Adj. by Schedule'!G29</f>
        <v>-36201.708834166704</v>
      </c>
      <c r="I15" s="22">
        <f>'Temp Adj. by Schedule'!H29</f>
        <v>-313186.33311416558</v>
      </c>
      <c r="J15" s="22">
        <f>'Temp Adj. by Schedule'!I29</f>
        <v>-163416.82860066614</v>
      </c>
      <c r="K15" s="22">
        <f>'Temp Adj. by Schedule'!J29</f>
        <v>24975.763017333527</v>
      </c>
      <c r="L15" s="22">
        <f>'Temp Adj. by Schedule'!K29</f>
        <v>129756.72991875105</v>
      </c>
      <c r="M15" s="22">
        <f>'Temp Adj. by Schedule'!L29</f>
        <v>905413.00129230996</v>
      </c>
      <c r="N15" s="99">
        <f>'Temp Adj. by Schedule'!M29</f>
        <v>1369175.7846927503</v>
      </c>
    </row>
    <row r="16" spans="1:14">
      <c r="A16" s="10" t="s">
        <v>8</v>
      </c>
      <c r="B16" s="18">
        <f t="shared" si="0"/>
        <v>113425.48433827792</v>
      </c>
      <c r="C16" s="283">
        <f>'Temp Adj. by Schedule'!B30</f>
        <v>35284.957470111127</v>
      </c>
      <c r="D16" s="22">
        <f>'Temp Adj. by Schedule'!C30</f>
        <v>-21054.796599444351</v>
      </c>
      <c r="E16" s="22">
        <f>'Temp Adj. by Schedule'!D30</f>
        <v>1794.4209459445283</v>
      </c>
      <c r="F16" s="22">
        <f>'Temp Adj. by Schedule'!E30</f>
        <v>8592.8737011109679</v>
      </c>
      <c r="G16" s="22">
        <f>'Temp Adj. by Schedule'!F30</f>
        <v>30182.871765666721</v>
      </c>
      <c r="H16" s="22">
        <f>'Temp Adj. by Schedule'!G30</f>
        <v>-734.15328272222303</v>
      </c>
      <c r="I16" s="22">
        <f>'Temp Adj. by Schedule'!H30</f>
        <v>-6351.2685440555333</v>
      </c>
      <c r="J16" s="22">
        <f>'Temp Adj. by Schedule'!I30</f>
        <v>-3335.5344407777666</v>
      </c>
      <c r="K16" s="22">
        <f>'Temp Adj. by Schedule'!J30</f>
        <v>509.78542688889291</v>
      </c>
      <c r="L16" s="22">
        <f>'Temp Adj. by Schedule'!K30</f>
        <v>5316.3413755556103</v>
      </c>
      <c r="M16" s="22">
        <f>'Temp Adj. by Schedule'!L30</f>
        <v>28272.437338110976</v>
      </c>
      <c r="N16" s="99">
        <f>'Temp Adj. by Schedule'!M30</f>
        <v>34947.549181888993</v>
      </c>
    </row>
    <row r="17" spans="1:15">
      <c r="A17" s="6"/>
      <c r="B17" s="19"/>
      <c r="C17" s="6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20"/>
    </row>
    <row r="18" spans="1:15">
      <c r="A18" s="6" t="s">
        <v>9</v>
      </c>
      <c r="B18" s="7">
        <f t="shared" ref="B18:N18" si="1">SUM(B8:B17)</f>
        <v>167456235.2107088</v>
      </c>
      <c r="C18" s="282">
        <f t="shared" si="1"/>
        <v>93836510.198020741</v>
      </c>
      <c r="D18" s="7">
        <f t="shared" si="1"/>
        <v>-56457374.093504317</v>
      </c>
      <c r="E18" s="7">
        <f t="shared" si="1"/>
        <v>5826160.2417845363</v>
      </c>
      <c r="F18" s="7">
        <f t="shared" si="1"/>
        <v>18971925.94518207</v>
      </c>
      <c r="G18" s="7">
        <f t="shared" si="1"/>
        <v>51614845.824656248</v>
      </c>
      <c r="H18" s="7">
        <f t="shared" si="1"/>
        <v>-9000723.4788245074</v>
      </c>
      <c r="I18" s="7">
        <f t="shared" si="1"/>
        <v>-77859479.306657091</v>
      </c>
      <c r="J18" s="7">
        <f t="shared" si="1"/>
        <v>-40933963.841891676</v>
      </c>
      <c r="K18" s="7">
        <f t="shared" si="1"/>
        <v>6264217.3675874434</v>
      </c>
      <c r="L18" s="7">
        <f t="shared" si="1"/>
        <v>11927261.099303102</v>
      </c>
      <c r="M18" s="7">
        <f t="shared" si="1"/>
        <v>69401134.564432815</v>
      </c>
      <c r="N18" s="8">
        <f t="shared" si="1"/>
        <v>93865720.690619394</v>
      </c>
    </row>
    <row r="19" spans="1:15">
      <c r="A19" s="6"/>
      <c r="B19" s="19"/>
      <c r="C19" s="11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5"/>
    </row>
    <row r="20" spans="1:15">
      <c r="C20" s="158"/>
    </row>
    <row r="21" spans="1:15">
      <c r="A21" s="272"/>
      <c r="B21" s="30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30"/>
    </row>
    <row r="22" spans="1:15">
      <c r="A22" s="272"/>
      <c r="B22" s="30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1:15">
      <c r="A23" s="344"/>
      <c r="B23" s="342"/>
      <c r="C23" s="343"/>
      <c r="D23" s="343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1:15">
      <c r="A24" s="344"/>
      <c r="B24" s="18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</row>
    <row r="25" spans="1:15">
      <c r="A25" s="270"/>
      <c r="B25" s="18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1:15">
      <c r="A26" s="270"/>
      <c r="B26" s="18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1:15">
      <c r="A27" s="269"/>
      <c r="B27" s="1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</row>
    <row r="28" spans="1:15">
      <c r="A28" s="270"/>
      <c r="B28" s="18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</row>
    <row r="29" spans="1:15">
      <c r="A29" s="270"/>
      <c r="B29" s="18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</row>
    <row r="30" spans="1:15">
      <c r="A30" s="269"/>
      <c r="B30" s="18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</row>
    <row r="31" spans="1:15">
      <c r="A31" s="269"/>
      <c r="B31" s="18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</row>
    <row r="32" spans="1:15">
      <c r="A32" s="269"/>
      <c r="B32" s="1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</row>
    <row r="33" spans="1:14">
      <c r="A33" s="270"/>
      <c r="B33" s="1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</row>
    <row r="34" spans="1:14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</row>
    <row r="35" spans="1:14"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</row>
    <row r="36" spans="1:14"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</row>
  </sheetData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99A99E-EDA9-4841-930C-EDB7ACD2FB48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255BBE74-9C50-4502-8824-EB1F7BFE96ED}"/>
</file>

<file path=customXml/itemProps3.xml><?xml version="1.0" encoding="utf-8"?>
<ds:datastoreItem xmlns:ds="http://schemas.openxmlformats.org/officeDocument/2006/customXml" ds:itemID="{92C8FF9B-71E6-4332-9EF2-20767F957886}"/>
</file>

<file path=customXml/itemProps4.xml><?xml version="1.0" encoding="utf-8"?>
<ds:datastoreItem xmlns:ds="http://schemas.openxmlformats.org/officeDocument/2006/customXml" ds:itemID="{38F07544-0A94-4FB4-93A4-6862F4E7A344}"/>
</file>

<file path=customXml/itemProps5.xml><?xml version="1.0" encoding="utf-8"?>
<ds:datastoreItem xmlns:ds="http://schemas.openxmlformats.org/officeDocument/2006/customXml" ds:itemID="{3F71F030-2419-436D-AEDA-8FDD40891A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Summary Sheet</vt:lpstr>
      <vt:lpstr>Sales &amp; Revenue Adj.</vt:lpstr>
      <vt:lpstr>Tables 1 - 3</vt:lpstr>
      <vt:lpstr>Summary Sheet_SC_Migrated</vt:lpstr>
      <vt:lpstr>Sales Adj._SCMigrated</vt:lpstr>
      <vt:lpstr>Sch 40 Migration Weather Adj.</vt:lpstr>
      <vt:lpstr>Sch 40 Migration kWh</vt:lpstr>
      <vt:lpstr>Summary Sheet_ Pre Migration</vt:lpstr>
      <vt:lpstr>Sales Adj. load only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Puget Sound Energy</cp:lastModifiedBy>
  <cp:lastPrinted>2015-04-28T19:11:31Z</cp:lastPrinted>
  <dcterms:created xsi:type="dcterms:W3CDTF">2004-05-04T16:51:38Z</dcterms:created>
  <dcterms:modified xsi:type="dcterms:W3CDTF">2020-02-28T21:24:00Z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