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0" yWindow="0" windowWidth="19200" windowHeight="5976" firstSheet="9" activeTab="15"/>
  </bookViews>
  <sheets>
    <sheet name="Exh. 29 p1" sheetId="13" r:id="rId1"/>
    <sheet name="Exh. 29 p2" sheetId="14" r:id="rId2"/>
    <sheet name="Exh. 29 p3" sheetId="15" r:id="rId3"/>
    <sheet name="BGM Tables" sheetId="3" r:id="rId4"/>
    <sheet name="AWEC 38 2018 no ARC" sheetId="1" r:id="rId5"/>
    <sheet name="AWEC 34 2019 w ARC" sheetId="2" r:id="rId6"/>
    <sheet name="AWEC 36 Mtzd PTCs" sheetId="10" r:id="rId7"/>
    <sheet name="AWEC 46 Total PTCs" sheetId="9" r:id="rId8"/>
    <sheet name="AWEC 49 PSE Int Tab 1" sheetId="11" r:id="rId9"/>
    <sheet name="AWEC 49 PSE Int Tab 2" sheetId="12" r:id="rId10"/>
    <sheet name="Summary - 1065" sheetId="4" r:id="rId11"/>
    <sheet name="Supports =&gt;" sheetId="5" r:id="rId12"/>
    <sheet name="1065" sheetId="6" r:id="rId13"/>
    <sheet name="PP" sheetId="7" r:id="rId14"/>
    <sheet name="ARO 12-2017" sheetId="8" r:id="rId15"/>
    <sheet name="Colstrip Depn Update" sheetId="16" r:id="rId16"/>
  </sheet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Jun09">" BS!$AI$7:$AI$1643"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ECURRENT" hidden="1">#N/A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www1" hidden="1">{#N/A,#N/A,FALSE,"schA"}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{"Plat Summary",#N/A,FALSE,"PLAT DESIGN"}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1" hidden="1">{#N/A,#N/A,FALSE,"Coversheet";#N/A,#N/A,FALSE,"QA"}</definedName>
    <definedName name="Delete21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TATISTICS_CODE">"STAT_TBL"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7">'AWEC 46 Total PTCs'!$A$1:$I$10</definedName>
    <definedName name="_xlnm.Print_Area" localSheetId="8">'AWEC 49 PSE Int Tab 1'!$A$1:$G$16</definedName>
    <definedName name="_xlnm.Print_Area" localSheetId="9">'AWEC 49 PSE Int Tab 2'!$A$1:$J$11</definedName>
    <definedName name="_xlnm.Print_Area" localSheetId="15">'Colstrip Depn Update'!$A$1:$U$61</definedName>
    <definedName name="_xlnm.Print_Titles" localSheetId="15">'Colstrip Depn Update'!$1:$12</definedName>
    <definedName name="q" hidden="1">{#N/A,#N/A,FALSE,"Coversheet";#N/A,#N/A,FALSE,"QA"}</definedName>
    <definedName name="qqq" hidden="1">{#N/A,#N/A,FALSE,"schA"}</definedName>
    <definedName name="SAPBEXhrIndnt">"Wide"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ummary" hidden="1">{"Plat Summary",#N/A,FALSE,"PLAT DESIGN"}</definedName>
    <definedName name="TableName">"Dummy"</definedName>
    <definedName name="tem" hidden="1">{#N/A,#N/A,FALSE,"Summ";#N/A,#N/A,FALSE,"General"}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ECR." hidden="1">{#N/A,#N/A,FALSE,"schA"}</definedName>
    <definedName name="wrn.Fundamental2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3" l="1"/>
  <c r="Q50" i="16"/>
  <c r="S50" i="16" s="1"/>
  <c r="O50" i="16"/>
  <c r="M50" i="16"/>
  <c r="K50" i="16"/>
  <c r="Q42" i="16"/>
  <c r="O42" i="16"/>
  <c r="U42" i="16" s="1"/>
  <c r="M42" i="16"/>
  <c r="K42" i="16"/>
  <c r="S42" i="16" s="1"/>
  <c r="Q35" i="16"/>
  <c r="U35" i="16" s="1"/>
  <c r="O35" i="16"/>
  <c r="M35" i="16"/>
  <c r="K35" i="16"/>
  <c r="U29" i="16"/>
  <c r="Q29" i="16"/>
  <c r="O29" i="16"/>
  <c r="M29" i="16"/>
  <c r="M52" i="16" s="1"/>
  <c r="K29" i="16"/>
  <c r="Q22" i="16"/>
  <c r="O22" i="16"/>
  <c r="M22" i="16"/>
  <c r="M56" i="16" s="1"/>
  <c r="K22" i="16"/>
  <c r="Q56" i="16" l="1"/>
  <c r="O56" i="16"/>
  <c r="S35" i="16"/>
  <c r="K52" i="16"/>
  <c r="K56" i="16" s="1"/>
  <c r="O52" i="16"/>
  <c r="Q52" i="16"/>
  <c r="S52" i="16" s="1"/>
  <c r="S22" i="16"/>
  <c r="U22" i="16"/>
  <c r="U50" i="16"/>
  <c r="S29" i="16"/>
  <c r="E22" i="15"/>
  <c r="E22" i="14"/>
  <c r="A24" i="15"/>
  <c r="A23" i="15"/>
  <c r="A22" i="15"/>
  <c r="A21" i="15"/>
  <c r="A24" i="14"/>
  <c r="A23" i="14"/>
  <c r="A22" i="14"/>
  <c r="A21" i="14"/>
  <c r="A10" i="15" l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10" i="13"/>
  <c r="A11" i="13" s="1"/>
  <c r="A12" i="13" s="1"/>
  <c r="A13" i="13" s="1"/>
  <c r="A25" i="15" l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10" i="14"/>
  <c r="A14" i="13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11" i="14" l="1"/>
  <c r="A12" i="14" s="1"/>
  <c r="A13" i="14" s="1"/>
  <c r="A14" i="14" s="1"/>
  <c r="A15" i="14" s="1"/>
  <c r="A16" i="14" s="1"/>
  <c r="A17" i="14" s="1"/>
  <c r="A18" i="14" s="1"/>
  <c r="A19" i="14" s="1"/>
  <c r="A20" i="14" s="1"/>
  <c r="D24" i="14"/>
  <c r="D26" i="14" s="1"/>
  <c r="E26" i="14" s="1"/>
  <c r="A25" i="14" l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C45" i="15" l="1"/>
  <c r="C46" i="15" s="1"/>
  <c r="E46" i="15" s="1"/>
  <c r="C44" i="15"/>
  <c r="E44" i="15" s="1"/>
  <c r="D43" i="15"/>
  <c r="D20" i="15" s="1"/>
  <c r="C43" i="15"/>
  <c r="C39" i="15"/>
  <c r="D39" i="15" s="1"/>
  <c r="E39" i="15" s="1"/>
  <c r="C38" i="15"/>
  <c r="D38" i="15" s="1"/>
  <c r="E38" i="15" s="1"/>
  <c r="C37" i="15"/>
  <c r="C40" i="15" s="1"/>
  <c r="C24" i="15"/>
  <c r="C18" i="15"/>
  <c r="C45" i="14"/>
  <c r="C46" i="14" s="1"/>
  <c r="E46" i="14" s="1"/>
  <c r="C44" i="14"/>
  <c r="E44" i="14" s="1"/>
  <c r="D43" i="14"/>
  <c r="C43" i="14"/>
  <c r="C39" i="14"/>
  <c r="D39" i="14" s="1"/>
  <c r="E39" i="14" s="1"/>
  <c r="C38" i="14"/>
  <c r="D38" i="14" s="1"/>
  <c r="E38" i="14" s="1"/>
  <c r="C37" i="14"/>
  <c r="D37" i="14" s="1"/>
  <c r="E37" i="14" s="1"/>
  <c r="C24" i="14"/>
  <c r="E24" i="14" s="1"/>
  <c r="C18" i="14"/>
  <c r="D24" i="15" l="1"/>
  <c r="D26" i="15" s="1"/>
  <c r="D45" i="14"/>
  <c r="D22" i="14" s="1"/>
  <c r="D32" i="14" s="1"/>
  <c r="E32" i="14" s="1"/>
  <c r="D20" i="14"/>
  <c r="D31" i="14" s="1"/>
  <c r="D37" i="15"/>
  <c r="D40" i="15" s="1"/>
  <c r="D18" i="15" s="1"/>
  <c r="C40" i="14"/>
  <c r="E45" i="14"/>
  <c r="E43" i="15"/>
  <c r="E18" i="15"/>
  <c r="D45" i="15"/>
  <c r="C47" i="15"/>
  <c r="C20" i="15" s="1"/>
  <c r="C31" i="15" s="1"/>
  <c r="E40" i="14"/>
  <c r="D40" i="14"/>
  <c r="D18" i="14" s="1"/>
  <c r="D28" i="14" s="1"/>
  <c r="E43" i="14"/>
  <c r="C47" i="14"/>
  <c r="C20" i="14" s="1"/>
  <c r="C31" i="14" s="1"/>
  <c r="D47" i="14"/>
  <c r="E45" i="15" l="1"/>
  <c r="E47" i="15" s="1"/>
  <c r="D22" i="15"/>
  <c r="D28" i="15"/>
  <c r="E26" i="15"/>
  <c r="E47" i="14"/>
  <c r="E37" i="15"/>
  <c r="E40" i="15" s="1"/>
  <c r="D47" i="15"/>
  <c r="E24" i="15" s="1"/>
  <c r="C28" i="15"/>
  <c r="E20" i="14"/>
  <c r="E31" i="14"/>
  <c r="E18" i="14"/>
  <c r="C28" i="14"/>
  <c r="B24" i="2"/>
  <c r="B23" i="2"/>
  <c r="B22" i="2"/>
  <c r="D32" i="15" l="1"/>
  <c r="E32" i="15" s="1"/>
  <c r="D31" i="15"/>
  <c r="E31" i="15" s="1"/>
  <c r="E20" i="15"/>
  <c r="E28" i="15" s="1"/>
  <c r="E28" i="14"/>
  <c r="D39" i="13"/>
  <c r="D41" i="13" s="1"/>
  <c r="C41" i="13"/>
  <c r="C40" i="13"/>
  <c r="E40" i="13" s="1"/>
  <c r="C39" i="13"/>
  <c r="C35" i="13"/>
  <c r="C34" i="13"/>
  <c r="D34" i="13" s="1"/>
  <c r="E34" i="13" s="1"/>
  <c r="C33" i="13"/>
  <c r="D33" i="13" s="1"/>
  <c r="C22" i="13"/>
  <c r="C18" i="13"/>
  <c r="H95" i="3"/>
  <c r="E41" i="13" l="1"/>
  <c r="C42" i="13"/>
  <c r="E42" i="13" s="1"/>
  <c r="E39" i="13"/>
  <c r="D43" i="13"/>
  <c r="C36" i="13"/>
  <c r="E33" i="13"/>
  <c r="D35" i="13"/>
  <c r="E35" i="13" s="1"/>
  <c r="E43" i="13" l="1"/>
  <c r="D20" i="13"/>
  <c r="C43" i="13"/>
  <c r="C20" i="13" s="1"/>
  <c r="E36" i="13"/>
  <c r="D36" i="13"/>
  <c r="D18" i="13" s="1"/>
  <c r="C27" i="13" l="1"/>
  <c r="C24" i="13"/>
  <c r="D24" i="13"/>
  <c r="E20" i="13"/>
  <c r="E18" i="13"/>
  <c r="E22" i="13" l="1"/>
  <c r="E24" i="13" s="1"/>
  <c r="D27" i="13"/>
  <c r="E27" i="13" s="1"/>
  <c r="H23" i="3" l="1"/>
  <c r="I23" i="3" s="1"/>
  <c r="C11" i="11"/>
  <c r="C2" i="12" s="1"/>
  <c r="C5" i="11"/>
  <c r="C9" i="11" s="1"/>
  <c r="B6" i="12" l="1"/>
  <c r="B4" i="12"/>
  <c r="B7" i="12"/>
  <c r="B5" i="12"/>
  <c r="C6" i="12" s="1"/>
  <c r="C13" i="11"/>
  <c r="C4" i="12" l="1"/>
  <c r="C5" i="12"/>
  <c r="C7" i="12"/>
  <c r="C8" i="12" l="1"/>
  <c r="H22" i="3" l="1"/>
  <c r="G22" i="3"/>
  <c r="I21" i="3"/>
  <c r="H21" i="3"/>
  <c r="G21" i="3"/>
  <c r="F21" i="3"/>
  <c r="I22" i="3" l="1"/>
  <c r="J10" i="9"/>
  <c r="J9" i="9"/>
  <c r="J8" i="9"/>
  <c r="F55" i="3"/>
  <c r="F41" i="3" l="1"/>
  <c r="F36" i="3"/>
  <c r="F37" i="3" s="1"/>
  <c r="F38" i="3" s="1"/>
  <c r="G36" i="3" l="1"/>
  <c r="H36" i="3"/>
  <c r="F42" i="3"/>
  <c r="F43" i="3" s="1"/>
  <c r="F44" i="3" s="1"/>
  <c r="F39" i="3"/>
  <c r="G38" i="3"/>
  <c r="G37" i="3"/>
  <c r="G10" i="9"/>
  <c r="I10" i="9" s="1"/>
  <c r="E10" i="9"/>
  <c r="E9" i="9"/>
  <c r="G9" i="9" s="1"/>
  <c r="I9" i="9" s="1"/>
  <c r="E8" i="9"/>
  <c r="G8" i="9" s="1"/>
  <c r="I8" i="9" s="1"/>
  <c r="E7" i="9"/>
  <c r="G7" i="9" s="1"/>
  <c r="I7" i="9" s="1"/>
  <c r="H37" i="3" l="1"/>
  <c r="H38" i="3" s="1"/>
  <c r="G39" i="3"/>
  <c r="G41" i="3" s="1"/>
  <c r="H41" i="3" s="1"/>
  <c r="D42" i="3" s="1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67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67" i="4" s="1"/>
  <c r="O5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L33" i="4"/>
  <c r="E33" i="4"/>
  <c r="H32" i="4"/>
  <c r="F32" i="4"/>
  <c r="L32" i="4" s="1"/>
  <c r="E32" i="4"/>
  <c r="I32" i="4" s="1"/>
  <c r="K32" i="4" s="1"/>
  <c r="C32" i="4"/>
  <c r="H31" i="4"/>
  <c r="L31" i="4" s="1"/>
  <c r="F31" i="4"/>
  <c r="E31" i="4"/>
  <c r="I31" i="4" s="1"/>
  <c r="K31" i="4" s="1"/>
  <c r="C31" i="4"/>
  <c r="I30" i="4"/>
  <c r="K30" i="4" s="1"/>
  <c r="H30" i="4"/>
  <c r="F30" i="4"/>
  <c r="E30" i="4"/>
  <c r="C30" i="4"/>
  <c r="H29" i="4"/>
  <c r="L29" i="4" s="1"/>
  <c r="F29" i="4"/>
  <c r="E29" i="4"/>
  <c r="I29" i="4" s="1"/>
  <c r="K29" i="4" s="1"/>
  <c r="C29" i="4"/>
  <c r="I28" i="4"/>
  <c r="K28" i="4" s="1"/>
  <c r="H28" i="4"/>
  <c r="F28" i="4"/>
  <c r="E28" i="4"/>
  <c r="C28" i="4"/>
  <c r="H27" i="4"/>
  <c r="F27" i="4"/>
  <c r="E27" i="4"/>
  <c r="I27" i="4" s="1"/>
  <c r="K27" i="4" s="1"/>
  <c r="C27" i="4"/>
  <c r="I26" i="4"/>
  <c r="K26" i="4" s="1"/>
  <c r="H26" i="4"/>
  <c r="F26" i="4"/>
  <c r="L26" i="4" s="1"/>
  <c r="E26" i="4"/>
  <c r="C26" i="4"/>
  <c r="H25" i="4"/>
  <c r="F25" i="4"/>
  <c r="E25" i="4"/>
  <c r="I25" i="4" s="1"/>
  <c r="K25" i="4" s="1"/>
  <c r="C25" i="4"/>
  <c r="L24" i="4"/>
  <c r="I24" i="4"/>
  <c r="K24" i="4" s="1"/>
  <c r="H24" i="4"/>
  <c r="F24" i="4"/>
  <c r="E24" i="4"/>
  <c r="C24" i="4"/>
  <c r="H23" i="4"/>
  <c r="L23" i="4" s="1"/>
  <c r="F23" i="4"/>
  <c r="E23" i="4"/>
  <c r="I23" i="4" s="1"/>
  <c r="K23" i="4" s="1"/>
  <c r="C23" i="4"/>
  <c r="I22" i="4"/>
  <c r="K22" i="4" s="1"/>
  <c r="H22" i="4"/>
  <c r="F22" i="4"/>
  <c r="E22" i="4"/>
  <c r="C22" i="4"/>
  <c r="H21" i="4"/>
  <c r="F21" i="4"/>
  <c r="E21" i="4"/>
  <c r="I21" i="4" s="1"/>
  <c r="K21" i="4" s="1"/>
  <c r="C21" i="4"/>
  <c r="H20" i="4"/>
  <c r="F20" i="4"/>
  <c r="E20" i="4"/>
  <c r="I20" i="4" s="1"/>
  <c r="K20" i="4" s="1"/>
  <c r="C20" i="4"/>
  <c r="H19" i="4"/>
  <c r="F19" i="4"/>
  <c r="E19" i="4"/>
  <c r="I19" i="4" s="1"/>
  <c r="K19" i="4" s="1"/>
  <c r="C19" i="4"/>
  <c r="I18" i="4"/>
  <c r="K18" i="4" s="1"/>
  <c r="H18" i="4"/>
  <c r="F18" i="4"/>
  <c r="E18" i="4"/>
  <c r="C18" i="4"/>
  <c r="H17" i="4"/>
  <c r="F17" i="4"/>
  <c r="E17" i="4"/>
  <c r="I17" i="4" s="1"/>
  <c r="K17" i="4" s="1"/>
  <c r="C17" i="4"/>
  <c r="H16" i="4"/>
  <c r="F16" i="4"/>
  <c r="E16" i="4"/>
  <c r="I16" i="4" s="1"/>
  <c r="K16" i="4" s="1"/>
  <c r="C16" i="4"/>
  <c r="H15" i="4"/>
  <c r="F15" i="4"/>
  <c r="E15" i="4"/>
  <c r="I15" i="4" s="1"/>
  <c r="K15" i="4" s="1"/>
  <c r="C15" i="4"/>
  <c r="I14" i="4"/>
  <c r="K14" i="4" s="1"/>
  <c r="H14" i="4"/>
  <c r="L14" i="4" s="1"/>
  <c r="F14" i="4"/>
  <c r="E14" i="4"/>
  <c r="C14" i="4"/>
  <c r="H13" i="4"/>
  <c r="L13" i="4" s="1"/>
  <c r="F13" i="4"/>
  <c r="E13" i="4"/>
  <c r="I13" i="4" s="1"/>
  <c r="K13" i="4" s="1"/>
  <c r="C13" i="4"/>
  <c r="H12" i="4"/>
  <c r="F12" i="4"/>
  <c r="L12" i="4" s="1"/>
  <c r="E12" i="4"/>
  <c r="I12" i="4" s="1"/>
  <c r="K12" i="4" s="1"/>
  <c r="C12" i="4"/>
  <c r="H11" i="4"/>
  <c r="L11" i="4" s="1"/>
  <c r="F11" i="4"/>
  <c r="E11" i="4"/>
  <c r="I11" i="4" s="1"/>
  <c r="K11" i="4" s="1"/>
  <c r="C11" i="4"/>
  <c r="I10" i="4"/>
  <c r="K10" i="4" s="1"/>
  <c r="H10" i="4"/>
  <c r="L10" i="4" s="1"/>
  <c r="F10" i="4"/>
  <c r="E10" i="4"/>
  <c r="C10" i="4"/>
  <c r="H9" i="4"/>
  <c r="L9" i="4" s="1"/>
  <c r="F9" i="4"/>
  <c r="E9" i="4"/>
  <c r="I9" i="4" s="1"/>
  <c r="K9" i="4" s="1"/>
  <c r="C9" i="4"/>
  <c r="H8" i="4"/>
  <c r="F8" i="4"/>
  <c r="E8" i="4"/>
  <c r="I8" i="4" s="1"/>
  <c r="K8" i="4" s="1"/>
  <c r="C8" i="4"/>
  <c r="H7" i="4"/>
  <c r="F7" i="4"/>
  <c r="E7" i="4"/>
  <c r="I7" i="4" s="1"/>
  <c r="K7" i="4" s="1"/>
  <c r="C7" i="4"/>
  <c r="I6" i="4"/>
  <c r="K6" i="4" s="1"/>
  <c r="H6" i="4"/>
  <c r="F6" i="4"/>
  <c r="E6" i="4"/>
  <c r="C6" i="4"/>
  <c r="H5" i="4"/>
  <c r="F5" i="4"/>
  <c r="E5" i="4"/>
  <c r="C5" i="4"/>
  <c r="L4" i="4"/>
  <c r="H4" i="4"/>
  <c r="F4" i="4"/>
  <c r="F34" i="4" s="1"/>
  <c r="E4" i="4"/>
  <c r="E34" i="4" s="1"/>
  <c r="C4" i="4"/>
  <c r="G51" i="3" l="1"/>
  <c r="E42" i="3"/>
  <c r="H42" i="3" s="1"/>
  <c r="H39" i="3"/>
  <c r="F67" i="4"/>
  <c r="L16" i="4"/>
  <c r="L15" i="4"/>
  <c r="L17" i="4"/>
  <c r="L18" i="4"/>
  <c r="L20" i="4"/>
  <c r="L25" i="4"/>
  <c r="L28" i="4"/>
  <c r="L6" i="4"/>
  <c r="L8" i="4"/>
  <c r="L19" i="4"/>
  <c r="L21" i="4"/>
  <c r="L22" i="4"/>
  <c r="L27" i="4"/>
  <c r="L30" i="4"/>
  <c r="I5" i="4"/>
  <c r="K5" i="4" s="1"/>
  <c r="L5" i="4" s="1"/>
  <c r="L34" i="4" s="1"/>
  <c r="L7" i="4"/>
  <c r="I4" i="4"/>
  <c r="D43" i="3" l="1"/>
  <c r="E43" i="3" s="1"/>
  <c r="H43" i="3" s="1"/>
  <c r="K4" i="4"/>
  <c r="K34" i="4" s="1"/>
  <c r="I34" i="4"/>
  <c r="D44" i="3" l="1"/>
  <c r="E44" i="3" s="1"/>
  <c r="H44" i="3" s="1"/>
  <c r="I26" i="3"/>
  <c r="F46" i="3" s="1"/>
  <c r="F47" i="3" s="1"/>
  <c r="F48" i="3" s="1"/>
  <c r="F51" i="3" s="1"/>
  <c r="H26" i="3"/>
  <c r="G26" i="3"/>
  <c r="F24" i="3"/>
  <c r="G24" i="3"/>
  <c r="H24" i="3"/>
  <c r="I24" i="3"/>
  <c r="L8" i="3"/>
  <c r="G9" i="3"/>
  <c r="G8" i="3"/>
  <c r="G7" i="3"/>
  <c r="B16" i="2"/>
  <c r="L7" i="3" s="1"/>
  <c r="D46" i="3" l="1"/>
  <c r="E46" i="3" s="1"/>
  <c r="H46" i="3" s="1"/>
  <c r="G10" i="3"/>
  <c r="H86" i="3" s="1"/>
  <c r="L9" i="3"/>
  <c r="L11" i="3" s="1"/>
  <c r="H88" i="3" s="1"/>
  <c r="D19" i="1"/>
  <c r="D9" i="1"/>
  <c r="D29" i="1"/>
  <c r="D69" i="3" l="1"/>
  <c r="D47" i="3"/>
  <c r="E47" i="3" s="1"/>
  <c r="H47" i="3"/>
  <c r="D48" i="3" s="1"/>
  <c r="E48" i="3" s="1"/>
  <c r="H48" i="3" s="1"/>
  <c r="E43" i="1"/>
  <c r="D43" i="1"/>
  <c r="E38" i="1"/>
  <c r="D38" i="1"/>
  <c r="E26" i="1"/>
  <c r="D26" i="1"/>
  <c r="E16" i="1"/>
  <c r="D16" i="1"/>
  <c r="D72" i="3" l="1"/>
  <c r="D49" i="3"/>
  <c r="E49" i="3" s="1"/>
  <c r="H49" i="3" s="1"/>
  <c r="F56" i="3" s="1"/>
  <c r="F57" i="3" s="1"/>
  <c r="D39" i="1"/>
  <c r="E39" i="1"/>
  <c r="E51" i="3" l="1"/>
  <c r="H51" i="3" l="1"/>
  <c r="H90" i="3" s="1"/>
  <c r="H92" i="3" s="1"/>
  <c r="E69" i="3" l="1"/>
  <c r="F69" i="3"/>
  <c r="F70" i="3" l="1"/>
  <c r="G70" i="3" s="1"/>
  <c r="H70" i="3" s="1"/>
  <c r="G69" i="3"/>
  <c r="E72" i="3"/>
  <c r="G72" i="3" l="1"/>
  <c r="H69" i="3"/>
  <c r="H72" i="3" s="1"/>
  <c r="F72" i="3"/>
  <c r="H93" i="3" l="1"/>
  <c r="D29" i="14"/>
  <c r="D9" i="14" s="1"/>
  <c r="D13" i="14" s="1"/>
  <c r="D29" i="15"/>
  <c r="D25" i="13"/>
  <c r="D9" i="13" l="1"/>
  <c r="D13" i="13" s="1"/>
  <c r="D9" i="15"/>
  <c r="D13" i="15" s="1"/>
  <c r="C25" i="13"/>
  <c r="E25" i="13" s="1"/>
  <c r="C29" i="15"/>
  <c r="E29" i="15" s="1"/>
  <c r="C29" i="14"/>
  <c r="E29" i="14" s="1"/>
</calcChain>
</file>

<file path=xl/comments1.xml><?xml version="1.0" encoding="utf-8"?>
<comments xmlns="http://schemas.openxmlformats.org/spreadsheetml/2006/main">
  <authors>
    <author>Jason Wang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Jason Wang:</t>
        </r>
        <r>
          <rPr>
            <sz val="9"/>
            <color indexed="81"/>
            <rFont val="Tahoma"/>
            <family val="2"/>
          </rPr>
          <t xml:space="preserve">
Depr PSE 1065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Jason Wang:</t>
        </r>
        <r>
          <rPr>
            <sz val="9"/>
            <color indexed="81"/>
            <rFont val="Tahoma"/>
            <family val="2"/>
          </rPr>
          <t xml:space="preserve">
Depr PSE 1065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Jason Wang:</t>
        </r>
        <r>
          <rPr>
            <sz val="9"/>
            <color indexed="81"/>
            <rFont val="Tahoma"/>
            <family val="2"/>
          </rPr>
          <t xml:space="preserve">
Depr PSE 1065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Jason Wang:</t>
        </r>
        <r>
          <rPr>
            <sz val="9"/>
            <color indexed="81"/>
            <rFont val="Tahoma"/>
            <family val="2"/>
          </rPr>
          <t xml:space="preserve">
PP Asset# 76110</t>
        </r>
      </text>
    </comment>
  </commentList>
</comments>
</file>

<file path=xl/sharedStrings.xml><?xml version="1.0" encoding="utf-8"?>
<sst xmlns="http://schemas.openxmlformats.org/spreadsheetml/2006/main" count="809" uniqueCount="427">
  <si>
    <t xml:space="preserve"> Colstrip 1</t>
  </si>
  <si>
    <t xml:space="preserve"> Colstrip 1-2 Com</t>
  </si>
  <si>
    <t xml:space="preserve"> Colstrip 2</t>
  </si>
  <si>
    <t>E310 STM Land</t>
  </si>
  <si>
    <t>E311 STM Str/Impv</t>
  </si>
  <si>
    <t>E312 STM Boiler</t>
  </si>
  <si>
    <t>E314 STM Turbogen</t>
  </si>
  <si>
    <t>E315 STM Accessory</t>
  </si>
  <si>
    <t>E316 STM Misc</t>
  </si>
  <si>
    <t>E392 GEN Trans Equip</t>
  </si>
  <si>
    <t>E3940 GEN Tools</t>
  </si>
  <si>
    <t>E396 GEN Power-Op Equip</t>
  </si>
  <si>
    <t>E3970 GEN CommEq</t>
  </si>
  <si>
    <t>Plant</t>
  </si>
  <si>
    <t>FERC Account</t>
  </si>
  <si>
    <t>Gross Plant EOP</t>
  </si>
  <si>
    <t>Accum Depr EOP</t>
  </si>
  <si>
    <t>Subtotal Colstrip 1</t>
  </si>
  <si>
    <t>Subtotal Colstrip 2</t>
  </si>
  <si>
    <t>Subtotal Colstrip 1-2 Com</t>
  </si>
  <si>
    <t>Total Colstrip 1,2, 1-2 Com</t>
  </si>
  <si>
    <t xml:space="preserve"> Colstrip 1-4 Com *</t>
  </si>
  <si>
    <t>Total Colstrip 1-4 Com *</t>
  </si>
  <si>
    <t>Puget Sound Energy</t>
  </si>
  <si>
    <t>Colstrip 1 and 2 Rate Base</t>
  </si>
  <si>
    <t>End of Period December 31, 2018</t>
  </si>
  <si>
    <t>Response to AWEC DR 38</t>
  </si>
  <si>
    <t>Accum Deferred</t>
  </si>
  <si>
    <t>Income Tax EOP Dec-18</t>
  </si>
  <si>
    <t>Net Treasury Grant</t>
  </si>
  <si>
    <t>RCW 80.84 EOP Dec-18</t>
  </si>
  <si>
    <t>* The allocation of Colstrip 1-4 Common has not yet determined</t>
  </si>
  <si>
    <t>E35099 (GIF) Easement</t>
  </si>
  <si>
    <t>E3539 (GIF) Sta Eq</t>
  </si>
  <si>
    <t>E3549 (GIF) Twr/Fixt</t>
  </si>
  <si>
    <t>E3559 (GIF) Poles</t>
  </si>
  <si>
    <t>E3569 (GIF) O/H Cond</t>
  </si>
  <si>
    <t>Balance</t>
  </si>
  <si>
    <t>E311 (Structures and improvements)</t>
  </si>
  <si>
    <t>E312 (Boiler plant equipment)</t>
  </si>
  <si>
    <t>E314 (Turbogenerator units)</t>
  </si>
  <si>
    <t>E315 (Accessory electric equipment)</t>
  </si>
  <si>
    <t>E316 (Miscellaneous power plant equipment</t>
  </si>
  <si>
    <t>E317 (Asset retirement costs for steam production plant)</t>
  </si>
  <si>
    <t>E350 (Land and land rights)</t>
  </si>
  <si>
    <t>E353 (Station equipment)</t>
  </si>
  <si>
    <t>E354 (Towers and fixtures)</t>
  </si>
  <si>
    <t>E355 (Poles and fixtures)</t>
  </si>
  <si>
    <t>E356 (Overhead conductors and devices)</t>
  </si>
  <si>
    <t>E392 (Transportation equipment)</t>
  </si>
  <si>
    <t>E394 (Tools, shop and garage equipment)</t>
  </si>
  <si>
    <t>E396 (Power operated equipment)</t>
  </si>
  <si>
    <t>Total</t>
  </si>
  <si>
    <t>TABLE 2</t>
  </si>
  <si>
    <t>Colstrip Units 1-2 Rate Base Amounts Included in Initial Filing</t>
  </si>
  <si>
    <t>Per AWEC DR 38 (Whole Dollars)</t>
  </si>
  <si>
    <t>Gross Plant</t>
  </si>
  <si>
    <t>Accum. Depr.</t>
  </si>
  <si>
    <t>ADFIT</t>
  </si>
  <si>
    <t>Total Rate Base</t>
  </si>
  <si>
    <t>TABLE 3</t>
  </si>
  <si>
    <t>Colstrip Units 1 and 2 Expected Unrecovered Investment Balance</t>
  </si>
  <si>
    <t>As of December 31, 2019</t>
  </si>
  <si>
    <t xml:space="preserve">Sep 30, 2019 Bal. </t>
  </si>
  <si>
    <t>Less: 2019 Q4 Depr.</t>
  </si>
  <si>
    <t>Less: ADFIT Revrsl.</t>
  </si>
  <si>
    <t>Add: EDFIT</t>
  </si>
  <si>
    <t>Dec. 30, 2019Unrecoverd Inv.</t>
  </si>
  <si>
    <t>TABLE 4</t>
  </si>
  <si>
    <t>Production Tax Credit Liability Amounts</t>
  </si>
  <si>
    <t>2019 - Sept</t>
  </si>
  <si>
    <t>Production Tax CreditRegulatory Liability:</t>
  </si>
  <si>
    <t>Un-Monetized</t>
  </si>
  <si>
    <t>Monetized</t>
  </si>
  <si>
    <t>Intrst on Monet.</t>
  </si>
  <si>
    <t>Ann. Monetization</t>
  </si>
  <si>
    <t xml:space="preserve">Expected Colstrip Unit 1&amp;2 NBV as of </t>
  </si>
  <si>
    <t>Closing Date</t>
  </si>
  <si>
    <t>Asset Location</t>
  </si>
  <si>
    <t>Depr Group</t>
  </si>
  <si>
    <t>Check</t>
  </si>
  <si>
    <t>Gross Book Value</t>
  </si>
  <si>
    <t>Reserve</t>
  </si>
  <si>
    <t>Depr Rate</t>
  </si>
  <si>
    <t>Monthly 
Depre Expense</t>
  </si>
  <si>
    <t>Months B4 
Retirement</t>
  </si>
  <si>
    <t>Total Future 
Depre Expense</t>
  </si>
  <si>
    <t>NBV on 12/31/2019</t>
  </si>
  <si>
    <t>Notes</t>
  </si>
  <si>
    <t>a</t>
  </si>
  <si>
    <t xml:space="preserve">b </t>
  </si>
  <si>
    <t>c</t>
  </si>
  <si>
    <t>d = a x c /12</t>
  </si>
  <si>
    <t>e (Note 3)</t>
  </si>
  <si>
    <t>f = d x e</t>
  </si>
  <si>
    <t>g=a-b-f (Note 7)</t>
  </si>
  <si>
    <t xml:space="preserve"> Colstrip 1 Station</t>
  </si>
  <si>
    <t>E310 STM Land, Colstrip 1</t>
  </si>
  <si>
    <t>2A</t>
  </si>
  <si>
    <t>2H</t>
  </si>
  <si>
    <t>E311 STM Str/Impv, Colstrip 1</t>
  </si>
  <si>
    <t>2B</t>
  </si>
  <si>
    <t>2I</t>
  </si>
  <si>
    <t>E312 STM Boiler, Colstrip 1</t>
  </si>
  <si>
    <t>2C</t>
  </si>
  <si>
    <t>2J</t>
  </si>
  <si>
    <t>E314 STM Turbogen, Colstrip 1</t>
  </si>
  <si>
    <t>2D</t>
  </si>
  <si>
    <t>2K</t>
  </si>
  <si>
    <t>E315 STM Accessory, Colstrip 1</t>
  </si>
  <si>
    <t>2E</t>
  </si>
  <si>
    <t>2L</t>
  </si>
  <si>
    <t>E316 STM Misc, Colstrip 1</t>
  </si>
  <si>
    <t>2F</t>
  </si>
  <si>
    <t>2M</t>
  </si>
  <si>
    <t>E392 GEN Trans Equip, Colstrip 1</t>
  </si>
  <si>
    <t>2G</t>
  </si>
  <si>
    <t>2N</t>
  </si>
  <si>
    <t>E396 GEN Power-Op Equip, Colstrip 1</t>
  </si>
  <si>
    <t>3A</t>
  </si>
  <si>
    <t>3G</t>
  </si>
  <si>
    <t>E3940 GEN Tools, Colstrip 1</t>
  </si>
  <si>
    <t>3B</t>
  </si>
  <si>
    <t>3H</t>
  </si>
  <si>
    <t xml:space="preserve"> Colstrip 1-2 Common</t>
  </si>
  <si>
    <t>E310 STM Land, Colstrip 1-2 Com</t>
  </si>
  <si>
    <t>3C</t>
  </si>
  <si>
    <t>3I</t>
  </si>
  <si>
    <t>E311 STM Str/Impv, Colstrip 1-2 Com</t>
  </si>
  <si>
    <t>3D</t>
  </si>
  <si>
    <t>3J</t>
  </si>
  <si>
    <t>E312 STM Boiler, Colstrip 1-2 Com</t>
  </si>
  <si>
    <t>3E</t>
  </si>
  <si>
    <t>3K</t>
  </si>
  <si>
    <t>E314 STM Turbogen, Colstrip 1-2 Com</t>
  </si>
  <si>
    <t>3F</t>
  </si>
  <si>
    <t>3L</t>
  </si>
  <si>
    <t>E315 STM Accessory, Colstrip 1-2 Cm</t>
  </si>
  <si>
    <t>4A</t>
  </si>
  <si>
    <t>4H</t>
  </si>
  <si>
    <t>E316 STM Misc, Colstrip 1-2 Com</t>
  </si>
  <si>
    <t>4B</t>
  </si>
  <si>
    <t>4I</t>
  </si>
  <si>
    <t>E35099 (GIF) Easement, Colstrip 1-2</t>
  </si>
  <si>
    <t>4C</t>
  </si>
  <si>
    <t>4J</t>
  </si>
  <si>
    <t>E3539 (GIF) Sta Eq, Colstrip 1-2</t>
  </si>
  <si>
    <t>4D</t>
  </si>
  <si>
    <t>4K</t>
  </si>
  <si>
    <t>2, 4</t>
  </si>
  <si>
    <t xml:space="preserve">E3549 (GIF) Twr/Fixt, Colstrip 1-2 </t>
  </si>
  <si>
    <t>4E</t>
  </si>
  <si>
    <t>4L</t>
  </si>
  <si>
    <t>E3559 (GIF) Poles, Colstrip 1-2</t>
  </si>
  <si>
    <t>4F</t>
  </si>
  <si>
    <t>4M</t>
  </si>
  <si>
    <t>E3569 (GIF) O/H Cond, Colstrip 1-2</t>
  </si>
  <si>
    <t>4G</t>
  </si>
  <si>
    <t>4N</t>
  </si>
  <si>
    <t xml:space="preserve"> Colstrip 2 Station</t>
  </si>
  <si>
    <t>E310 STM Land, Colstrip 2</t>
  </si>
  <si>
    <t>5A</t>
  </si>
  <si>
    <t>5H</t>
  </si>
  <si>
    <t>E311 STM Str/Impv, Colstrip 2</t>
  </si>
  <si>
    <t>5B</t>
  </si>
  <si>
    <t>5I</t>
  </si>
  <si>
    <t>E312 STM Boiler, Colstrip 2</t>
  </si>
  <si>
    <t>5C</t>
  </si>
  <si>
    <t>5J</t>
  </si>
  <si>
    <t>E314 STM Turbogen, Colstrip 2</t>
  </si>
  <si>
    <t>5D</t>
  </si>
  <si>
    <t>5K</t>
  </si>
  <si>
    <t>E315 STM Accessory, Colstrip 2</t>
  </si>
  <si>
    <t>5E</t>
  </si>
  <si>
    <t>5L</t>
  </si>
  <si>
    <t>E316 STM Misc, Colstrip 2</t>
  </si>
  <si>
    <t>5F</t>
  </si>
  <si>
    <t>5M</t>
  </si>
  <si>
    <t>E392 GEN Trans Equip, Colstrip 2</t>
  </si>
  <si>
    <t>5G</t>
  </si>
  <si>
    <t>5N</t>
  </si>
  <si>
    <t>E396 GEN Power-Op Equip, Colstrip 2</t>
  </si>
  <si>
    <t>6A</t>
  </si>
  <si>
    <t>6D</t>
  </si>
  <si>
    <t>E3940 GEN Tools, Colstrip 2</t>
  </si>
  <si>
    <t>6B</t>
  </si>
  <si>
    <t>6E</t>
  </si>
  <si>
    <t>E3171 STM ARO Steam Plt Recoverable</t>
  </si>
  <si>
    <t>8A</t>
  </si>
  <si>
    <t>1. Land is excluded from the calculation because Land will be sold and gain or loss will be recognized.</t>
  </si>
  <si>
    <t>2. Negative book value is possible because these are group depreciation assets.</t>
  </si>
  <si>
    <t xml:space="preserve">3. Colstrip 1&amp;2 is schedhuled to be closed bt the end of 2019. So, the half month depreciation will be generated for December 2019. </t>
  </si>
  <si>
    <t>4. Per Kathy Chinn, "GIF is the substation assets at the generation plant.    We are not including any plant not at the generation site."</t>
  </si>
  <si>
    <t>5. Per Kathy Chinn, "General plant is not retired with generation plant retirement but stays on amortization schedule and auto-retired".</t>
  </si>
  <si>
    <t>6. Per Kathy Chinn, "Only treated without depr expense in regulatory asset balance calculation.   Otherwise, the ARC depr is reclassed to 108 contra for GAAP reporting which offsets the T-grant."</t>
  </si>
  <si>
    <t>it would be the NBV at 12/2017 since that is the amount that is no longer recoverable in rates.</t>
  </si>
  <si>
    <t>7. On June 11, 2019 Talen Energy announced  Colstrip Units 1 and 2 will be closed at the end of 2019.</t>
  </si>
  <si>
    <t>set_of_books_id</t>
  </si>
  <si>
    <t>depreciation_base</t>
  </si>
  <si>
    <t>depreciation_rate</t>
  </si>
  <si>
    <t>depreciation_expense</t>
  </si>
  <si>
    <t>end_reserve</t>
  </si>
  <si>
    <t>depr_group_id</t>
  </si>
  <si>
    <t>gl_post_mo_yr</t>
  </si>
  <si>
    <t>start_month</t>
  </si>
  <si>
    <t>end_balance</t>
  </si>
  <si>
    <t>depr_ledger_depr_exp_adjust</t>
  </si>
  <si>
    <t>depr_method_id</t>
  </si>
  <si>
    <t>description</t>
  </si>
  <si>
    <t>company_id</t>
  </si>
  <si>
    <t>cor_expense</t>
  </si>
  <si>
    <t>cor_end_reserve</t>
  </si>
  <si>
    <t>cost_of_removal_rate</t>
  </si>
  <si>
    <t>cor_exp_adjust</t>
  </si>
  <si>
    <t>Non-Depreciable - Land</t>
  </si>
  <si>
    <t xml:space="preserve">  Non-Depreciable</t>
  </si>
  <si>
    <t xml:space="preserve"> Depreciation</t>
  </si>
  <si>
    <t>E316 STM Misc Pwr Eq, Colstrip 1</t>
  </si>
  <si>
    <t>Amortization</t>
  </si>
  <si>
    <t>E315 STM Accessory, Colstrip 1-2 Co</t>
  </si>
  <si>
    <t>E316 STM Misc Pwr Eq, Colstrip 1-2</t>
  </si>
  <si>
    <t>Generation Interconnection Facility</t>
  </si>
  <si>
    <t>E3549 (GIF) Tower/Fix, Colstrip 1-2</t>
  </si>
  <si>
    <t xml:space="preserve">E3559 (GIF) Poles, Colstrip 1-2 </t>
  </si>
  <si>
    <t xml:space="preserve">E3569 (GIF) O/H Cond, Colstrip 1-2 </t>
  </si>
  <si>
    <t>E316 STM Misc Pwr Eq, Colstrip 2</t>
  </si>
  <si>
    <t>JE Backup</t>
  </si>
  <si>
    <t>Spread True-Up</t>
  </si>
  <si>
    <t>For DR</t>
  </si>
  <si>
    <t>Description</t>
  </si>
  <si>
    <t>PUGET SOUND ENERGY</t>
  </si>
  <si>
    <t>PRODUCTION TAX CREDIT REGULATORY LIABILITY ACTUALS</t>
  </si>
  <si>
    <t>GL Regulatory Liability</t>
  </si>
  <si>
    <t>Production Tax Credit</t>
  </si>
  <si>
    <t>Tax Rate</t>
  </si>
  <si>
    <t>Regulatory Liability</t>
  </si>
  <si>
    <t>Response:</t>
  </si>
  <si>
    <t xml:space="preserve">Refer to the below table detailing the balance of Puget Sound Energy’s (“PSE”) production tax credit (“PTC”) regulatory liability accounts as of September 30, 2019. </t>
  </si>
  <si>
    <t>Actual amounts for the third quarter 2019 require confidential treatment until PSE’s financial results are published in its Form 10-Q which is expected to be on November 6, 2019, at which time the confidential designation for third quarter amounts is no longer necessary.</t>
  </si>
  <si>
    <t>Account</t>
  </si>
  <si>
    <t>Amount</t>
  </si>
  <si>
    <t>2017 Tax Return Monetized PTCs</t>
  </si>
  <si>
    <t>2018 Tax Return Monetized PTCs</t>
  </si>
  <si>
    <t xml:space="preserve">Note that the total monetized PTC balance offsets the following as stipulated in the Settlement Agreement for Dockets UE-170033 and UG-170034. </t>
  </si>
  <si>
    <t>Montana Community Transition Fund</t>
  </si>
  <si>
    <t>Colstrip 1 &amp; 2 Unrecovered Plant</t>
  </si>
  <si>
    <t>Shaded information is designated as CONFIDENTIAL per Protective Order in Dockets UE-190529 and UG-190530 as marked in PSE’s Response to AWEC Data Request No. 036.</t>
  </si>
  <si>
    <t>TABLE 5</t>
  </si>
  <si>
    <t>Interest Calculation on Monetized Production Tax Credits</t>
  </si>
  <si>
    <t>Quarter</t>
  </si>
  <si>
    <t>Beg. Bal.</t>
  </si>
  <si>
    <t>Interest</t>
  </si>
  <si>
    <t>PTC Monet</t>
  </si>
  <si>
    <t>Less MT</t>
  </si>
  <si>
    <t>Ending Bal.</t>
  </si>
  <si>
    <t>2017 Q1</t>
  </si>
  <si>
    <t>2017 Q2</t>
  </si>
  <si>
    <t>2018 Q1</t>
  </si>
  <si>
    <t>2018 Q2</t>
  </si>
  <si>
    <t>2017 Q4</t>
  </si>
  <si>
    <t>2017 Q3</t>
  </si>
  <si>
    <t>2018 Q3</t>
  </si>
  <si>
    <t>2018 Q4</t>
  </si>
  <si>
    <t>2019 Q2</t>
  </si>
  <si>
    <t>2019 Q3</t>
  </si>
  <si>
    <t>2019 Q4</t>
  </si>
  <si>
    <t>2019 Q1</t>
  </si>
  <si>
    <t>Total Q4 2019 PTC Reg. Liab. Inc. Interest (Excl. MT Fund)</t>
  </si>
  <si>
    <t>Total Monetized PTCs</t>
  </si>
  <si>
    <t>Less:</t>
  </si>
  <si>
    <t>PTC Carrying Balance</t>
  </si>
  <si>
    <t>Annual Rate</t>
  </si>
  <si>
    <t>Monthly Interest Accrual</t>
  </si>
  <si>
    <t>(Note 1)</t>
  </si>
  <si>
    <t>The first entry should recognize only a half month of interest as the PTC's were monetized mid-month.</t>
  </si>
  <si>
    <t>See tab 2 for further detail.</t>
  </si>
  <si>
    <t>Date</t>
  </si>
  <si>
    <t>Comments</t>
  </si>
  <si>
    <t>2019 Total</t>
  </si>
  <si>
    <t>TABLE 6</t>
  </si>
  <si>
    <t>Allocation of Puget Production Tax Credit Regulatory Liability</t>
  </si>
  <si>
    <t>PTC Regulatory Liability Allocation</t>
  </si>
  <si>
    <t>Applicable</t>
  </si>
  <si>
    <t>Future</t>
  </si>
  <si>
    <t>Total PTC</t>
  </si>
  <si>
    <t>Remaining</t>
  </si>
  <si>
    <t xml:space="preserve">Monetized* </t>
  </si>
  <si>
    <t>Monetization</t>
  </si>
  <si>
    <t>Allocation</t>
  </si>
  <si>
    <t>Colstrip 1-2</t>
  </si>
  <si>
    <t>Colstrip 3-4**</t>
  </si>
  <si>
    <t>* Excluding MT Fund amounts</t>
  </si>
  <si>
    <t>** December 31, 2018 Balances</t>
  </si>
  <si>
    <t>TABLE 7</t>
  </si>
  <si>
    <t>Revenue Requirement Impact of Using 2017 GRC Regulatory Accounting</t>
  </si>
  <si>
    <t>for Colstrip Units 1-2</t>
  </si>
  <si>
    <t>Rate Base</t>
  </si>
  <si>
    <t>Remove: Colstrip 1-2 Plant Balances</t>
  </si>
  <si>
    <t>Add Back Colstrip 1 -2 Unrecovered Inv.</t>
  </si>
  <si>
    <t>Less: Monetized PTCs</t>
  </si>
  <si>
    <t>Total Rate Base Adj.</t>
  </si>
  <si>
    <t>Table 2</t>
  </si>
  <si>
    <t>Table 3</t>
  </si>
  <si>
    <t>Table 5</t>
  </si>
  <si>
    <t>Rev. Req.</t>
  </si>
  <si>
    <t>Remaining Colstrip 1 - 2 Regulatory Asset</t>
  </si>
  <si>
    <t>AWEC</t>
  </si>
  <si>
    <t>Corrected</t>
  </si>
  <si>
    <t>Exclude DFIT</t>
  </si>
  <si>
    <t>and ARO</t>
  </si>
  <si>
    <t>From AWEC 38 and BGM-1T Table 2</t>
  </si>
  <si>
    <t>Change</t>
  </si>
  <si>
    <t>1 - ADIT in AWEC 38 was displayed with the wrong sign.  Should have been a negative.</t>
  </si>
  <si>
    <t>From AWEC 34 and BGM-1T Table 3</t>
  </si>
  <si>
    <t>Dec. 30, 2019 Unrecoverd Inv.</t>
  </si>
  <si>
    <t>2, 3, 4</t>
  </si>
  <si>
    <t>4 - ADIT and EDIT should not be included in regulatory asset per Matt Marcelia.</t>
  </si>
  <si>
    <t>3 - AWEC 34 was already presented as of December 31, 2019 (December 31, 2019 estimated</t>
  </si>
  <si>
    <t xml:space="preserve"> as of September 30, 2019)</t>
  </si>
  <si>
    <t>From BGM-1T Table 7</t>
  </si>
  <si>
    <t>ROR Used</t>
  </si>
  <si>
    <t>Actual Requested</t>
  </si>
  <si>
    <t>Conf Factor</t>
  </si>
  <si>
    <t>4, 6</t>
  </si>
  <si>
    <t xml:space="preserve">6 - There will no longer be an accumulated deferred tax liability at 21% because </t>
  </si>
  <si>
    <t xml:space="preserve">the ADIT on the plant balance reverses with the plant's retirement and the ADIT on the </t>
  </si>
  <si>
    <t>regulatory asset has been reveresed by the application of the PTC's against the regulatory asset.</t>
  </si>
  <si>
    <t xml:space="preserve">7 - EDIT will continue to reverse at the same level as prior to retirement, therefore, no adjustment </t>
  </si>
  <si>
    <t>for EDIT is necessary.</t>
  </si>
  <si>
    <t>4, 7</t>
  </si>
  <si>
    <t>Line</t>
  </si>
  <si>
    <t>Exhibit SEF-29</t>
  </si>
  <si>
    <t>per BGM-1T</t>
  </si>
  <si>
    <t xml:space="preserve">2 - Should not include Asset Retirement Cost as amount will be $0 by December 31, 2019 per PSE's </t>
  </si>
  <si>
    <t>First Revised Response to AWEC 034.</t>
  </si>
  <si>
    <t xml:space="preserve">5 - Should only use monetized PTC's per definition provided in Exh. SEF-17T that are known </t>
  </si>
  <si>
    <t>by June 30, 2019.</t>
  </si>
  <si>
    <t>Page 1 of 3</t>
  </si>
  <si>
    <t>Colstrip Units 1 and 2 - Corrections to amounts calculated by AWEC</t>
  </si>
  <si>
    <t>Page 2 of 3</t>
  </si>
  <si>
    <t xml:space="preserve">Colstrip Units 1 and 2 - Corrections to amounts calculated by AWEC </t>
  </si>
  <si>
    <t>assuming application of PTCs monetized on PSE's 2018 filed tax return</t>
  </si>
  <si>
    <t>Page 3 of 3</t>
  </si>
  <si>
    <t>assuming application of PTCs as determined by AWEC</t>
  </si>
  <si>
    <t>Overall impact</t>
  </si>
  <si>
    <t>n/a</t>
  </si>
  <si>
    <t>Electric 9/2019 Pro forma (Table 6 in SEF-17T)</t>
  </si>
  <si>
    <t>Rev. Req. impact of corrections (All Electric)</t>
  </si>
  <si>
    <t>Gas 9/2019 Pro forma (Table 6 in SEF-17T)</t>
  </si>
  <si>
    <t xml:space="preserve">5 - If the Commission were to determine PTCs monetized in September 2019 should be included </t>
  </si>
  <si>
    <t>in rate base</t>
  </si>
  <si>
    <t xml:space="preserve">5 - If the Commission were to determine PTCs monetized as defined by AWEC should be </t>
  </si>
  <si>
    <t>included  in rate base</t>
  </si>
  <si>
    <t>the interest accrual calculation</t>
  </si>
  <si>
    <t xml:space="preserve">8 - ADFIT associated with the Regulatory Liability for monetized PTCs should be included in </t>
  </si>
  <si>
    <t>Remaining Colstrip 1 - 2 Regulatory Asset Net</t>
  </si>
  <si>
    <t xml:space="preserve">  ADFIT on Regulatory Asset Net</t>
  </si>
  <si>
    <t xml:space="preserve"> Less:  ADFIT on Reg Asset</t>
  </si>
  <si>
    <t>Incldue ADFIT on Monetized PTCs</t>
  </si>
  <si>
    <t>ELECTRIC PLANT</t>
  </si>
  <si>
    <t>TABLE 1.  SUMMARY OF ESTIMATED SURVIVOR CURVES, NET SALVAGE, ORIGINAL COST, BOOK DEPRECIATION RESERVE</t>
  </si>
  <si>
    <t>AND CALCULATED ANNUAL DEPRECIATION RATES AS OF DECEMBER 31, 2018</t>
  </si>
  <si>
    <t>VERSION 2</t>
  </si>
  <si>
    <t>PROBABLE</t>
  </si>
  <si>
    <t>NET</t>
  </si>
  <si>
    <t>ORIGINAL COST</t>
  </si>
  <si>
    <t>BOOK</t>
  </si>
  <si>
    <t xml:space="preserve">CALCULATED ANNUAL </t>
  </si>
  <si>
    <t>COMPOSITE</t>
  </si>
  <si>
    <t>RETIREMENT</t>
  </si>
  <si>
    <t>SURVIVOR</t>
  </si>
  <si>
    <t>SALVAGE</t>
  </si>
  <si>
    <t>AS OF</t>
  </si>
  <si>
    <t>DEPRECIATION</t>
  </si>
  <si>
    <t>FUTURE</t>
  </si>
  <si>
    <t xml:space="preserve">ACCRUAL </t>
  </si>
  <si>
    <t>ACCRUAL</t>
  </si>
  <si>
    <t>REMAINING</t>
  </si>
  <si>
    <t>ACCOUNT</t>
  </si>
  <si>
    <t>DATE</t>
  </si>
  <si>
    <t>CURVE</t>
  </si>
  <si>
    <t>PERCENT</t>
  </si>
  <si>
    <t>SEPTEMBER 30, 2016</t>
  </si>
  <si>
    <t>RESERVE</t>
  </si>
  <si>
    <t>ACCRUALS</t>
  </si>
  <si>
    <t>AMOUNT</t>
  </si>
  <si>
    <t>RATE</t>
  </si>
  <si>
    <t>LIFE</t>
  </si>
  <si>
    <t>(9)=(8)/(5)</t>
  </si>
  <si>
    <t>(10)=(7)/(8)</t>
  </si>
  <si>
    <t xml:space="preserve">ELECTRIC PLANT </t>
  </si>
  <si>
    <t xml:space="preserve">STEAM PRODUCTION PLANT </t>
  </si>
  <si>
    <t>STRUCTURES AND IMPROVEMENTS</t>
  </si>
  <si>
    <t xml:space="preserve">  COLSTRIP 3               </t>
  </si>
  <si>
    <t>90-R1.5</t>
  </si>
  <si>
    <t>*</t>
  </si>
  <si>
    <t xml:space="preserve">  COLSTRIP 4               </t>
  </si>
  <si>
    <t xml:space="preserve">  COLSTRIP 3-4             </t>
  </si>
  <si>
    <t>TOTAL STRUCTURES AND IMPROVEMENTS</t>
  </si>
  <si>
    <t>BOILER PLANT EQUIPMENT</t>
  </si>
  <si>
    <t xml:space="preserve">  COLSTRIP 3          </t>
  </si>
  <si>
    <t>75-R1</t>
  </si>
  <si>
    <t xml:space="preserve">  COLSTRIP 4          </t>
  </si>
  <si>
    <t xml:space="preserve">  COLSTRIP 3-4        </t>
  </si>
  <si>
    <t>TOTAL BOILER PLANT EQUIPMENT</t>
  </si>
  <si>
    <t>TURBOGENERATOR UNITS</t>
  </si>
  <si>
    <t xml:space="preserve">  COLSTRIP 3        </t>
  </si>
  <si>
    <t>45-R1.5</t>
  </si>
  <si>
    <t xml:space="preserve">  COLSTRIP 4        </t>
  </si>
  <si>
    <t>TOTAL TURBOGENERATOR UNITS</t>
  </si>
  <si>
    <t>ACCESSORY ELECTRIC EQUIPMENT</t>
  </si>
  <si>
    <t xml:space="preserve">  COLSTRIP 3                </t>
  </si>
  <si>
    <t>60-S2</t>
  </si>
  <si>
    <t xml:space="preserve">  COLSTRIP 4                </t>
  </si>
  <si>
    <t xml:space="preserve">  COLSTRIP 3-4              </t>
  </si>
  <si>
    <t>TOTAL ACCESSORY ELECTRIC EQUIPMENT</t>
  </si>
  <si>
    <t>MISCELLANEOUS POWER PLANT EQUIPMENT</t>
  </si>
  <si>
    <t xml:space="preserve">  COLSTRIP 3                       </t>
  </si>
  <si>
    <t>50-R1.5</t>
  </si>
  <si>
    <t xml:space="preserve">  COLSTRIP 4                       </t>
  </si>
  <si>
    <t xml:space="preserve">  COLSTRIP 1-4                     </t>
  </si>
  <si>
    <t xml:space="preserve">  COLSTRIP 3-4                     </t>
  </si>
  <si>
    <t>TOTAL MISCELLANEOUS POWER PLANT EQUIPMENT</t>
  </si>
  <si>
    <t xml:space="preserve">    TOTAL STEAM PRODUCTION PLANT </t>
  </si>
  <si>
    <t xml:space="preserve">    TOTAL ELECTRIC PLANT</t>
  </si>
  <si>
    <t xml:space="preserve"> </t>
  </si>
  <si>
    <t>*  LIFE SPAN PROCEDURE USED.  CURVE SHOWN IS INTERIM SURVIVOR CURVE.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</si>
</sst>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_);\(0\)"/>
    <numFmt numFmtId="167" formatCode="[$-409]mmmm\ d\,\ yyyy;@"/>
    <numFmt numFmtId="168" formatCode="0.0"/>
    <numFmt numFmtId="169" formatCode="mm\-yyyy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Dot">
        <color auto="1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medium">
        <color indexed="64"/>
      </bottom>
      <diagonal/>
    </border>
    <border>
      <left style="thick">
        <color theme="1"/>
      </left>
      <right style="thick">
        <color theme="1"/>
      </right>
      <top/>
      <bottom style="medium">
        <color indexed="64"/>
      </bottom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theme="1"/>
      </left>
      <right style="medium">
        <color indexed="64"/>
      </right>
      <top style="thick">
        <color theme="1"/>
      </top>
      <bottom style="medium">
        <color indexed="64"/>
      </bottom>
      <diagonal/>
    </border>
    <border>
      <left/>
      <right style="medium">
        <color indexed="64"/>
      </right>
      <top style="thick">
        <color theme="1"/>
      </top>
      <bottom style="medium">
        <color indexed="64"/>
      </bottom>
      <diagonal/>
    </border>
    <border>
      <left/>
      <right style="thick">
        <color theme="1"/>
      </right>
      <top style="thick">
        <color theme="1"/>
      </top>
      <bottom style="medium">
        <color indexed="64"/>
      </bottom>
      <diagonal/>
    </border>
    <border>
      <left style="thick">
        <color theme="1"/>
      </left>
      <right style="medium">
        <color indexed="64"/>
      </right>
      <top/>
      <bottom style="thick">
        <color theme="1"/>
      </bottom>
      <diagonal/>
    </border>
    <border>
      <left/>
      <right style="medium">
        <color indexed="64"/>
      </right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208">
    <xf numFmtId="0" fontId="0" fillId="0" borderId="0" xfId="0"/>
    <xf numFmtId="164" fontId="11" fillId="0" borderId="17" xfId="0" applyNumberFormat="1" applyFont="1" applyFill="1" applyBorder="1"/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10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Continuous"/>
    </xf>
    <xf numFmtId="41" fontId="15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5" fillId="0" borderId="0" xfId="0" applyFont="1" applyFill="1" applyBorder="1"/>
    <xf numFmtId="41" fontId="15" fillId="0" borderId="0" xfId="0" applyNumberFormat="1" applyFont="1" applyFill="1" applyAlignment="1">
      <alignment horizontal="right"/>
    </xf>
    <xf numFmtId="43" fontId="0" fillId="0" borderId="0" xfId="0" applyNumberFormat="1" applyFont="1" applyFill="1"/>
    <xf numFmtId="0" fontId="4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/>
    <xf numFmtId="10" fontId="0" fillId="0" borderId="0" xfId="0" applyNumberFormat="1" applyFont="1" applyFill="1"/>
    <xf numFmtId="0" fontId="1" fillId="0" borderId="6" xfId="0" applyFont="1" applyFill="1" applyBorder="1"/>
    <xf numFmtId="43" fontId="1" fillId="0" borderId="6" xfId="0" applyNumberFormat="1" applyFont="1" applyFill="1" applyBorder="1"/>
    <xf numFmtId="14" fontId="14" fillId="0" borderId="0" xfId="0" applyNumberFormat="1" applyFont="1" applyFill="1"/>
    <xf numFmtId="0" fontId="11" fillId="0" borderId="0" xfId="0" applyFont="1" applyFill="1"/>
    <xf numFmtId="0" fontId="12" fillId="0" borderId="17" xfId="0" applyFont="1" applyFill="1" applyBorder="1" applyAlignment="1">
      <alignment horizontal="right"/>
    </xf>
    <xf numFmtId="0" fontId="12" fillId="0" borderId="17" xfId="0" applyFont="1" applyFill="1" applyBorder="1"/>
    <xf numFmtId="0" fontId="3" fillId="0" borderId="17" xfId="0" applyFont="1" applyFill="1" applyBorder="1" applyAlignment="1">
      <alignment horizontal="right"/>
    </xf>
    <xf numFmtId="0" fontId="13" fillId="0" borderId="17" xfId="0" applyFont="1" applyFill="1" applyBorder="1" applyAlignment="1">
      <alignment horizontal="right"/>
    </xf>
    <xf numFmtId="0" fontId="11" fillId="0" borderId="17" xfId="0" applyFont="1" applyFill="1" applyBorder="1" applyAlignment="1">
      <alignment horizontal="right"/>
    </xf>
    <xf numFmtId="0" fontId="11" fillId="0" borderId="17" xfId="0" applyFont="1" applyFill="1" applyBorder="1"/>
    <xf numFmtId="10" fontId="11" fillId="0" borderId="17" xfId="0" applyNumberFormat="1" applyFont="1" applyFill="1" applyBorder="1"/>
    <xf numFmtId="43" fontId="11" fillId="0" borderId="17" xfId="0" applyNumberFormat="1" applyFont="1" applyFill="1" applyBorder="1"/>
    <xf numFmtId="41" fontId="0" fillId="0" borderId="0" xfId="0" applyNumberFormat="1" applyFont="1" applyFill="1"/>
    <xf numFmtId="0" fontId="1" fillId="0" borderId="0" xfId="0" applyFont="1" applyFill="1" applyBorder="1"/>
    <xf numFmtId="0" fontId="0" fillId="0" borderId="4" xfId="0" applyNumberFormat="1" applyFont="1" applyFill="1" applyBorder="1" applyAlignment="1">
      <alignment horizontal="center"/>
    </xf>
    <xf numFmtId="41" fontId="0" fillId="0" borderId="4" xfId="0" applyNumberFormat="1" applyFont="1" applyFill="1" applyBorder="1" applyAlignment="1">
      <alignment horizontal="center"/>
    </xf>
    <xf numFmtId="41" fontId="0" fillId="0" borderId="1" xfId="0" applyNumberFormat="1" applyFont="1" applyFill="1" applyBorder="1" applyAlignment="1">
      <alignment horizontal="center"/>
    </xf>
    <xf numFmtId="9" fontId="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/>
    <xf numFmtId="0" fontId="10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/>
    <xf numFmtId="17" fontId="1" fillId="0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43" fontId="0" fillId="0" borderId="1" xfId="0" applyNumberFormat="1" applyFont="1" applyFill="1" applyBorder="1"/>
    <xf numFmtId="43" fontId="1" fillId="0" borderId="0" xfId="0" applyNumberFormat="1" applyFont="1" applyFill="1"/>
    <xf numFmtId="43" fontId="1" fillId="0" borderId="3" xfId="0" applyNumberFormat="1" applyFont="1" applyFill="1" applyBorder="1"/>
    <xf numFmtId="0" fontId="1" fillId="0" borderId="4" xfId="0" applyFont="1" applyFill="1" applyBorder="1"/>
    <xf numFmtId="43" fontId="1" fillId="0" borderId="4" xfId="0" applyNumberFormat="1" applyFont="1" applyFill="1" applyBorder="1"/>
    <xf numFmtId="0" fontId="1" fillId="0" borderId="2" xfId="0" applyFont="1" applyFill="1" applyBorder="1"/>
    <xf numFmtId="43" fontId="1" fillId="0" borderId="2" xfId="0" applyNumberFormat="1" applyFont="1" applyFill="1" applyBorder="1"/>
    <xf numFmtId="43" fontId="1" fillId="0" borderId="0" xfId="0" applyNumberFormat="1" applyFont="1" applyFill="1" applyBorder="1"/>
    <xf numFmtId="43" fontId="0" fillId="0" borderId="2" xfId="0" applyNumberFormat="1" applyFont="1" applyFill="1" applyBorder="1"/>
    <xf numFmtId="0" fontId="1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5" fillId="0" borderId="7" xfId="0" applyFont="1" applyFill="1" applyBorder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0" fontId="1" fillId="0" borderId="13" xfId="0" applyFont="1" applyFill="1" applyBorder="1" applyAlignment="1">
      <alignment horizontal="center"/>
    </xf>
    <xf numFmtId="10" fontId="0" fillId="0" borderId="3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Continuous"/>
    </xf>
    <xf numFmtId="42" fontId="15" fillId="0" borderId="0" xfId="0" applyNumberFormat="1" applyFont="1" applyFill="1" applyBorder="1"/>
    <xf numFmtId="3" fontId="0" fillId="0" borderId="0" xfId="0" applyNumberFormat="1" applyFont="1" applyFill="1"/>
    <xf numFmtId="0" fontId="4" fillId="0" borderId="0" xfId="1" applyFont="1" applyFill="1" applyAlignment="1">
      <alignment horizontal="centerContinuous"/>
    </xf>
    <xf numFmtId="0" fontId="9" fillId="0" borderId="0" xfId="1" applyFont="1" applyFill="1"/>
    <xf numFmtId="0" fontId="9" fillId="0" borderId="0" xfId="1" applyFont="1" applyFill="1" applyAlignment="1"/>
    <xf numFmtId="0" fontId="4" fillId="0" borderId="0" xfId="1" applyNumberFormat="1" applyFont="1" applyFill="1" applyAlignment="1">
      <alignment horizontal="centerContinuous"/>
    </xf>
    <xf numFmtId="0" fontId="9" fillId="0" borderId="0" xfId="1" applyNumberFormat="1" applyFont="1" applyFill="1" applyAlignment="1">
      <alignment horizontal="centerContinuous"/>
    </xf>
    <xf numFmtId="0" fontId="9" fillId="0" borderId="0" xfId="1" applyNumberFormat="1" applyFont="1" applyFill="1" applyAlignment="1">
      <alignment horizontal="center"/>
    </xf>
    <xf numFmtId="166" fontId="9" fillId="0" borderId="0" xfId="1" applyNumberFormat="1" applyFont="1" applyFill="1" applyAlignment="1">
      <alignment horizontal="centerContinuous"/>
    </xf>
    <xf numFmtId="37" fontId="9" fillId="0" borderId="0" xfId="1" applyNumberFormat="1" applyFont="1" applyFill="1" applyAlignment="1">
      <alignment horizontal="centerContinuous"/>
    </xf>
    <xf numFmtId="37" fontId="9" fillId="0" borderId="0" xfId="1" applyNumberFormat="1" applyFont="1" applyFill="1" applyAlignment="1"/>
    <xf numFmtId="0" fontId="4" fillId="0" borderId="0" xfId="1" applyFont="1" applyFill="1" applyAlignment="1"/>
    <xf numFmtId="0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166" fontId="4" fillId="0" borderId="0" xfId="1" applyNumberFormat="1" applyFont="1" applyFill="1" applyAlignment="1">
      <alignment horizontal="center"/>
    </xf>
    <xf numFmtId="37" fontId="4" fillId="0" borderId="0" xfId="1" applyNumberFormat="1" applyFont="1" applyFill="1" applyAlignment="1">
      <alignment horizontal="center"/>
    </xf>
    <xf numFmtId="37" fontId="4" fillId="0" borderId="0" xfId="1" applyNumberFormat="1" applyFont="1" applyFill="1" applyAlignment="1">
      <alignment horizontal="centerContinuous"/>
    </xf>
    <xf numFmtId="0" fontId="9" fillId="0" borderId="0" xfId="1" applyFont="1" applyFill="1" applyAlignment="1">
      <alignment horizontal="center"/>
    </xf>
    <xf numFmtId="37" fontId="4" fillId="0" borderId="19" xfId="1" applyNumberFormat="1" applyFont="1" applyFill="1" applyBorder="1" applyAlignment="1">
      <alignment horizontal="center"/>
    </xf>
    <xf numFmtId="0" fontId="4" fillId="0" borderId="19" xfId="1" applyFont="1" applyFill="1" applyBorder="1" applyAlignment="1">
      <alignment horizontal="center"/>
    </xf>
    <xf numFmtId="0" fontId="4" fillId="0" borderId="19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167" fontId="4" fillId="0" borderId="0" xfId="1" quotePrefix="1" applyNumberFormat="1" applyFont="1" applyFill="1" applyAlignment="1">
      <alignment horizontal="center"/>
    </xf>
    <xf numFmtId="3" fontId="4" fillId="0" borderId="0" xfId="1" applyNumberFormat="1" applyFont="1" applyFill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3" fontId="4" fillId="0" borderId="19" xfId="1" applyNumberFormat="1" applyFont="1" applyFill="1" applyBorder="1" applyAlignment="1">
      <alignment horizontal="center"/>
    </xf>
    <xf numFmtId="0" fontId="4" fillId="0" borderId="0" xfId="1" applyNumberFormat="1" applyFont="1" applyFill="1" applyAlignment="1">
      <alignment horizontal="left"/>
    </xf>
    <xf numFmtId="166" fontId="9" fillId="0" borderId="0" xfId="1" applyNumberFormat="1" applyFont="1" applyFill="1" applyAlignment="1"/>
    <xf numFmtId="37" fontId="9" fillId="0" borderId="0" xfId="1" applyNumberFormat="1" applyFont="1" applyFill="1"/>
    <xf numFmtId="168" fontId="9" fillId="0" borderId="0" xfId="1" applyNumberFormat="1" applyFont="1" applyFill="1"/>
    <xf numFmtId="2" fontId="9" fillId="0" borderId="0" xfId="1" applyNumberFormat="1" applyFont="1" applyFill="1"/>
    <xf numFmtId="2" fontId="9" fillId="0" borderId="0" xfId="1" applyNumberFormat="1" applyFont="1" applyFill="1" applyBorder="1"/>
    <xf numFmtId="0" fontId="9" fillId="0" borderId="0" xfId="1" applyFont="1" applyFill="1" applyBorder="1" applyAlignment="1"/>
    <xf numFmtId="0" fontId="9" fillId="0" borderId="0" xfId="1" applyFont="1" applyFill="1" applyBorder="1" applyAlignment="1">
      <alignment horizontal="center"/>
    </xf>
    <xf numFmtId="166" fontId="9" fillId="0" borderId="0" xfId="1" applyNumberFormat="1" applyFont="1" applyFill="1" applyBorder="1" applyAlignment="1"/>
    <xf numFmtId="37" fontId="9" fillId="0" borderId="0" xfId="1" applyNumberFormat="1" applyFont="1" applyFill="1" applyBorder="1"/>
    <xf numFmtId="0" fontId="9" fillId="0" borderId="0" xfId="1" applyNumberFormat="1" applyFont="1" applyFill="1" applyBorder="1" applyAlignment="1"/>
    <xf numFmtId="169" fontId="9" fillId="0" borderId="0" xfId="1" applyNumberFormat="1" applyFont="1" applyFill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166" fontId="9" fillId="0" borderId="0" xfId="1" applyNumberFormat="1" applyFont="1" applyFill="1" applyBorder="1" applyAlignment="1">
      <alignment horizontal="center"/>
    </xf>
    <xf numFmtId="39" fontId="9" fillId="0" borderId="0" xfId="2" applyNumberFormat="1" applyFont="1" applyFill="1" applyBorder="1"/>
    <xf numFmtId="0" fontId="9" fillId="0" borderId="0" xfId="2" applyFont="1" applyFill="1" applyBorder="1"/>
    <xf numFmtId="37" fontId="9" fillId="0" borderId="0" xfId="2" applyNumberFormat="1" applyFont="1" applyFill="1" applyBorder="1"/>
    <xf numFmtId="0" fontId="20" fillId="0" borderId="0" xfId="1" applyNumberFormat="1" applyFont="1" applyFill="1" applyBorder="1" applyAlignment="1"/>
    <xf numFmtId="39" fontId="9" fillId="0" borderId="1" xfId="2" applyNumberFormat="1" applyFont="1" applyFill="1" applyBorder="1"/>
    <xf numFmtId="37" fontId="9" fillId="0" borderId="1" xfId="2" applyNumberFormat="1" applyFont="1" applyFill="1" applyBorder="1"/>
    <xf numFmtId="0" fontId="9" fillId="0" borderId="0" xfId="1" applyNumberFormat="1" applyFont="1" applyFill="1" applyBorder="1"/>
    <xf numFmtId="0" fontId="9" fillId="0" borderId="0" xfId="1" applyFont="1" applyFill="1" applyBorder="1"/>
    <xf numFmtId="166" fontId="9" fillId="0" borderId="0" xfId="1" applyNumberFormat="1" applyFont="1" applyFill="1" applyAlignment="1">
      <alignment horizontal="center"/>
    </xf>
    <xf numFmtId="39" fontId="4" fillId="0" borderId="0" xfId="2" applyNumberFormat="1" applyFont="1" applyFill="1" applyBorder="1"/>
    <xf numFmtId="0" fontId="4" fillId="0" borderId="0" xfId="1" applyFont="1" applyFill="1" applyBorder="1" applyAlignment="1"/>
    <xf numFmtId="37" fontId="4" fillId="0" borderId="0" xfId="2" applyNumberFormat="1" applyFont="1" applyFill="1" applyBorder="1"/>
    <xf numFmtId="37" fontId="4" fillId="0" borderId="0" xfId="1" applyNumberFormat="1" applyFont="1" applyFill="1" applyBorder="1" applyAlignment="1"/>
    <xf numFmtId="2" fontId="4" fillId="0" borderId="0" xfId="1" applyNumberFormat="1" applyFont="1" applyFill="1"/>
    <xf numFmtId="39" fontId="9" fillId="0" borderId="0" xfId="2" applyNumberFormat="1" applyFont="1" applyFill="1"/>
    <xf numFmtId="37" fontId="4" fillId="0" borderId="0" xfId="1" applyNumberFormat="1" applyFont="1" applyFill="1" applyAlignment="1"/>
    <xf numFmtId="0" fontId="9" fillId="0" borderId="0" xfId="1" applyNumberFormat="1" applyFont="1" applyFill="1" applyAlignment="1">
      <alignment horizontal="left"/>
    </xf>
    <xf numFmtId="39" fontId="4" fillId="0" borderId="14" xfId="2" applyNumberFormat="1" applyFont="1" applyFill="1" applyBorder="1"/>
    <xf numFmtId="37" fontId="4" fillId="0" borderId="14" xfId="1" applyNumberFormat="1" applyFont="1" applyFill="1" applyBorder="1" applyAlignment="1"/>
    <xf numFmtId="168" fontId="4" fillId="0" borderId="0" xfId="1" applyNumberFormat="1" applyFont="1" applyFill="1" applyAlignment="1"/>
    <xf numFmtId="39" fontId="4" fillId="0" borderId="0" xfId="2" applyNumberFormat="1" applyFont="1" applyFill="1"/>
    <xf numFmtId="39" fontId="9" fillId="0" borderId="0" xfId="1" applyNumberFormat="1" applyFont="1" applyFill="1" applyAlignment="1"/>
    <xf numFmtId="39" fontId="9" fillId="0" borderId="0" xfId="1" applyNumberFormat="1" applyFont="1" applyFill="1" applyAlignment="1">
      <alignment horizontal="center"/>
    </xf>
    <xf numFmtId="2" fontId="9" fillId="0" borderId="0" xfId="1" applyNumberFormat="1" applyFont="1" applyFill="1" applyAlignment="1">
      <alignment horizontal="center"/>
    </xf>
    <xf numFmtId="22" fontId="0" fillId="0" borderId="0" xfId="0" applyNumberFormat="1" applyFont="1" applyFill="1"/>
    <xf numFmtId="14" fontId="0" fillId="0" borderId="0" xfId="0" applyNumberFormat="1" applyFont="1" applyFill="1"/>
    <xf numFmtId="14" fontId="15" fillId="0" borderId="0" xfId="0" applyNumberFormat="1" applyFont="1" applyFill="1"/>
    <xf numFmtId="0" fontId="0" fillId="0" borderId="0" xfId="0" applyFont="1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0" xfId="0" applyFont="1" applyFill="1"/>
    <xf numFmtId="2" fontId="0" fillId="0" borderId="0" xfId="0" applyNumberFormat="1" applyFont="1" applyFill="1"/>
    <xf numFmtId="0" fontId="22" fillId="0" borderId="6" xfId="0" applyFont="1" applyFill="1" applyBorder="1"/>
    <xf numFmtId="0" fontId="0" fillId="0" borderId="1" xfId="0" applyFont="1" applyFill="1" applyBorder="1" applyAlignment="1">
      <alignment horizontal="center"/>
    </xf>
    <xf numFmtId="42" fontId="0" fillId="0" borderId="0" xfId="0" applyNumberFormat="1" applyFont="1" applyFill="1"/>
    <xf numFmtId="0" fontId="0" fillId="0" borderId="3" xfId="0" applyFont="1" applyFill="1" applyBorder="1"/>
    <xf numFmtId="42" fontId="0" fillId="0" borderId="14" xfId="0" applyNumberFormat="1" applyFont="1" applyFill="1" applyBorder="1"/>
    <xf numFmtId="164" fontId="0" fillId="0" borderId="0" xfId="0" applyNumberFormat="1" applyFont="1" applyFill="1"/>
    <xf numFmtId="14" fontId="0" fillId="0" borderId="0" xfId="0" applyNumberFormat="1" applyFont="1" applyFill="1" applyAlignment="1">
      <alignment horizontal="right"/>
    </xf>
    <xf numFmtId="165" fontId="14" fillId="0" borderId="0" xfId="0" applyNumberFormat="1" applyFont="1" applyFill="1" applyBorder="1" applyAlignment="1">
      <alignment horizontal="center"/>
    </xf>
    <xf numFmtId="43" fontId="14" fillId="0" borderId="4" xfId="0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0" xfId="0" applyFont="1" applyFill="1" applyAlignment="1">
      <alignment horizontal="centerContinuous"/>
    </xf>
    <xf numFmtId="0" fontId="0" fillId="0" borderId="7" xfId="0" applyFont="1" applyFill="1" applyBorder="1"/>
    <xf numFmtId="0" fontId="0" fillId="0" borderId="8" xfId="0" applyFont="1" applyFill="1" applyBorder="1"/>
    <xf numFmtId="0" fontId="0" fillId="0" borderId="9" xfId="0" applyFont="1" applyFill="1" applyBorder="1" applyAlignment="1">
      <alignment horizontal="left" indent="1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Fill="1" applyBorder="1"/>
    <xf numFmtId="42" fontId="0" fillId="0" borderId="10" xfId="0" applyNumberFormat="1" applyFont="1" applyFill="1" applyBorder="1"/>
    <xf numFmtId="41" fontId="0" fillId="0" borderId="10" xfId="0" applyNumberFormat="1" applyFont="1" applyFill="1" applyBorder="1"/>
    <xf numFmtId="42" fontId="0" fillId="0" borderId="11" xfId="0" applyNumberFormat="1" applyFont="1" applyFill="1" applyBorder="1"/>
    <xf numFmtId="0" fontId="0" fillId="0" borderId="12" xfId="0" applyFont="1" applyFill="1" applyBorder="1"/>
    <xf numFmtId="0" fontId="0" fillId="0" borderId="13" xfId="0" applyFont="1" applyFill="1" applyBorder="1"/>
    <xf numFmtId="0" fontId="0" fillId="0" borderId="3" xfId="0" applyFont="1" applyFill="1" applyBorder="1" applyAlignment="1">
      <alignment horizontal="centerContinuous"/>
    </xf>
    <xf numFmtId="0" fontId="0" fillId="0" borderId="9" xfId="0" applyFont="1" applyFill="1" applyBorder="1"/>
    <xf numFmtId="0" fontId="0" fillId="0" borderId="10" xfId="0" applyFont="1" applyFill="1" applyBorder="1"/>
    <xf numFmtId="0" fontId="0" fillId="0" borderId="9" xfId="0" applyFont="1" applyFill="1" applyBorder="1" applyAlignment="1">
      <alignment horizontal="left" indent="2"/>
    </xf>
    <xf numFmtId="0" fontId="0" fillId="0" borderId="0" xfId="0" applyFont="1" applyFill="1" applyBorder="1" applyAlignment="1">
      <alignment horizontal="left" indent="2"/>
    </xf>
    <xf numFmtId="42" fontId="0" fillId="0" borderId="0" xfId="0" applyNumberFormat="1" applyFont="1" applyFill="1" applyBorder="1"/>
    <xf numFmtId="41" fontId="0" fillId="0" borderId="0" xfId="0" applyNumberFormat="1" applyFont="1" applyFill="1" applyBorder="1"/>
    <xf numFmtId="42" fontId="0" fillId="0" borderId="3" xfId="0" applyNumberFormat="1" applyFont="1" applyFill="1" applyBorder="1"/>
    <xf numFmtId="42" fontId="0" fillId="0" borderId="8" xfId="0" applyNumberFormat="1" applyFont="1" applyFill="1" applyBorder="1"/>
    <xf numFmtId="43" fontId="0" fillId="0" borderId="10" xfId="0" applyNumberFormat="1" applyFont="1" applyFill="1" applyBorder="1"/>
    <xf numFmtId="41" fontId="0" fillId="0" borderId="3" xfId="0" applyNumberFormat="1" applyFont="1" applyFill="1" applyBorder="1"/>
    <xf numFmtId="0" fontId="0" fillId="0" borderId="0" xfId="0" applyFont="1" applyFill="1" applyBorder="1" applyAlignment="1">
      <alignment horizontal="centerContinuous"/>
    </xf>
    <xf numFmtId="0" fontId="0" fillId="0" borderId="9" xfId="0" applyFont="1" applyFill="1" applyBorder="1" applyAlignment="1">
      <alignment horizontal="left" indent="6"/>
    </xf>
    <xf numFmtId="0" fontId="0" fillId="0" borderId="0" xfId="0" quotePrefix="1" applyFont="1" applyFill="1" applyBorder="1"/>
    <xf numFmtId="0" fontId="24" fillId="0" borderId="0" xfId="0" applyFont="1" applyFill="1" applyBorder="1" applyAlignment="1">
      <alignment horizontal="right"/>
    </xf>
    <xf numFmtId="10" fontId="24" fillId="0" borderId="0" xfId="0" applyNumberFormat="1" applyFont="1" applyFill="1" applyBorder="1"/>
    <xf numFmtId="0" fontId="24" fillId="0" borderId="0" xfId="0" applyFont="1" applyFill="1" applyBorder="1"/>
    <xf numFmtId="0" fontId="0" fillId="0" borderId="0" xfId="0" applyFont="1" applyFill="1" applyAlignment="1">
      <alignment horizontal="left" indent="1"/>
    </xf>
    <xf numFmtId="0" fontId="0" fillId="0" borderId="18" xfId="0" applyFont="1" applyFill="1" applyBorder="1" applyAlignment="1">
      <alignment horizontal="left" indent="1"/>
    </xf>
    <xf numFmtId="0" fontId="0" fillId="0" borderId="18" xfId="0" applyFont="1" applyFill="1" applyBorder="1"/>
    <xf numFmtId="0" fontId="0" fillId="0" borderId="18" xfId="0" applyFont="1" applyFill="1" applyBorder="1" applyAlignment="1">
      <alignment horizontal="center"/>
    </xf>
    <xf numFmtId="42" fontId="0" fillId="0" borderId="6" xfId="0" applyNumberFormat="1" applyFont="1" applyFill="1" applyBorder="1"/>
    <xf numFmtId="0" fontId="0" fillId="0" borderId="0" xfId="0" quotePrefix="1" applyFont="1" applyFill="1" applyAlignment="1">
      <alignment horizontal="left" indent="2"/>
    </xf>
    <xf numFmtId="0" fontId="0" fillId="0" borderId="0" xfId="0" applyFont="1" applyFill="1" applyAlignment="1">
      <alignment horizontal="left" indent="2"/>
    </xf>
    <xf numFmtId="0" fontId="0" fillId="0" borderId="0" xfId="0" applyFont="1" applyFill="1" applyAlignment="1">
      <alignment horizontal="left" indent="3"/>
    </xf>
    <xf numFmtId="0" fontId="18" fillId="0" borderId="20" xfId="0" applyFont="1" applyFill="1" applyBorder="1" applyAlignment="1">
      <alignment vertical="center"/>
    </xf>
    <xf numFmtId="0" fontId="19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 wrapText="1"/>
    </xf>
    <xf numFmtId="3" fontId="18" fillId="0" borderId="22" xfId="0" applyNumberFormat="1" applyFont="1" applyFill="1" applyBorder="1" applyAlignment="1">
      <alignment horizontal="right" vertical="center" wrapText="1"/>
    </xf>
    <xf numFmtId="3" fontId="18" fillId="0" borderId="23" xfId="0" applyNumberFormat="1" applyFont="1" applyFill="1" applyBorder="1" applyAlignment="1">
      <alignment horizontal="right" vertical="center" wrapText="1"/>
    </xf>
    <xf numFmtId="0" fontId="18" fillId="0" borderId="23" xfId="0" applyFont="1" applyFill="1" applyBorder="1" applyAlignment="1">
      <alignment horizontal="right" vertical="center" wrapText="1"/>
    </xf>
    <xf numFmtId="3" fontId="19" fillId="0" borderId="24" xfId="0" applyNumberFormat="1" applyFont="1" applyFill="1" applyBorder="1" applyAlignment="1">
      <alignment horizontal="right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center" vertical="center"/>
    </xf>
    <xf numFmtId="6" fontId="9" fillId="0" borderId="28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center" vertical="center"/>
    </xf>
    <xf numFmtId="3" fontId="9" fillId="0" borderId="3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41" fontId="0" fillId="0" borderId="15" xfId="0" applyNumberFormat="1" applyFont="1" applyFill="1" applyBorder="1" applyAlignment="1">
      <alignment horizontal="center"/>
    </xf>
    <xf numFmtId="41" fontId="0" fillId="0" borderId="4" xfId="0" applyNumberFormat="1" applyFont="1" applyFill="1" applyBorder="1" applyAlignment="1">
      <alignment horizontal="center"/>
    </xf>
    <xf numFmtId="41" fontId="0" fillId="0" borderId="16" xfId="0" applyNumberFormat="1" applyFont="1" applyFill="1" applyBorder="1" applyAlignment="1">
      <alignment horizontal="center"/>
    </xf>
  </cellXfs>
  <cellStyles count="3">
    <cellStyle name="Normal" xfId="0" builtinId="0"/>
    <cellStyle name="Normal 188" xfId="1"/>
    <cellStyle name="Normal_Iowa ASL GPAMOR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1057145</xdr:colOff>
      <xdr:row>20</xdr:row>
      <xdr:rowOff>38307</xdr:rowOff>
    </xdr:from>
    <xdr:to>
      <xdr:col>1</xdr:col>
      <xdr:colOff>801474</xdr:colOff>
      <xdr:row>23</xdr:row>
      <xdr:rowOff>103909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057145" y="6067632"/>
          <a:ext cx="2449429" cy="6371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91440" rIns="91440" bIns="91440" anchor="t" anchorCtr="0" upright="1">
          <a:noAutofit/>
        </a:bodyPr>
        <a:lstStyle/>
        <a:p>
          <a:pPr marL="0" marR="0" algn="ctr">
            <a:lnSpc>
              <a:spcPts val="1200"/>
            </a:lnSpc>
            <a:spcBef>
              <a:spcPts val="0"/>
            </a:spcBef>
            <a:spcAft>
              <a:spcPts val="0"/>
            </a:spcAft>
          </a:pPr>
          <a:r>
            <a:rPr lang="en-US" sz="700" b="1" cap="small">
              <a:effectLst/>
              <a:latin typeface="Arial" panose="020B0604020202020204" pitchFamily="34" charset="0"/>
              <a:ea typeface="SimSun" panose="02010600030101010101" pitchFamily="2" charset="-122"/>
            </a:rPr>
            <a:t>Shaded information Is Designated as Confidential per Protective Order in </a:t>
          </a:r>
          <a:br>
            <a:rPr lang="en-US" sz="700" b="1" cap="small">
              <a:effectLst/>
              <a:latin typeface="Arial" panose="020B0604020202020204" pitchFamily="34" charset="0"/>
              <a:ea typeface="SimSun" panose="02010600030101010101" pitchFamily="2" charset="-122"/>
            </a:rPr>
          </a:br>
          <a:r>
            <a:rPr lang="en-US" sz="700" b="1" cap="small">
              <a:effectLst/>
              <a:latin typeface="Arial" panose="020B0604020202020204" pitchFamily="34" charset="0"/>
              <a:ea typeface="SimSun" panose="02010600030101010101" pitchFamily="2" charset="-122"/>
            </a:rPr>
            <a:t>WUTC Dockets UE-190529 and UG-190530</a:t>
          </a:r>
          <a:endParaRPr lang="en-US" sz="1200">
            <a:effectLst/>
            <a:latin typeface="Times New Roman" panose="02020603050405020304" pitchFamily="18" charset="0"/>
            <a:ea typeface="SimSun" panose="02010600030101010101" pitchFamily="2" charset="-12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380191</xdr:colOff>
      <xdr:row>17</xdr:row>
      <xdr:rowOff>18643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76191" cy="3257143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0</xdr:row>
      <xdr:rowOff>0</xdr:rowOff>
    </xdr:from>
    <xdr:to>
      <xdr:col>29</xdr:col>
      <xdr:colOff>379736</xdr:colOff>
      <xdr:row>21</xdr:row>
      <xdr:rowOff>104262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43850" y="0"/>
          <a:ext cx="10114286" cy="41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17</xdr:col>
      <xdr:colOff>465372</xdr:colOff>
      <xdr:row>53</xdr:row>
      <xdr:rowOff>151691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572000"/>
          <a:ext cx="10828572" cy="56761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275277</xdr:colOff>
      <xdr:row>29</xdr:row>
      <xdr:rowOff>180262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90477" cy="57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workbookViewId="0">
      <pane xSplit="2" ySplit="7" topLeftCell="C8" activePane="bottomRight" state="frozen"/>
      <selection activeCell="A21" sqref="A21"/>
      <selection pane="topRight" activeCell="A21" sqref="A21"/>
      <selection pane="bottomLeft" activeCell="A21" sqref="A21"/>
      <selection pane="bottomRight" activeCell="B30" sqref="B30"/>
    </sheetView>
  </sheetViews>
  <sheetFormatPr defaultColWidth="9.109375" defaultRowHeight="14.4" x14ac:dyDescent="0.3"/>
  <cols>
    <col min="1" max="1" width="4.33203125" style="19" bestFit="1" customWidth="1"/>
    <col min="2" max="2" width="37.6640625" style="19" bestFit="1" customWidth="1"/>
    <col min="3" max="3" width="14.44140625" style="19" bestFit="1" customWidth="1"/>
    <col min="4" max="4" width="16.33203125" style="19" bestFit="1" customWidth="1"/>
    <col min="5" max="5" width="13.6640625" style="19" bestFit="1" customWidth="1"/>
    <col min="6" max="16384" width="9.109375" style="19"/>
  </cols>
  <sheetData>
    <row r="1" spans="1:6" x14ac:dyDescent="0.3">
      <c r="A1" s="5" t="s">
        <v>331</v>
      </c>
    </row>
    <row r="2" spans="1:6" x14ac:dyDescent="0.3">
      <c r="A2" s="5" t="s">
        <v>337</v>
      </c>
    </row>
    <row r="3" spans="1:6" x14ac:dyDescent="0.3">
      <c r="A3" s="5" t="s">
        <v>338</v>
      </c>
    </row>
    <row r="5" spans="1:6" x14ac:dyDescent="0.3">
      <c r="D5" s="11"/>
      <c r="E5" s="11"/>
    </row>
    <row r="6" spans="1:6" x14ac:dyDescent="0.3">
      <c r="C6" s="12" t="s">
        <v>306</v>
      </c>
      <c r="D6" s="11"/>
      <c r="E6" s="11"/>
    </row>
    <row r="7" spans="1:6" x14ac:dyDescent="0.3">
      <c r="A7" s="142" t="s">
        <v>330</v>
      </c>
      <c r="B7" s="8" t="s">
        <v>229</v>
      </c>
      <c r="C7" s="8" t="s">
        <v>332</v>
      </c>
      <c r="D7" s="8" t="s">
        <v>307</v>
      </c>
      <c r="E7" s="8" t="s">
        <v>311</v>
      </c>
      <c r="F7" s="8" t="s">
        <v>311</v>
      </c>
    </row>
    <row r="9" spans="1:6" x14ac:dyDescent="0.3">
      <c r="A9" s="181">
        <v>1</v>
      </c>
      <c r="B9" s="19" t="s">
        <v>347</v>
      </c>
      <c r="C9" s="143"/>
      <c r="D9" s="143">
        <f>D25</f>
        <v>-1277034.0823523458</v>
      </c>
      <c r="E9" s="143"/>
    </row>
    <row r="10" spans="1:6" x14ac:dyDescent="0.3">
      <c r="A10" s="181">
        <f>A9+1</f>
        <v>2</v>
      </c>
      <c r="B10" s="19" t="s">
        <v>346</v>
      </c>
      <c r="D10" s="14" t="s">
        <v>345</v>
      </c>
    </row>
    <row r="11" spans="1:6" x14ac:dyDescent="0.3">
      <c r="A11" s="181">
        <f>A10+1</f>
        <v>3</v>
      </c>
      <c r="B11" s="19" t="s">
        <v>348</v>
      </c>
      <c r="D11" s="14" t="s">
        <v>345</v>
      </c>
    </row>
    <row r="12" spans="1:6" x14ac:dyDescent="0.3">
      <c r="A12" s="181">
        <f>A11+1</f>
        <v>4</v>
      </c>
      <c r="D12" s="144"/>
    </row>
    <row r="13" spans="1:6" ht="15" thickBot="1" x14ac:dyDescent="0.35">
      <c r="A13" s="181">
        <f t="shared" ref="A13" si="0">A12+1</f>
        <v>5</v>
      </c>
      <c r="B13" s="19" t="s">
        <v>344</v>
      </c>
      <c r="D13" s="145">
        <f>SUM(D9:D12)</f>
        <v>-1277034.0823523458</v>
      </c>
    </row>
    <row r="14" spans="1:6" ht="15.6" thickTop="1" thickBot="1" x14ac:dyDescent="0.35">
      <c r="A14" s="181">
        <f t="shared" ref="A14" si="1">A13+1</f>
        <v>6</v>
      </c>
      <c r="F14" s="133"/>
    </row>
    <row r="15" spans="1:6" x14ac:dyDescent="0.3">
      <c r="A15" s="182">
        <f t="shared" ref="A15:A64" si="2">A14+1</f>
        <v>7</v>
      </c>
      <c r="B15" s="183"/>
      <c r="C15" s="183"/>
      <c r="D15" s="183"/>
      <c r="E15" s="183"/>
      <c r="F15" s="184"/>
    </row>
    <row r="16" spans="1:6" x14ac:dyDescent="0.3">
      <c r="A16" s="181">
        <f t="shared" si="2"/>
        <v>8</v>
      </c>
      <c r="B16" s="19" t="s">
        <v>319</v>
      </c>
    </row>
    <row r="17" spans="1:6" x14ac:dyDescent="0.3">
      <c r="A17" s="181">
        <f t="shared" si="2"/>
        <v>9</v>
      </c>
    </row>
    <row r="18" spans="1:6" x14ac:dyDescent="0.3">
      <c r="A18" s="181">
        <f t="shared" si="2"/>
        <v>10</v>
      </c>
      <c r="B18" s="158" t="s">
        <v>297</v>
      </c>
      <c r="C18" s="143">
        <f>'BGM Tables'!H86</f>
        <v>-176254760.97999984</v>
      </c>
      <c r="D18" s="143">
        <f>-D36</f>
        <v>-111946494.45999984</v>
      </c>
      <c r="E18" s="143">
        <f>D18-C18</f>
        <v>64308266.519999996</v>
      </c>
      <c r="F18" s="133">
        <v>1</v>
      </c>
    </row>
    <row r="19" spans="1:6" x14ac:dyDescent="0.3">
      <c r="A19" s="181">
        <f t="shared" si="2"/>
        <v>11</v>
      </c>
      <c r="B19" s="158"/>
      <c r="F19" s="133"/>
    </row>
    <row r="20" spans="1:6" x14ac:dyDescent="0.3">
      <c r="A20" s="181">
        <f t="shared" si="2"/>
        <v>12</v>
      </c>
      <c r="B20" s="158" t="s">
        <v>298</v>
      </c>
      <c r="C20" s="33">
        <f>C43</f>
        <v>145896087.8964</v>
      </c>
      <c r="D20" s="33">
        <f>D43</f>
        <v>99049462.930000007</v>
      </c>
      <c r="E20" s="33">
        <f>D20-C20</f>
        <v>-46846624.966399997</v>
      </c>
      <c r="F20" s="133" t="s">
        <v>315</v>
      </c>
    </row>
    <row r="21" spans="1:6" x14ac:dyDescent="0.3">
      <c r="A21" s="181">
        <f t="shared" si="2"/>
        <v>13</v>
      </c>
      <c r="B21" s="158"/>
      <c r="F21" s="133"/>
    </row>
    <row r="22" spans="1:6" x14ac:dyDescent="0.3">
      <c r="A22" s="181">
        <f t="shared" si="2"/>
        <v>14</v>
      </c>
      <c r="B22" s="158" t="s">
        <v>299</v>
      </c>
      <c r="C22" s="33">
        <f>'BGM Tables'!H90</f>
        <v>-129618737.05697709</v>
      </c>
      <c r="D22" s="33">
        <v>0</v>
      </c>
      <c r="E22" s="33">
        <f>D22-C22</f>
        <v>129618737.05697709</v>
      </c>
      <c r="F22" s="133">
        <v>5</v>
      </c>
    </row>
    <row r="23" spans="1:6" x14ac:dyDescent="0.3">
      <c r="A23" s="181">
        <f t="shared" si="2"/>
        <v>15</v>
      </c>
      <c r="B23" s="158"/>
      <c r="C23" s="174"/>
      <c r="D23" s="174"/>
      <c r="E23" s="174"/>
      <c r="F23" s="133"/>
    </row>
    <row r="24" spans="1:6" x14ac:dyDescent="0.3">
      <c r="A24" s="181">
        <f t="shared" si="2"/>
        <v>16</v>
      </c>
      <c r="B24" s="158" t="s">
        <v>300</v>
      </c>
      <c r="C24" s="170">
        <f>SUM(C18:C23)</f>
        <v>-159977410.14057693</v>
      </c>
      <c r="D24" s="170">
        <f>SUM(D18:D23)</f>
        <v>-12897031.529999837</v>
      </c>
      <c r="E24" s="170">
        <f>SUM(E18:E23)</f>
        <v>147080378.61057711</v>
      </c>
      <c r="F24" s="133"/>
    </row>
    <row r="25" spans="1:6" x14ac:dyDescent="0.3">
      <c r="A25" s="181">
        <f t="shared" si="2"/>
        <v>17</v>
      </c>
      <c r="B25" s="13" t="s">
        <v>304</v>
      </c>
      <c r="C25" s="33">
        <f>'BGM Tables'!H93</f>
        <v>-16181249.119381841</v>
      </c>
      <c r="D25" s="33">
        <f>D24*'BGM Tables'!G92/'BGM Tables'!G94</f>
        <v>-1277034.0823523458</v>
      </c>
      <c r="E25" s="170">
        <f>D25-C25</f>
        <v>14904215.037029495</v>
      </c>
      <c r="F25" s="133"/>
    </row>
    <row r="26" spans="1:6" x14ac:dyDescent="0.3">
      <c r="A26" s="181">
        <f t="shared" si="2"/>
        <v>18</v>
      </c>
      <c r="B26" s="158"/>
      <c r="F26" s="133"/>
    </row>
    <row r="27" spans="1:6" x14ac:dyDescent="0.3">
      <c r="A27" s="181">
        <f t="shared" si="2"/>
        <v>19</v>
      </c>
      <c r="B27" s="13" t="s">
        <v>305</v>
      </c>
      <c r="C27" s="143">
        <f>SUM(C20:C22)</f>
        <v>16277350.839422911</v>
      </c>
      <c r="D27" s="143">
        <f>SUM(D20:D22)</f>
        <v>99049462.930000007</v>
      </c>
      <c r="E27" s="33">
        <f>D27-C27</f>
        <v>82772112.090577096</v>
      </c>
      <c r="F27" s="133"/>
    </row>
    <row r="28" spans="1:6" x14ac:dyDescent="0.3">
      <c r="A28" s="181">
        <f t="shared" si="2"/>
        <v>20</v>
      </c>
      <c r="F28" s="133"/>
    </row>
    <row r="29" spans="1:6" ht="15" thickBot="1" x14ac:dyDescent="0.35">
      <c r="A29" s="181">
        <f t="shared" si="2"/>
        <v>21</v>
      </c>
      <c r="F29" s="133"/>
    </row>
    <row r="30" spans="1:6" x14ac:dyDescent="0.3">
      <c r="A30" s="182">
        <f t="shared" si="2"/>
        <v>22</v>
      </c>
      <c r="B30" s="183"/>
      <c r="C30" s="183"/>
      <c r="D30" s="183"/>
      <c r="E30" s="183"/>
      <c r="F30" s="184"/>
    </row>
    <row r="31" spans="1:6" x14ac:dyDescent="0.3">
      <c r="A31" s="181">
        <f t="shared" si="2"/>
        <v>23</v>
      </c>
      <c r="F31" s="133"/>
    </row>
    <row r="32" spans="1:6" x14ac:dyDescent="0.3">
      <c r="A32" s="181">
        <f t="shared" si="2"/>
        <v>24</v>
      </c>
      <c r="B32" s="19" t="s">
        <v>310</v>
      </c>
      <c r="F32" s="133"/>
    </row>
    <row r="33" spans="1:6" x14ac:dyDescent="0.3">
      <c r="A33" s="181">
        <f t="shared" si="2"/>
        <v>25</v>
      </c>
      <c r="B33" s="181" t="s">
        <v>56</v>
      </c>
      <c r="C33" s="143">
        <f>'BGM Tables'!G7</f>
        <v>323313129.24999988</v>
      </c>
      <c r="D33" s="143">
        <f>C33</f>
        <v>323313129.24999988</v>
      </c>
      <c r="E33" s="143">
        <f>D33-C33</f>
        <v>0</v>
      </c>
      <c r="F33" s="133"/>
    </row>
    <row r="34" spans="1:6" x14ac:dyDescent="0.3">
      <c r="A34" s="181">
        <f t="shared" si="2"/>
        <v>26</v>
      </c>
      <c r="B34" s="181" t="s">
        <v>57</v>
      </c>
      <c r="C34" s="33">
        <f>'BGM Tables'!G8</f>
        <v>-179212501.53000003</v>
      </c>
      <c r="D34" s="33">
        <f>C34</f>
        <v>-179212501.53000003</v>
      </c>
      <c r="E34" s="33">
        <f>D34-C34</f>
        <v>0</v>
      </c>
      <c r="F34" s="133"/>
    </row>
    <row r="35" spans="1:6" x14ac:dyDescent="0.3">
      <c r="A35" s="181">
        <f t="shared" si="2"/>
        <v>27</v>
      </c>
      <c r="B35" s="181" t="s">
        <v>58</v>
      </c>
      <c r="C35" s="33">
        <f>'BGM Tables'!G9</f>
        <v>32154133.260000002</v>
      </c>
      <c r="D35" s="33">
        <f>-C35</f>
        <v>-32154133.260000002</v>
      </c>
      <c r="E35" s="33">
        <f>D35-C35</f>
        <v>-64308266.520000003</v>
      </c>
      <c r="F35" s="133">
        <v>1</v>
      </c>
    </row>
    <row r="36" spans="1:6" ht="15" thickBot="1" x14ac:dyDescent="0.35">
      <c r="A36" s="181">
        <f t="shared" si="2"/>
        <v>28</v>
      </c>
      <c r="B36" s="181" t="s">
        <v>59</v>
      </c>
      <c r="C36" s="185">
        <f>SUM(C33:C35)</f>
        <v>176254760.97999984</v>
      </c>
      <c r="D36" s="185">
        <f>SUM(D33:D35)</f>
        <v>111946494.45999984</v>
      </c>
      <c r="E36" s="185">
        <f>SUM(E33:E35)</f>
        <v>-64308266.520000003</v>
      </c>
      <c r="F36" s="133"/>
    </row>
    <row r="37" spans="1:6" ht="15" thickTop="1" x14ac:dyDescent="0.3">
      <c r="A37" s="181">
        <f t="shared" si="2"/>
        <v>29</v>
      </c>
    </row>
    <row r="38" spans="1:6" x14ac:dyDescent="0.3">
      <c r="A38" s="181">
        <f t="shared" si="2"/>
        <v>30</v>
      </c>
      <c r="B38" s="19" t="s">
        <v>313</v>
      </c>
    </row>
    <row r="39" spans="1:6" x14ac:dyDescent="0.3">
      <c r="A39" s="181">
        <f t="shared" si="2"/>
        <v>31</v>
      </c>
      <c r="B39" s="157" t="s">
        <v>63</v>
      </c>
      <c r="C39" s="143">
        <f>'BGM Tables'!L7</f>
        <v>178247202</v>
      </c>
      <c r="D39" s="143">
        <f>'AWEC 34 2019 w ARC'!B16-'AWEC 34 2019 w ARC'!B7</f>
        <v>125379067</v>
      </c>
      <c r="E39" s="143">
        <f>D39-C39</f>
        <v>-52868135</v>
      </c>
      <c r="F39" s="133">
        <v>2</v>
      </c>
    </row>
    <row r="40" spans="1:6" x14ac:dyDescent="0.3">
      <c r="A40" s="181">
        <f t="shared" si="2"/>
        <v>32</v>
      </c>
      <c r="B40" s="157" t="s">
        <v>64</v>
      </c>
      <c r="C40" s="33">
        <f>'BGM Tables'!L8</f>
        <v>-4698559.5</v>
      </c>
      <c r="D40" s="33">
        <v>0</v>
      </c>
      <c r="E40" s="33">
        <f>D40-C40</f>
        <v>4698559.5</v>
      </c>
      <c r="F40" s="133">
        <v>3</v>
      </c>
    </row>
    <row r="41" spans="1:6" x14ac:dyDescent="0.3">
      <c r="A41" s="181">
        <f t="shared" si="2"/>
        <v>33</v>
      </c>
      <c r="B41" s="157" t="s">
        <v>65</v>
      </c>
      <c r="C41" s="33">
        <f>'BGM Tables'!L9</f>
        <v>-32154133.260000002</v>
      </c>
      <c r="D41" s="33">
        <f>-D39*0.21</f>
        <v>-26329604.07</v>
      </c>
      <c r="E41" s="33">
        <f>D41-C41</f>
        <v>5824529.1900000013</v>
      </c>
      <c r="F41" s="133" t="s">
        <v>323</v>
      </c>
    </row>
    <row r="42" spans="1:6" x14ac:dyDescent="0.3">
      <c r="A42" s="181">
        <f t="shared" si="2"/>
        <v>34</v>
      </c>
      <c r="B42" s="157" t="s">
        <v>66</v>
      </c>
      <c r="C42" s="33">
        <f>C41*(0.21-0.35)</f>
        <v>4501578.6563999997</v>
      </c>
      <c r="D42" s="33">
        <v>0</v>
      </c>
      <c r="E42" s="33">
        <f>D42-C42</f>
        <v>-4501578.6563999997</v>
      </c>
      <c r="F42" s="133" t="s">
        <v>329</v>
      </c>
    </row>
    <row r="43" spans="1:6" ht="15" thickBot="1" x14ac:dyDescent="0.35">
      <c r="A43" s="181">
        <f t="shared" si="2"/>
        <v>35</v>
      </c>
      <c r="B43" s="157" t="s">
        <v>314</v>
      </c>
      <c r="C43" s="185">
        <f>SUM(C39:C42)</f>
        <v>145896087.8964</v>
      </c>
      <c r="D43" s="185">
        <f>SUM(D39:D42)</f>
        <v>99049462.930000007</v>
      </c>
      <c r="E43" s="185">
        <f>SUM(E39:E42)</f>
        <v>-46846624.966400005</v>
      </c>
    </row>
    <row r="44" spans="1:6" ht="15" thickTop="1" x14ac:dyDescent="0.3">
      <c r="A44" s="181">
        <f t="shared" si="2"/>
        <v>36</v>
      </c>
    </row>
    <row r="45" spans="1:6" x14ac:dyDescent="0.3">
      <c r="A45" s="181">
        <f t="shared" si="2"/>
        <v>37</v>
      </c>
      <c r="C45" s="33"/>
    </row>
    <row r="46" spans="1:6" x14ac:dyDescent="0.3">
      <c r="A46" s="181">
        <f t="shared" si="2"/>
        <v>38</v>
      </c>
      <c r="B46" s="186" t="s">
        <v>312</v>
      </c>
    </row>
    <row r="47" spans="1:6" x14ac:dyDescent="0.3">
      <c r="A47" s="181">
        <f t="shared" si="2"/>
        <v>39</v>
      </c>
      <c r="B47" s="187"/>
    </row>
    <row r="48" spans="1:6" x14ac:dyDescent="0.3">
      <c r="A48" s="181">
        <f t="shared" si="2"/>
        <v>40</v>
      </c>
      <c r="B48" s="187" t="s">
        <v>333</v>
      </c>
    </row>
    <row r="49" spans="1:2" x14ac:dyDescent="0.3">
      <c r="A49" s="181">
        <f t="shared" si="2"/>
        <v>41</v>
      </c>
      <c r="B49" s="188" t="s">
        <v>334</v>
      </c>
    </row>
    <row r="50" spans="1:2" x14ac:dyDescent="0.3">
      <c r="A50" s="181">
        <f t="shared" si="2"/>
        <v>42</v>
      </c>
      <c r="B50" s="187"/>
    </row>
    <row r="51" spans="1:2" x14ac:dyDescent="0.3">
      <c r="A51" s="181">
        <f t="shared" si="2"/>
        <v>43</v>
      </c>
      <c r="B51" s="187" t="s">
        <v>317</v>
      </c>
    </row>
    <row r="52" spans="1:2" x14ac:dyDescent="0.3">
      <c r="A52" s="181">
        <f t="shared" si="2"/>
        <v>44</v>
      </c>
      <c r="B52" s="188" t="s">
        <v>318</v>
      </c>
    </row>
    <row r="53" spans="1:2" x14ac:dyDescent="0.3">
      <c r="A53" s="181">
        <f t="shared" si="2"/>
        <v>45</v>
      </c>
      <c r="B53" s="187"/>
    </row>
    <row r="54" spans="1:2" x14ac:dyDescent="0.3">
      <c r="A54" s="181">
        <f t="shared" si="2"/>
        <v>46</v>
      </c>
      <c r="B54" s="187" t="s">
        <v>316</v>
      </c>
    </row>
    <row r="55" spans="1:2" x14ac:dyDescent="0.3">
      <c r="A55" s="181">
        <f t="shared" si="2"/>
        <v>47</v>
      </c>
      <c r="B55" s="187"/>
    </row>
    <row r="56" spans="1:2" x14ac:dyDescent="0.3">
      <c r="A56" s="181">
        <f t="shared" si="2"/>
        <v>48</v>
      </c>
      <c r="B56" s="187" t="s">
        <v>335</v>
      </c>
    </row>
    <row r="57" spans="1:2" x14ac:dyDescent="0.3">
      <c r="A57" s="181">
        <f t="shared" si="2"/>
        <v>49</v>
      </c>
      <c r="B57" s="188" t="s">
        <v>336</v>
      </c>
    </row>
    <row r="58" spans="1:2" x14ac:dyDescent="0.3">
      <c r="A58" s="181">
        <f t="shared" si="2"/>
        <v>50</v>
      </c>
      <c r="B58" s="187"/>
    </row>
    <row r="59" spans="1:2" x14ac:dyDescent="0.3">
      <c r="A59" s="181">
        <f t="shared" si="2"/>
        <v>51</v>
      </c>
      <c r="B59" s="187" t="s">
        <v>324</v>
      </c>
    </row>
    <row r="60" spans="1:2" x14ac:dyDescent="0.3">
      <c r="A60" s="181">
        <f t="shared" si="2"/>
        <v>52</v>
      </c>
      <c r="B60" s="187" t="s">
        <v>325</v>
      </c>
    </row>
    <row r="61" spans="1:2" x14ac:dyDescent="0.3">
      <c r="A61" s="181">
        <f t="shared" si="2"/>
        <v>53</v>
      </c>
      <c r="B61" s="187" t="s">
        <v>326</v>
      </c>
    </row>
    <row r="62" spans="1:2" x14ac:dyDescent="0.3">
      <c r="A62" s="181">
        <f t="shared" si="2"/>
        <v>54</v>
      </c>
      <c r="B62" s="187"/>
    </row>
    <row r="63" spans="1:2" x14ac:dyDescent="0.3">
      <c r="A63" s="181">
        <f t="shared" si="2"/>
        <v>55</v>
      </c>
      <c r="B63" s="187" t="s">
        <v>327</v>
      </c>
    </row>
    <row r="64" spans="1:2" x14ac:dyDescent="0.3">
      <c r="A64" s="181">
        <f t="shared" si="2"/>
        <v>56</v>
      </c>
      <c r="B64" s="187" t="s">
        <v>328</v>
      </c>
    </row>
  </sheetData>
  <printOptions horizontalCentered="1"/>
  <pageMargins left="0.25" right="0.25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35" sqref="B35:B36"/>
    </sheetView>
  </sheetViews>
  <sheetFormatPr defaultColWidth="9.109375" defaultRowHeight="14.4" x14ac:dyDescent="0.3"/>
  <cols>
    <col min="1" max="1" width="17.5546875" style="19" customWidth="1"/>
    <col min="2" max="2" width="12.33203125" style="19" bestFit="1" customWidth="1"/>
    <col min="3" max="3" width="17.33203125" style="19" customWidth="1"/>
    <col min="4" max="4" width="12" style="19" customWidth="1"/>
    <col min="5" max="16384" width="9.109375" style="19"/>
  </cols>
  <sheetData>
    <row r="1" spans="1:4" x14ac:dyDescent="0.3">
      <c r="A1" s="2"/>
      <c r="B1" s="3"/>
      <c r="C1" s="4"/>
    </row>
    <row r="2" spans="1:4" x14ac:dyDescent="0.3">
      <c r="A2" s="5"/>
      <c r="B2" s="3"/>
      <c r="C2" s="6">
        <f>'AWEC 49 PSE Int Tab 1'!C11</f>
        <v>8.7215189873417726E-2</v>
      </c>
    </row>
    <row r="3" spans="1:4" x14ac:dyDescent="0.3">
      <c r="A3" s="7" t="s">
        <v>276</v>
      </c>
      <c r="B3" s="7" t="s">
        <v>37</v>
      </c>
      <c r="C3" s="8" t="s">
        <v>251</v>
      </c>
      <c r="D3" s="9" t="s">
        <v>277</v>
      </c>
    </row>
    <row r="4" spans="1:4" x14ac:dyDescent="0.3">
      <c r="A4" s="23">
        <v>43738</v>
      </c>
      <c r="B4" s="146">
        <f>'AWEC 49 PSE Int Tab 1'!$C$9</f>
        <v>82224442</v>
      </c>
      <c r="C4" s="15">
        <f>(((B4/2)*$C$2/12))</f>
        <v>298800.84671940928</v>
      </c>
      <c r="D4" s="19" t="s">
        <v>273</v>
      </c>
    </row>
    <row r="5" spans="1:4" x14ac:dyDescent="0.3">
      <c r="A5" s="23">
        <v>43769</v>
      </c>
      <c r="B5" s="146">
        <f>'AWEC 49 PSE Int Tab 1'!$C$9</f>
        <v>82224442</v>
      </c>
      <c r="C5" s="15">
        <f>((((B4+B5)/2)*$C$2/12))</f>
        <v>597601.69343881856</v>
      </c>
    </row>
    <row r="6" spans="1:4" x14ac:dyDescent="0.3">
      <c r="A6" s="23">
        <v>43799</v>
      </c>
      <c r="B6" s="146">
        <f>'AWEC 49 PSE Int Tab 1'!$C$9</f>
        <v>82224442</v>
      </c>
      <c r="C6" s="15">
        <f>((((B5+B6)/2)*$C$2/12))</f>
        <v>597601.69343881856</v>
      </c>
    </row>
    <row r="7" spans="1:4" x14ac:dyDescent="0.3">
      <c r="A7" s="23">
        <v>43830</v>
      </c>
      <c r="B7" s="146">
        <f>'AWEC 49 PSE Int Tab 1'!$C$9</f>
        <v>82224442</v>
      </c>
      <c r="C7" s="15">
        <f>((((B6+B7)/2)*$C$2/12))</f>
        <v>597601.69343881856</v>
      </c>
    </row>
    <row r="8" spans="1:4" x14ac:dyDescent="0.3">
      <c r="A8" s="147" t="s">
        <v>278</v>
      </c>
      <c r="B8" s="148"/>
      <c r="C8" s="149">
        <f>SUM(C4:C7)</f>
        <v>2091605.9270358649</v>
      </c>
    </row>
    <row r="9" spans="1:4" x14ac:dyDescent="0.3">
      <c r="A9" s="131"/>
      <c r="B9" s="148"/>
      <c r="C9" s="148"/>
    </row>
    <row r="10" spans="1:4" x14ac:dyDescent="0.3">
      <c r="A10" s="131"/>
      <c r="B10" s="146"/>
    </row>
    <row r="11" spans="1:4" x14ac:dyDescent="0.3">
      <c r="A11" s="131" t="s">
        <v>273</v>
      </c>
      <c r="B11" s="146" t="s">
        <v>274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zoomScaleNormal="100" workbookViewId="0">
      <pane ySplit="3" topLeftCell="A45" activePane="bottomLeft" state="frozen"/>
      <selection activeCell="B35" sqref="B35:B36"/>
      <selection pane="bottomLeft" activeCell="B35" sqref="B35:B36"/>
    </sheetView>
  </sheetViews>
  <sheetFormatPr defaultColWidth="9.109375" defaultRowHeight="14.4" x14ac:dyDescent="0.3"/>
  <cols>
    <col min="1" max="1" width="33.6640625" style="19" customWidth="1"/>
    <col min="2" max="2" width="35.5546875" style="19" bestFit="1" customWidth="1"/>
    <col min="3" max="3" width="6.6640625" style="19" customWidth="1"/>
    <col min="4" max="4" width="3.33203125" style="139" bestFit="1" customWidth="1"/>
    <col min="5" max="5" width="16.5546875" style="19" bestFit="1" customWidth="1"/>
    <col min="6" max="6" width="15.33203125" style="19" bestFit="1" customWidth="1"/>
    <col min="7" max="7" width="3.33203125" style="139" bestFit="1" customWidth="1"/>
    <col min="8" max="8" width="13.6640625" style="19" bestFit="1" customWidth="1"/>
    <col min="9" max="9" width="14.44140625" style="19" bestFit="1" customWidth="1"/>
    <col min="10" max="10" width="12" style="19" bestFit="1" customWidth="1"/>
    <col min="11" max="11" width="14.44140625" style="19" bestFit="1" customWidth="1"/>
    <col min="12" max="12" width="16.6640625" style="19" bestFit="1" customWidth="1"/>
    <col min="13" max="13" width="6.33203125" style="135" bestFit="1" customWidth="1"/>
    <col min="14" max="14" width="9.109375" style="19"/>
    <col min="15" max="15" width="13.33203125" style="19" bestFit="1" customWidth="1"/>
    <col min="16" max="16" width="15.44140625" style="19" customWidth="1"/>
    <col min="17" max="17" width="9.109375" style="19"/>
    <col min="18" max="18" width="14" style="19" customWidth="1"/>
    <col min="19" max="16384" width="9.109375" style="19"/>
  </cols>
  <sheetData>
    <row r="1" spans="1:18" x14ac:dyDescent="0.3">
      <c r="A1" s="5" t="s">
        <v>76</v>
      </c>
      <c r="B1" s="131">
        <v>43646</v>
      </c>
      <c r="C1" s="131"/>
      <c r="D1" s="132"/>
      <c r="G1" s="132"/>
      <c r="J1" s="133" t="s">
        <v>77</v>
      </c>
      <c r="K1" s="134">
        <v>44743</v>
      </c>
    </row>
    <row r="2" spans="1:18" s="4" customFormat="1" ht="30.15" customHeight="1" x14ac:dyDescent="0.3">
      <c r="A2" s="4" t="s">
        <v>78</v>
      </c>
      <c r="B2" s="4" t="s">
        <v>79</v>
      </c>
      <c r="C2" s="4" t="s">
        <v>80</v>
      </c>
      <c r="D2" s="136"/>
      <c r="E2" s="4" t="s">
        <v>81</v>
      </c>
      <c r="F2" s="4" t="s">
        <v>82</v>
      </c>
      <c r="G2" s="136"/>
      <c r="H2" s="4" t="s">
        <v>83</v>
      </c>
      <c r="I2" s="17" t="s">
        <v>84</v>
      </c>
      <c r="J2" s="18" t="s">
        <v>85</v>
      </c>
      <c r="K2" s="17" t="s">
        <v>86</v>
      </c>
      <c r="L2" s="4" t="s">
        <v>87</v>
      </c>
      <c r="M2" s="137" t="s">
        <v>88</v>
      </c>
    </row>
    <row r="3" spans="1:18" s="11" customFormat="1" x14ac:dyDescent="0.3">
      <c r="A3" s="138"/>
      <c r="B3" s="138"/>
      <c r="C3" s="138"/>
      <c r="D3" s="138"/>
      <c r="E3" s="138" t="s">
        <v>89</v>
      </c>
      <c r="F3" s="138" t="s">
        <v>90</v>
      </c>
      <c r="G3" s="138"/>
      <c r="H3" s="138" t="s">
        <v>91</v>
      </c>
      <c r="I3" s="138" t="s">
        <v>92</v>
      </c>
      <c r="J3" s="138" t="s">
        <v>93</v>
      </c>
      <c r="K3" s="138" t="s">
        <v>94</v>
      </c>
      <c r="L3" s="138" t="s">
        <v>95</v>
      </c>
      <c r="M3" s="135"/>
    </row>
    <row r="4" spans="1:18" x14ac:dyDescent="0.3">
      <c r="A4" s="19" t="s">
        <v>96</v>
      </c>
      <c r="B4" s="19" t="s">
        <v>97</v>
      </c>
      <c r="C4" s="19" t="str">
        <f>IF(B4='1065'!L2,"","X")</f>
        <v/>
      </c>
      <c r="D4" s="139" t="s">
        <v>98</v>
      </c>
      <c r="E4" s="15">
        <f>'1065'!I2</f>
        <v>28925.39</v>
      </c>
      <c r="F4" s="15">
        <f>'1065'!E2</f>
        <v>0</v>
      </c>
      <c r="G4" s="139" t="s">
        <v>99</v>
      </c>
      <c r="H4" s="20">
        <f>'1065'!C2+'1065'!T2</f>
        <v>0</v>
      </c>
      <c r="I4" s="15">
        <f t="shared" ref="I4:I32" si="0">E4*H4/12</f>
        <v>0</v>
      </c>
      <c r="J4" s="140">
        <v>5.5</v>
      </c>
      <c r="K4" s="15">
        <f>I4*J4</f>
        <v>0</v>
      </c>
      <c r="L4" s="15">
        <f t="shared" ref="L4:L32" si="1">IF(H4=0,0,E4-F4-K4)</f>
        <v>0</v>
      </c>
      <c r="M4" s="135">
        <v>1</v>
      </c>
      <c r="N4" s="19" t="str">
        <f>TRIM(LEFT(B4,4))</f>
        <v>E310</v>
      </c>
      <c r="O4" s="15"/>
      <c r="P4" s="15"/>
      <c r="R4" s="15"/>
    </row>
    <row r="5" spans="1:18" x14ac:dyDescent="0.3">
      <c r="A5" s="19" t="s">
        <v>96</v>
      </c>
      <c r="B5" s="19" t="s">
        <v>100</v>
      </c>
      <c r="C5" s="19" t="str">
        <f>IF(B5='1065'!L3,"","X")</f>
        <v/>
      </c>
      <c r="D5" s="139" t="s">
        <v>101</v>
      </c>
      <c r="E5" s="15">
        <f>'1065'!I3</f>
        <v>9474423.3900000006</v>
      </c>
      <c r="F5" s="15">
        <f>'1065'!E3</f>
        <v>6075254.1399999997</v>
      </c>
      <c r="G5" s="139" t="s">
        <v>102</v>
      </c>
      <c r="H5" s="20">
        <f>'1065'!C3+'1065'!T3</f>
        <v>4.8599999999999997E-2</v>
      </c>
      <c r="I5" s="15">
        <f t="shared" si="0"/>
        <v>38371.4147295</v>
      </c>
      <c r="J5" s="140">
        <v>5.5</v>
      </c>
      <c r="K5" s="15">
        <f t="shared" ref="K5:K31" si="2">I5*J5</f>
        <v>211042.78101224999</v>
      </c>
      <c r="L5" s="15">
        <f t="shared" si="1"/>
        <v>3188126.4689877508</v>
      </c>
      <c r="N5" s="19" t="str">
        <f t="shared" ref="N5:N33" si="3">TRIM(LEFT(B5,4))</f>
        <v>E311</v>
      </c>
      <c r="O5" s="15" t="str">
        <f>TRIM(LEFT(B52,4))</f>
        <v>E311</v>
      </c>
      <c r="P5" s="15"/>
      <c r="R5" s="15"/>
    </row>
    <row r="6" spans="1:18" x14ac:dyDescent="0.3">
      <c r="A6" s="19" t="s">
        <v>96</v>
      </c>
      <c r="B6" s="19" t="s">
        <v>103</v>
      </c>
      <c r="C6" s="19" t="str">
        <f>IF(B6='1065'!L4,"","X")</f>
        <v/>
      </c>
      <c r="D6" s="139" t="s">
        <v>104</v>
      </c>
      <c r="E6" s="15">
        <f>'1065'!I4</f>
        <v>90535813.579999998</v>
      </c>
      <c r="F6" s="15">
        <f>'1065'!E4</f>
        <v>51282939.75</v>
      </c>
      <c r="G6" s="139" t="s">
        <v>105</v>
      </c>
      <c r="H6" s="20">
        <f>'1065'!C4+'1065'!T4</f>
        <v>6.1800000000000001E-2</v>
      </c>
      <c r="I6" s="15">
        <f t="shared" si="0"/>
        <v>466259.43993699999</v>
      </c>
      <c r="J6" s="140">
        <v>5.5</v>
      </c>
      <c r="K6" s="15">
        <f t="shared" si="2"/>
        <v>2564426.9196535</v>
      </c>
      <c r="L6" s="15">
        <f t="shared" si="1"/>
        <v>36688446.910346501</v>
      </c>
      <c r="N6" s="19" t="str">
        <f t="shared" si="3"/>
        <v>E312</v>
      </c>
      <c r="O6" s="15"/>
      <c r="P6" s="15"/>
      <c r="R6" s="15"/>
    </row>
    <row r="7" spans="1:18" x14ac:dyDescent="0.3">
      <c r="A7" s="19" t="s">
        <v>96</v>
      </c>
      <c r="B7" s="19" t="s">
        <v>106</v>
      </c>
      <c r="C7" s="19" t="str">
        <f>IF(B7='1065'!L5,"","X")</f>
        <v/>
      </c>
      <c r="D7" s="139" t="s">
        <v>107</v>
      </c>
      <c r="E7" s="15">
        <f>'1065'!I5</f>
        <v>28793522.690000001</v>
      </c>
      <c r="F7" s="15">
        <f>'1065'!E5</f>
        <v>12797244.039999999</v>
      </c>
      <c r="G7" s="139" t="s">
        <v>108</v>
      </c>
      <c r="H7" s="20">
        <f>'1065'!C5+'1065'!T5</f>
        <v>6.7799999999999999E-2</v>
      </c>
      <c r="I7" s="15">
        <f t="shared" si="0"/>
        <v>162683.40319850002</v>
      </c>
      <c r="J7" s="140">
        <v>5.5</v>
      </c>
      <c r="K7" s="15">
        <f t="shared" si="2"/>
        <v>894758.71759175009</v>
      </c>
      <c r="L7" s="15">
        <f t="shared" si="1"/>
        <v>15101519.932408253</v>
      </c>
      <c r="N7" s="19" t="str">
        <f t="shared" si="3"/>
        <v>E314</v>
      </c>
      <c r="O7" s="15"/>
      <c r="P7" s="15"/>
      <c r="R7" s="15"/>
    </row>
    <row r="8" spans="1:18" x14ac:dyDescent="0.3">
      <c r="A8" s="19" t="s">
        <v>96</v>
      </c>
      <c r="B8" s="19" t="s">
        <v>109</v>
      </c>
      <c r="C8" s="19" t="str">
        <f>IF(B8='1065'!L6,"","X")</f>
        <v/>
      </c>
      <c r="D8" s="139" t="s">
        <v>110</v>
      </c>
      <c r="E8" s="15">
        <f>'1065'!I6</f>
        <v>7353826.1699999999</v>
      </c>
      <c r="F8" s="15">
        <f>'1065'!E6</f>
        <v>5091330.74</v>
      </c>
      <c r="G8" s="139" t="s">
        <v>111</v>
      </c>
      <c r="H8" s="20">
        <f>'1065'!C6+'1065'!T6</f>
        <v>5.3600000000000002E-2</v>
      </c>
      <c r="I8" s="15">
        <f t="shared" si="0"/>
        <v>32847.090226</v>
      </c>
      <c r="J8" s="140">
        <v>5.5</v>
      </c>
      <c r="K8" s="15">
        <f t="shared" si="2"/>
        <v>180658.996243</v>
      </c>
      <c r="L8" s="15">
        <f t="shared" si="1"/>
        <v>2081836.4337569997</v>
      </c>
      <c r="N8" s="19" t="str">
        <f t="shared" si="3"/>
        <v>E315</v>
      </c>
      <c r="O8" s="15"/>
      <c r="P8" s="15"/>
      <c r="R8" s="15"/>
    </row>
    <row r="9" spans="1:18" x14ac:dyDescent="0.3">
      <c r="A9" s="19" t="s">
        <v>96</v>
      </c>
      <c r="B9" s="19" t="s">
        <v>112</v>
      </c>
      <c r="C9" s="19" t="str">
        <f>IF(B9='1065'!L7,"","X")</f>
        <v/>
      </c>
      <c r="D9" s="139" t="s">
        <v>113</v>
      </c>
      <c r="E9" s="15">
        <f>'1065'!I7</f>
        <v>986710.17</v>
      </c>
      <c r="F9" s="15">
        <f>'1065'!E7</f>
        <v>482314.71</v>
      </c>
      <c r="G9" s="139" t="s">
        <v>114</v>
      </c>
      <c r="H9" s="20">
        <f>'1065'!C7+'1065'!T7</f>
        <v>6.7500000000000004E-2</v>
      </c>
      <c r="I9" s="15">
        <f t="shared" si="0"/>
        <v>5550.2447062500005</v>
      </c>
      <c r="J9" s="140">
        <v>5.5</v>
      </c>
      <c r="K9" s="15">
        <f t="shared" si="2"/>
        <v>30526.345884375001</v>
      </c>
      <c r="L9" s="15">
        <f t="shared" si="1"/>
        <v>473869.11411562504</v>
      </c>
      <c r="N9" s="19" t="str">
        <f t="shared" si="3"/>
        <v>E316</v>
      </c>
      <c r="O9" s="15"/>
      <c r="P9" s="15"/>
      <c r="R9" s="15"/>
    </row>
    <row r="10" spans="1:18" x14ac:dyDescent="0.3">
      <c r="A10" s="19" t="s">
        <v>96</v>
      </c>
      <c r="B10" s="19" t="s">
        <v>115</v>
      </c>
      <c r="C10" s="19" t="str">
        <f>IF(B10='1065'!L8,"","X")</f>
        <v/>
      </c>
      <c r="D10" s="139" t="s">
        <v>116</v>
      </c>
      <c r="E10" s="15">
        <f>'1065'!I8</f>
        <v>159072.73000000001</v>
      </c>
      <c r="F10" s="15">
        <f>'1065'!E8</f>
        <v>65670</v>
      </c>
      <c r="G10" s="139" t="s">
        <v>117</v>
      </c>
      <c r="H10" s="20">
        <f>'1065'!C8+'1065'!T8</f>
        <v>5.2499999999999998E-2</v>
      </c>
      <c r="I10" s="15">
        <f t="shared" si="0"/>
        <v>695.94319374999998</v>
      </c>
      <c r="J10" s="140">
        <v>5.5</v>
      </c>
      <c r="K10" s="15">
        <f t="shared" si="2"/>
        <v>3827.6875656249999</v>
      </c>
      <c r="L10" s="15">
        <f t="shared" si="1"/>
        <v>89575.042434375006</v>
      </c>
      <c r="M10" s="135">
        <v>5</v>
      </c>
      <c r="N10" s="19" t="str">
        <f t="shared" si="3"/>
        <v>E392</v>
      </c>
      <c r="O10" s="15"/>
      <c r="P10" s="15"/>
      <c r="R10" s="15"/>
    </row>
    <row r="11" spans="1:18" x14ac:dyDescent="0.3">
      <c r="A11" s="19" t="s">
        <v>96</v>
      </c>
      <c r="B11" s="19" t="s">
        <v>118</v>
      </c>
      <c r="C11" s="19" t="str">
        <f>IF(B11='1065'!L9,"","X")</f>
        <v/>
      </c>
      <c r="D11" s="139" t="s">
        <v>119</v>
      </c>
      <c r="E11" s="15">
        <f>'1065'!I9</f>
        <v>157603.20000000001</v>
      </c>
      <c r="F11" s="15">
        <f>'1065'!E9</f>
        <v>38922.79</v>
      </c>
      <c r="G11" s="139" t="s">
        <v>120</v>
      </c>
      <c r="H11" s="20">
        <f>'1065'!C9+'1065'!T9</f>
        <v>6.5799999999999997E-2</v>
      </c>
      <c r="I11" s="15">
        <f t="shared" si="0"/>
        <v>864.19087999999999</v>
      </c>
      <c r="J11" s="140">
        <v>5.5</v>
      </c>
      <c r="K11" s="15">
        <f t="shared" si="2"/>
        <v>4753.0498399999997</v>
      </c>
      <c r="L11" s="15">
        <f t="shared" si="1"/>
        <v>113927.36016000001</v>
      </c>
      <c r="M11" s="135">
        <v>5</v>
      </c>
      <c r="N11" s="19" t="str">
        <f t="shared" si="3"/>
        <v>E396</v>
      </c>
      <c r="O11" s="15"/>
      <c r="P11" s="15"/>
      <c r="R11" s="15"/>
    </row>
    <row r="12" spans="1:18" x14ac:dyDescent="0.3">
      <c r="A12" s="19" t="s">
        <v>96</v>
      </c>
      <c r="B12" s="19" t="s">
        <v>121</v>
      </c>
      <c r="C12" s="19" t="str">
        <f>IF(B12='1065'!L10,"","X")</f>
        <v/>
      </c>
      <c r="D12" s="139" t="s">
        <v>122</v>
      </c>
      <c r="E12" s="15">
        <f>'1065'!I10</f>
        <v>213854.98</v>
      </c>
      <c r="F12" s="15">
        <f>'1065'!E10</f>
        <v>60947.83</v>
      </c>
      <c r="G12" s="139" t="s">
        <v>123</v>
      </c>
      <c r="H12" s="20">
        <f>'1065'!C10+'1065'!T10</f>
        <v>0.05</v>
      </c>
      <c r="I12" s="15">
        <f t="shared" si="0"/>
        <v>891.06241666666676</v>
      </c>
      <c r="J12" s="140">
        <v>5.5</v>
      </c>
      <c r="K12" s="15">
        <f t="shared" si="2"/>
        <v>4900.843291666667</v>
      </c>
      <c r="L12" s="15">
        <f t="shared" si="1"/>
        <v>148006.30670833334</v>
      </c>
      <c r="M12" s="135">
        <v>5</v>
      </c>
      <c r="N12" s="19" t="str">
        <f t="shared" si="3"/>
        <v>E394</v>
      </c>
      <c r="O12" s="15"/>
      <c r="P12" s="15"/>
      <c r="R12" s="15"/>
    </row>
    <row r="13" spans="1:18" x14ac:dyDescent="0.3">
      <c r="A13" s="19" t="s">
        <v>124</v>
      </c>
      <c r="B13" s="19" t="s">
        <v>125</v>
      </c>
      <c r="C13" s="19" t="str">
        <f>IF(B13='1065'!L11,"","X")</f>
        <v/>
      </c>
      <c r="D13" s="139" t="s">
        <v>126</v>
      </c>
      <c r="E13" s="15">
        <f>'1065'!I11</f>
        <v>948317.19</v>
      </c>
      <c r="F13" s="15">
        <f>'1065'!E11</f>
        <v>0</v>
      </c>
      <c r="G13" s="139" t="s">
        <v>127</v>
      </c>
      <c r="H13" s="20">
        <f>'1065'!C11+'1065'!T11</f>
        <v>0</v>
      </c>
      <c r="I13" s="15">
        <f t="shared" si="0"/>
        <v>0</v>
      </c>
      <c r="J13" s="140">
        <v>5.5</v>
      </c>
      <c r="K13" s="15">
        <f t="shared" si="2"/>
        <v>0</v>
      </c>
      <c r="L13" s="15">
        <f t="shared" si="1"/>
        <v>0</v>
      </c>
      <c r="M13" s="135">
        <v>1</v>
      </c>
      <c r="N13" s="19" t="str">
        <f t="shared" si="3"/>
        <v>E310</v>
      </c>
      <c r="O13" s="15"/>
      <c r="P13" s="15"/>
      <c r="R13" s="15"/>
    </row>
    <row r="14" spans="1:18" x14ac:dyDescent="0.3">
      <c r="A14" s="19" t="s">
        <v>124</v>
      </c>
      <c r="B14" s="19" t="s">
        <v>128</v>
      </c>
      <c r="C14" s="19" t="str">
        <f>IF(B14='1065'!L12,"","X")</f>
        <v/>
      </c>
      <c r="D14" s="139" t="s">
        <v>129</v>
      </c>
      <c r="E14" s="15">
        <f>'1065'!I12</f>
        <v>30924398.899999999</v>
      </c>
      <c r="F14" s="15">
        <f>'1065'!E12</f>
        <v>28519468.829999998</v>
      </c>
      <c r="G14" s="139" t="s">
        <v>130</v>
      </c>
      <c r="H14" s="20">
        <f>'1065'!C12+'1065'!T12</f>
        <v>2.6100000000000002E-2</v>
      </c>
      <c r="I14" s="15">
        <f t="shared" si="0"/>
        <v>67260.567607499994</v>
      </c>
      <c r="J14" s="140">
        <v>5.5</v>
      </c>
      <c r="K14" s="15">
        <f t="shared" si="2"/>
        <v>369933.12184124999</v>
      </c>
      <c r="L14" s="15">
        <f t="shared" si="1"/>
        <v>2034996.9481587503</v>
      </c>
      <c r="N14" s="19" t="str">
        <f t="shared" si="3"/>
        <v>E311</v>
      </c>
      <c r="O14" s="15"/>
      <c r="P14" s="15"/>
      <c r="R14" s="15"/>
    </row>
    <row r="15" spans="1:18" x14ac:dyDescent="0.3">
      <c r="A15" s="19" t="s">
        <v>124</v>
      </c>
      <c r="B15" s="19" t="s">
        <v>131</v>
      </c>
      <c r="C15" s="19" t="str">
        <f>IF(B15='1065'!L13,"","X")</f>
        <v/>
      </c>
      <c r="D15" s="139" t="s">
        <v>132</v>
      </c>
      <c r="E15" s="15">
        <f>'1065'!I13</f>
        <v>6036236.2699999996</v>
      </c>
      <c r="F15" s="15">
        <f>'1065'!E13</f>
        <v>5482596.2199999997</v>
      </c>
      <c r="G15" s="139" t="s">
        <v>133</v>
      </c>
      <c r="H15" s="20">
        <f>'1065'!C13+'1065'!T13</f>
        <v>2.5100000000000001E-2</v>
      </c>
      <c r="I15" s="15">
        <f t="shared" si="0"/>
        <v>12625.794198083333</v>
      </c>
      <c r="J15" s="140">
        <v>5.5</v>
      </c>
      <c r="K15" s="15">
        <f t="shared" si="2"/>
        <v>69441.868089458338</v>
      </c>
      <c r="L15" s="15">
        <f t="shared" si="1"/>
        <v>484198.18191054149</v>
      </c>
      <c r="N15" s="19" t="str">
        <f t="shared" si="3"/>
        <v>E312</v>
      </c>
      <c r="O15" s="15"/>
      <c r="P15" s="15"/>
      <c r="R15" s="15"/>
    </row>
    <row r="16" spans="1:18" x14ac:dyDescent="0.3">
      <c r="A16" s="19" t="s">
        <v>124</v>
      </c>
      <c r="B16" s="19" t="s">
        <v>134</v>
      </c>
      <c r="C16" s="19" t="str">
        <f>IF(B16='1065'!L14,"","X")</f>
        <v/>
      </c>
      <c r="D16" s="139" t="s">
        <v>135</v>
      </c>
      <c r="E16" s="15">
        <f>'1065'!I14</f>
        <v>3813725.5</v>
      </c>
      <c r="F16" s="15">
        <f>'1065'!E14</f>
        <v>3794694.44</v>
      </c>
      <c r="G16" s="139" t="s">
        <v>136</v>
      </c>
      <c r="H16" s="20">
        <f>'1065'!C14+'1065'!T14</f>
        <v>2.76E-2</v>
      </c>
      <c r="I16" s="15">
        <f t="shared" si="0"/>
        <v>8771.5686499999993</v>
      </c>
      <c r="J16" s="140">
        <v>5.5</v>
      </c>
      <c r="K16" s="15">
        <f t="shared" si="2"/>
        <v>48243.627574999999</v>
      </c>
      <c r="L16" s="15">
        <f t="shared" si="1"/>
        <v>-29212.567574999943</v>
      </c>
      <c r="M16" s="135">
        <v>2</v>
      </c>
      <c r="N16" s="19" t="str">
        <f t="shared" si="3"/>
        <v>E314</v>
      </c>
      <c r="O16" s="15"/>
      <c r="P16" s="15"/>
      <c r="R16" s="15"/>
    </row>
    <row r="17" spans="1:18" x14ac:dyDescent="0.3">
      <c r="A17" s="19" t="s">
        <v>124</v>
      </c>
      <c r="B17" s="19" t="s">
        <v>137</v>
      </c>
      <c r="C17" s="19" t="str">
        <f>IF(B17='1065'!L15,"","X")</f>
        <v/>
      </c>
      <c r="D17" s="139" t="s">
        <v>138</v>
      </c>
      <c r="E17" s="15">
        <f>'1065'!I15</f>
        <v>2272860.64</v>
      </c>
      <c r="F17" s="15">
        <f>'1065'!E15</f>
        <v>2117268.09</v>
      </c>
      <c r="G17" s="139" t="s">
        <v>139</v>
      </c>
      <c r="H17" s="20">
        <f>'1065'!C15+'1065'!T15</f>
        <v>2.3599999999999999E-2</v>
      </c>
      <c r="I17" s="15">
        <f t="shared" si="0"/>
        <v>4469.9592586666668</v>
      </c>
      <c r="J17" s="140">
        <v>5.5</v>
      </c>
      <c r="K17" s="15">
        <f t="shared" si="2"/>
        <v>24584.775922666668</v>
      </c>
      <c r="L17" s="15">
        <f t="shared" si="1"/>
        <v>131007.77407733361</v>
      </c>
      <c r="N17" s="19" t="str">
        <f t="shared" si="3"/>
        <v>E315</v>
      </c>
      <c r="O17" s="15"/>
      <c r="P17" s="15"/>
      <c r="R17" s="15"/>
    </row>
    <row r="18" spans="1:18" x14ac:dyDescent="0.3">
      <c r="A18" s="19" t="s">
        <v>124</v>
      </c>
      <c r="B18" s="19" t="s">
        <v>140</v>
      </c>
      <c r="C18" s="19" t="str">
        <f>IF(B18='1065'!L16,"","X")</f>
        <v/>
      </c>
      <c r="D18" s="139" t="s">
        <v>141</v>
      </c>
      <c r="E18" s="15">
        <f>'1065'!I16</f>
        <v>6204689.75</v>
      </c>
      <c r="F18" s="15">
        <f>'1065'!E16</f>
        <v>5747246.2400000002</v>
      </c>
      <c r="G18" s="139" t="s">
        <v>142</v>
      </c>
      <c r="H18" s="20">
        <f>'1065'!C16+'1065'!T16</f>
        <v>3.27E-2</v>
      </c>
      <c r="I18" s="15">
        <f t="shared" si="0"/>
        <v>16907.77956875</v>
      </c>
      <c r="J18" s="140">
        <v>5.5</v>
      </c>
      <c r="K18" s="15">
        <f t="shared" si="2"/>
        <v>92992.787628125006</v>
      </c>
      <c r="L18" s="15">
        <f t="shared" si="1"/>
        <v>364450.72237187478</v>
      </c>
      <c r="M18" s="135">
        <v>2</v>
      </c>
      <c r="N18" s="19" t="str">
        <f t="shared" si="3"/>
        <v>E316</v>
      </c>
      <c r="O18" s="15"/>
      <c r="P18" s="15"/>
      <c r="R18" s="15"/>
    </row>
    <row r="19" spans="1:18" x14ac:dyDescent="0.3">
      <c r="A19" s="19" t="s">
        <v>124</v>
      </c>
      <c r="B19" s="19" t="s">
        <v>143</v>
      </c>
      <c r="C19" s="19" t="str">
        <f>IF(B19='1065'!L17,"","X")</f>
        <v/>
      </c>
      <c r="D19" s="139" t="s">
        <v>144</v>
      </c>
      <c r="E19" s="15">
        <f>'1065'!I17</f>
        <v>3623.76</v>
      </c>
      <c r="F19" s="15">
        <f>'1065'!E17</f>
        <v>3183.75</v>
      </c>
      <c r="G19" s="139" t="s">
        <v>145</v>
      </c>
      <c r="H19" s="20">
        <f>'1065'!C17+'1065'!T17</f>
        <v>1.2E-2</v>
      </c>
      <c r="I19" s="15">
        <f t="shared" si="0"/>
        <v>3.6237600000000003</v>
      </c>
      <c r="J19" s="140">
        <v>5.5</v>
      </c>
      <c r="K19" s="15">
        <f t="shared" si="2"/>
        <v>19.930680000000002</v>
      </c>
      <c r="L19" s="15">
        <f t="shared" si="1"/>
        <v>420.07932000000022</v>
      </c>
      <c r="M19" s="135">
        <v>4</v>
      </c>
      <c r="N19" s="19" t="str">
        <f t="shared" si="3"/>
        <v>E350</v>
      </c>
      <c r="O19" s="15"/>
      <c r="P19" s="15"/>
      <c r="R19" s="15"/>
    </row>
    <row r="20" spans="1:18" x14ac:dyDescent="0.3">
      <c r="A20" s="19" t="s">
        <v>124</v>
      </c>
      <c r="B20" s="19" t="s">
        <v>146</v>
      </c>
      <c r="C20" s="19" t="str">
        <f>IF(B20='1065'!L18,"","X")</f>
        <v/>
      </c>
      <c r="D20" s="139" t="s">
        <v>147</v>
      </c>
      <c r="E20" s="15">
        <f>'1065'!I18</f>
        <v>1231130.94</v>
      </c>
      <c r="F20" s="15">
        <f>'1065'!E18</f>
        <v>1205800.77</v>
      </c>
      <c r="G20" s="139" t="s">
        <v>148</v>
      </c>
      <c r="H20" s="20">
        <f>'1065'!C18+'1065'!T18</f>
        <v>2.0799999999999999E-2</v>
      </c>
      <c r="I20" s="15">
        <f t="shared" si="0"/>
        <v>2133.9602959999997</v>
      </c>
      <c r="J20" s="140">
        <v>5.5</v>
      </c>
      <c r="K20" s="15">
        <f t="shared" si="2"/>
        <v>11736.781627999999</v>
      </c>
      <c r="L20" s="15">
        <f t="shared" si="1"/>
        <v>13593.388371999927</v>
      </c>
      <c r="M20" s="135" t="s">
        <v>149</v>
      </c>
      <c r="N20" s="19" t="str">
        <f t="shared" si="3"/>
        <v>E353</v>
      </c>
      <c r="O20" s="15"/>
      <c r="P20" s="15"/>
      <c r="R20" s="15"/>
    </row>
    <row r="21" spans="1:18" x14ac:dyDescent="0.3">
      <c r="A21" s="19" t="s">
        <v>124</v>
      </c>
      <c r="B21" s="19" t="s">
        <v>150</v>
      </c>
      <c r="C21" s="19" t="str">
        <f>IF(B21='1065'!L19,"","X")</f>
        <v/>
      </c>
      <c r="D21" s="139" t="s">
        <v>151</v>
      </c>
      <c r="E21" s="15">
        <f>'1065'!I19</f>
        <v>88576.95</v>
      </c>
      <c r="F21" s="15">
        <f>'1065'!E19</f>
        <v>81989.77</v>
      </c>
      <c r="G21" s="139" t="s">
        <v>152</v>
      </c>
      <c r="H21" s="20">
        <f>'1065'!C19+'1065'!T19</f>
        <v>4.5999999999999999E-3</v>
      </c>
      <c r="I21" s="15">
        <f t="shared" si="0"/>
        <v>33.954497499999995</v>
      </c>
      <c r="J21" s="140">
        <v>5.5</v>
      </c>
      <c r="K21" s="15">
        <f t="shared" si="2"/>
        <v>186.74973624999998</v>
      </c>
      <c r="L21" s="15">
        <f t="shared" si="1"/>
        <v>6400.4302637499932</v>
      </c>
      <c r="M21" s="135">
        <v>4</v>
      </c>
      <c r="N21" s="19" t="str">
        <f t="shared" si="3"/>
        <v>E354</v>
      </c>
      <c r="O21" s="15"/>
      <c r="P21" s="15"/>
      <c r="R21" s="15"/>
    </row>
    <row r="22" spans="1:18" x14ac:dyDescent="0.3">
      <c r="A22" s="19" t="s">
        <v>124</v>
      </c>
      <c r="B22" s="19" t="s">
        <v>153</v>
      </c>
      <c r="C22" s="19" t="str">
        <f>IF(B22='1065'!L20,"","X")</f>
        <v/>
      </c>
      <c r="D22" s="139" t="s">
        <v>154</v>
      </c>
      <c r="E22" s="15">
        <f>'1065'!I20</f>
        <v>49006.68</v>
      </c>
      <c r="F22" s="15">
        <f>'1065'!E20</f>
        <v>61680.2</v>
      </c>
      <c r="G22" s="139" t="s">
        <v>155</v>
      </c>
      <c r="H22" s="20">
        <f>'1065'!C20+'1065'!T20</f>
        <v>3.0900000000000004E-2</v>
      </c>
      <c r="I22" s="15">
        <f t="shared" si="0"/>
        <v>126.19220100000001</v>
      </c>
      <c r="J22" s="140">
        <v>5.5</v>
      </c>
      <c r="K22" s="15">
        <f t="shared" si="2"/>
        <v>694.05710550000003</v>
      </c>
      <c r="L22" s="15">
        <f t="shared" si="1"/>
        <v>-13367.577105499997</v>
      </c>
      <c r="M22" s="135" t="s">
        <v>149</v>
      </c>
      <c r="N22" s="19" t="str">
        <f t="shared" si="3"/>
        <v>E355</v>
      </c>
      <c r="O22" s="15"/>
      <c r="P22" s="15"/>
      <c r="R22" s="15"/>
    </row>
    <row r="23" spans="1:18" x14ac:dyDescent="0.3">
      <c r="A23" s="19" t="s">
        <v>124</v>
      </c>
      <c r="B23" s="19" t="s">
        <v>156</v>
      </c>
      <c r="C23" s="19" t="str">
        <f>IF(B23='1065'!L21,"","X")</f>
        <v/>
      </c>
      <c r="D23" s="139" t="s">
        <v>157</v>
      </c>
      <c r="E23" s="15">
        <f>'1065'!I21</f>
        <v>254414.09</v>
      </c>
      <c r="F23" s="15">
        <f>'1065'!E21</f>
        <v>182827.91</v>
      </c>
      <c r="G23" s="139" t="s">
        <v>158</v>
      </c>
      <c r="H23" s="20">
        <f>'1065'!C21+'1065'!T21</f>
        <v>1.6E-2</v>
      </c>
      <c r="I23" s="15">
        <f t="shared" si="0"/>
        <v>339.21878666666669</v>
      </c>
      <c r="J23" s="140">
        <v>5.5</v>
      </c>
      <c r="K23" s="15">
        <f t="shared" si="2"/>
        <v>1865.7033266666667</v>
      </c>
      <c r="L23" s="15">
        <f t="shared" si="1"/>
        <v>69720.476673333324</v>
      </c>
      <c r="M23" s="135">
        <v>4</v>
      </c>
      <c r="N23" s="19" t="str">
        <f t="shared" si="3"/>
        <v>E356</v>
      </c>
      <c r="O23" s="15"/>
      <c r="P23" s="15"/>
      <c r="R23" s="15"/>
    </row>
    <row r="24" spans="1:18" x14ac:dyDescent="0.3">
      <c r="A24" s="19" t="s">
        <v>159</v>
      </c>
      <c r="B24" s="19" t="s">
        <v>160</v>
      </c>
      <c r="C24" s="19" t="str">
        <f>IF(B24='1065'!L22,"","X")</f>
        <v/>
      </c>
      <c r="D24" s="139" t="s">
        <v>161</v>
      </c>
      <c r="E24" s="15">
        <f>'1065'!I22</f>
        <v>28925.39</v>
      </c>
      <c r="F24" s="15">
        <f>'1065'!E22</f>
        <v>0</v>
      </c>
      <c r="G24" s="139" t="s">
        <v>162</v>
      </c>
      <c r="H24" s="20">
        <f>'1065'!C22+'1065'!T22</f>
        <v>0</v>
      </c>
      <c r="I24" s="15">
        <f t="shared" si="0"/>
        <v>0</v>
      </c>
      <c r="J24" s="140">
        <v>5.5</v>
      </c>
      <c r="K24" s="15">
        <f t="shared" si="2"/>
        <v>0</v>
      </c>
      <c r="L24" s="15">
        <f t="shared" si="1"/>
        <v>0</v>
      </c>
      <c r="M24" s="135">
        <v>1</v>
      </c>
      <c r="N24" s="19" t="str">
        <f t="shared" si="3"/>
        <v>E310</v>
      </c>
      <c r="O24" s="15"/>
      <c r="P24" s="15"/>
      <c r="R24" s="15"/>
    </row>
    <row r="25" spans="1:18" x14ac:dyDescent="0.3">
      <c r="A25" s="19" t="s">
        <v>159</v>
      </c>
      <c r="B25" s="19" t="s">
        <v>163</v>
      </c>
      <c r="C25" s="19" t="str">
        <f>IF(B25='1065'!L23,"","X")</f>
        <v/>
      </c>
      <c r="D25" s="139" t="s">
        <v>164</v>
      </c>
      <c r="E25" s="15">
        <f>'1065'!I23</f>
        <v>4640981.3600000003</v>
      </c>
      <c r="F25" s="15">
        <f>'1065'!E23</f>
        <v>1500304.76</v>
      </c>
      <c r="G25" s="139" t="s">
        <v>165</v>
      </c>
      <c r="H25" s="20">
        <f>'1065'!C23+'1065'!T23</f>
        <v>7.4200000000000002E-2</v>
      </c>
      <c r="I25" s="15">
        <f t="shared" si="0"/>
        <v>28696.734742666667</v>
      </c>
      <c r="J25" s="140">
        <v>5.5</v>
      </c>
      <c r="K25" s="15">
        <f t="shared" si="2"/>
        <v>157832.04108466668</v>
      </c>
      <c r="L25" s="15">
        <f t="shared" si="1"/>
        <v>2982844.5589153338</v>
      </c>
      <c r="N25" s="19" t="str">
        <f t="shared" si="3"/>
        <v>E311</v>
      </c>
      <c r="O25" s="15"/>
      <c r="P25" s="15"/>
      <c r="R25" s="15"/>
    </row>
    <row r="26" spans="1:18" x14ac:dyDescent="0.3">
      <c r="A26" s="19" t="s">
        <v>159</v>
      </c>
      <c r="B26" s="19" t="s">
        <v>166</v>
      </c>
      <c r="C26" s="19" t="str">
        <f>IF(B26='1065'!L24,"","X")</f>
        <v/>
      </c>
      <c r="D26" s="139" t="s">
        <v>167</v>
      </c>
      <c r="E26" s="15">
        <f>'1065'!I24</f>
        <v>89743236.640000001</v>
      </c>
      <c r="F26" s="15">
        <f>'1065'!E24</f>
        <v>45900109.07</v>
      </c>
      <c r="G26" s="139" t="s">
        <v>168</v>
      </c>
      <c r="H26" s="20">
        <f>'1065'!C24+'1065'!T24</f>
        <v>6.6900000000000001E-2</v>
      </c>
      <c r="I26" s="15">
        <f t="shared" si="0"/>
        <v>500318.544268</v>
      </c>
      <c r="J26" s="140">
        <v>5.5</v>
      </c>
      <c r="K26" s="15">
        <f t="shared" si="2"/>
        <v>2751751.9934740001</v>
      </c>
      <c r="L26" s="15">
        <f t="shared" si="1"/>
        <v>41091375.576526001</v>
      </c>
      <c r="N26" s="19" t="str">
        <f t="shared" si="3"/>
        <v>E312</v>
      </c>
      <c r="O26" s="15"/>
      <c r="P26" s="15"/>
      <c r="R26" s="15"/>
    </row>
    <row r="27" spans="1:18" x14ac:dyDescent="0.3">
      <c r="A27" s="19" t="s">
        <v>159</v>
      </c>
      <c r="B27" s="19" t="s">
        <v>169</v>
      </c>
      <c r="C27" s="19" t="str">
        <f>IF(B27='1065'!L25,"","X")</f>
        <v/>
      </c>
      <c r="D27" s="139" t="s">
        <v>170</v>
      </c>
      <c r="E27" s="15">
        <f>'1065'!I25</f>
        <v>33894225.079999998</v>
      </c>
      <c r="F27" s="15">
        <f>'1065'!E25</f>
        <v>15627034.119999999</v>
      </c>
      <c r="G27" s="139" t="s">
        <v>171</v>
      </c>
      <c r="H27" s="20">
        <f>'1065'!C25+'1065'!T25</f>
        <v>6.6699999999999995E-2</v>
      </c>
      <c r="I27" s="15">
        <f t="shared" si="0"/>
        <v>188395.40106966664</v>
      </c>
      <c r="J27" s="140">
        <v>5.5</v>
      </c>
      <c r="K27" s="15">
        <f t="shared" si="2"/>
        <v>1036174.7058831665</v>
      </c>
      <c r="L27" s="15">
        <f t="shared" si="1"/>
        <v>17231016.254116833</v>
      </c>
      <c r="N27" s="19" t="str">
        <f t="shared" si="3"/>
        <v>E314</v>
      </c>
      <c r="O27" s="15"/>
      <c r="P27" s="15"/>
      <c r="R27" s="15"/>
    </row>
    <row r="28" spans="1:18" x14ac:dyDescent="0.3">
      <c r="A28" s="19" t="s">
        <v>159</v>
      </c>
      <c r="B28" s="19" t="s">
        <v>172</v>
      </c>
      <c r="C28" s="19" t="str">
        <f>IF(B28='1065'!L26,"","X")</f>
        <v/>
      </c>
      <c r="D28" s="139" t="s">
        <v>173</v>
      </c>
      <c r="E28" s="15">
        <f>'1065'!I26</f>
        <v>4100407.91</v>
      </c>
      <c r="F28" s="15">
        <f>'1065'!E26</f>
        <v>1700984.18</v>
      </c>
      <c r="G28" s="139" t="s">
        <v>174</v>
      </c>
      <c r="H28" s="20">
        <f>'1065'!C26+'1065'!T26</f>
        <v>6.5299999999999997E-2</v>
      </c>
      <c r="I28" s="15">
        <f t="shared" si="0"/>
        <v>22313.053043583335</v>
      </c>
      <c r="J28" s="140">
        <v>5.5</v>
      </c>
      <c r="K28" s="15">
        <f t="shared" si="2"/>
        <v>122721.79173970834</v>
      </c>
      <c r="L28" s="15">
        <f t="shared" si="1"/>
        <v>2276701.9382602922</v>
      </c>
      <c r="N28" s="19" t="str">
        <f t="shared" si="3"/>
        <v>E315</v>
      </c>
      <c r="O28" s="15"/>
      <c r="P28" s="15"/>
      <c r="R28" s="15"/>
    </row>
    <row r="29" spans="1:18" x14ac:dyDescent="0.3">
      <c r="A29" s="19" t="s">
        <v>159</v>
      </c>
      <c r="B29" s="19" t="s">
        <v>175</v>
      </c>
      <c r="C29" s="19" t="str">
        <f>IF(B29='1065'!L27,"","X")</f>
        <v/>
      </c>
      <c r="D29" s="139" t="s">
        <v>176</v>
      </c>
      <c r="E29" s="15">
        <f>'1065'!I27</f>
        <v>1117146.6200000001</v>
      </c>
      <c r="F29" s="15">
        <f>'1065'!E27</f>
        <v>604812.27</v>
      </c>
      <c r="G29" s="139" t="s">
        <v>177</v>
      </c>
      <c r="H29" s="20">
        <f>'1065'!C27+'1065'!T27</f>
        <v>6.3200000000000006E-2</v>
      </c>
      <c r="I29" s="15">
        <f t="shared" si="0"/>
        <v>5883.6388653333343</v>
      </c>
      <c r="J29" s="140">
        <v>5.5</v>
      </c>
      <c r="K29" s="15">
        <f t="shared" si="2"/>
        <v>32360.013759333338</v>
      </c>
      <c r="L29" s="15">
        <f t="shared" si="1"/>
        <v>479974.33624066674</v>
      </c>
      <c r="N29" s="19" t="str">
        <f t="shared" si="3"/>
        <v>E316</v>
      </c>
      <c r="O29" s="15"/>
      <c r="P29" s="15"/>
      <c r="R29" s="15"/>
    </row>
    <row r="30" spans="1:18" x14ac:dyDescent="0.3">
      <c r="A30" s="19" t="s">
        <v>159</v>
      </c>
      <c r="B30" s="19" t="s">
        <v>178</v>
      </c>
      <c r="C30" s="19" t="str">
        <f>IF(B30='1065'!L28,"","X")</f>
        <v/>
      </c>
      <c r="D30" s="139" t="s">
        <v>179</v>
      </c>
      <c r="E30" s="15">
        <f>'1065'!I28</f>
        <v>159072.73000000001</v>
      </c>
      <c r="F30" s="15">
        <f>'1065'!E28</f>
        <v>62419.62</v>
      </c>
      <c r="G30" s="139" t="s">
        <v>180</v>
      </c>
      <c r="H30" s="20">
        <f>'1065'!C28+'1065'!T28</f>
        <v>5.2499999999999998E-2</v>
      </c>
      <c r="I30" s="15">
        <f t="shared" si="0"/>
        <v>695.94319374999998</v>
      </c>
      <c r="J30" s="140">
        <v>5.5</v>
      </c>
      <c r="K30" s="15">
        <f t="shared" si="2"/>
        <v>3827.6875656249999</v>
      </c>
      <c r="L30" s="15">
        <f t="shared" si="1"/>
        <v>92825.42243437501</v>
      </c>
      <c r="M30" s="135">
        <v>5</v>
      </c>
      <c r="N30" s="19" t="str">
        <f t="shared" si="3"/>
        <v>E392</v>
      </c>
      <c r="O30" s="15"/>
      <c r="P30" s="15"/>
      <c r="R30" s="15"/>
    </row>
    <row r="31" spans="1:18" x14ac:dyDescent="0.3">
      <c r="A31" s="19" t="s">
        <v>159</v>
      </c>
      <c r="B31" s="19" t="s">
        <v>181</v>
      </c>
      <c r="C31" s="19" t="str">
        <f>IF(B31='1065'!L29,"","X")</f>
        <v/>
      </c>
      <c r="D31" s="139" t="s">
        <v>182</v>
      </c>
      <c r="E31" s="15">
        <f>'1065'!I29</f>
        <v>157602.39000000001</v>
      </c>
      <c r="F31" s="15">
        <f>'1065'!E29</f>
        <v>35106.57</v>
      </c>
      <c r="G31" s="139" t="s">
        <v>183</v>
      </c>
      <c r="H31" s="20">
        <f>'1065'!C29+'1065'!T29</f>
        <v>6.5799999999999997E-2</v>
      </c>
      <c r="I31" s="15">
        <f t="shared" si="0"/>
        <v>864.18643850000001</v>
      </c>
      <c r="J31" s="140">
        <v>5.5</v>
      </c>
      <c r="K31" s="15">
        <f t="shared" si="2"/>
        <v>4753.0254117499999</v>
      </c>
      <c r="L31" s="15">
        <f t="shared" si="1"/>
        <v>117742.79458825001</v>
      </c>
      <c r="M31" s="135">
        <v>5</v>
      </c>
      <c r="N31" s="19" t="str">
        <f t="shared" si="3"/>
        <v>E396</v>
      </c>
      <c r="O31" s="15"/>
      <c r="P31" s="15"/>
      <c r="R31" s="15"/>
    </row>
    <row r="32" spans="1:18" x14ac:dyDescent="0.3">
      <c r="A32" s="19" t="s">
        <v>159</v>
      </c>
      <c r="B32" s="19" t="s">
        <v>184</v>
      </c>
      <c r="C32" s="19" t="str">
        <f>IF(B32='1065'!L30,"","X")</f>
        <v/>
      </c>
      <c r="D32" s="139" t="s">
        <v>185</v>
      </c>
      <c r="E32" s="15">
        <f>'1065'!I30</f>
        <v>200238.1</v>
      </c>
      <c r="F32" s="15">
        <f>'1065'!E30</f>
        <v>54593.94</v>
      </c>
      <c r="G32" s="139" t="s">
        <v>186</v>
      </c>
      <c r="H32" s="20">
        <f>'1065'!C30+'1065'!T30</f>
        <v>0.05</v>
      </c>
      <c r="I32" s="15">
        <f t="shared" si="0"/>
        <v>834.32541666666668</v>
      </c>
      <c r="J32" s="140">
        <v>5.5</v>
      </c>
      <c r="K32" s="15">
        <f>I32*J32</f>
        <v>4588.789791666667</v>
      </c>
      <c r="L32" s="15">
        <f t="shared" si="1"/>
        <v>141055.37020833333</v>
      </c>
      <c r="M32" s="135">
        <v>5</v>
      </c>
      <c r="N32" s="19" t="str">
        <f t="shared" si="3"/>
        <v>E394</v>
      </c>
      <c r="O32" s="15"/>
      <c r="P32" s="15"/>
      <c r="R32" s="15"/>
    </row>
    <row r="33" spans="1:18" x14ac:dyDescent="0.3">
      <c r="A33" s="19" t="s">
        <v>124</v>
      </c>
      <c r="B33" s="19" t="s">
        <v>187</v>
      </c>
      <c r="D33" s="139" t="s">
        <v>188</v>
      </c>
      <c r="E33" s="15">
        <f>57398653.45</f>
        <v>57398653.450000003</v>
      </c>
      <c r="F33" s="15">
        <v>4530518.25</v>
      </c>
      <c r="L33" s="15">
        <f>E33-F33</f>
        <v>52868135.200000003</v>
      </c>
      <c r="M33" s="135">
        <v>6</v>
      </c>
      <c r="N33" s="19" t="str">
        <f t="shared" si="3"/>
        <v>E317</v>
      </c>
      <c r="O33" s="15"/>
      <c r="P33" s="15"/>
      <c r="R33" s="15"/>
    </row>
    <row r="34" spans="1:18" ht="15" thickBot="1" x14ac:dyDescent="0.35">
      <c r="A34" s="21" t="s">
        <v>52</v>
      </c>
      <c r="B34" s="21"/>
      <c r="C34" s="21"/>
      <c r="D34" s="141"/>
      <c r="E34" s="22">
        <f>SUM(E4:E33)</f>
        <v>380971222.63999999</v>
      </c>
      <c r="F34" s="22">
        <f t="shared" ref="F34:L34" si="4">SUM(F4:F33)</f>
        <v>193107263</v>
      </c>
      <c r="G34" s="141"/>
      <c r="H34" s="22"/>
      <c r="I34" s="22">
        <f t="shared" si="4"/>
        <v>1568837.2351500001</v>
      </c>
      <c r="J34" s="22"/>
      <c r="K34" s="22">
        <f t="shared" si="4"/>
        <v>8628604.7933249976</v>
      </c>
      <c r="L34" s="22">
        <f t="shared" si="4"/>
        <v>178229186.87667501</v>
      </c>
    </row>
    <row r="35" spans="1:18" ht="15" thickTop="1" x14ac:dyDescent="0.3">
      <c r="F35" s="15"/>
    </row>
    <row r="36" spans="1:18" x14ac:dyDescent="0.3">
      <c r="A36" s="19" t="s">
        <v>88</v>
      </c>
    </row>
    <row r="37" spans="1:18" x14ac:dyDescent="0.3">
      <c r="A37" s="19" t="s">
        <v>189</v>
      </c>
    </row>
    <row r="38" spans="1:18" x14ac:dyDescent="0.3">
      <c r="A38" s="19" t="s">
        <v>190</v>
      </c>
    </row>
    <row r="39" spans="1:18" x14ac:dyDescent="0.3">
      <c r="A39" s="19" t="s">
        <v>191</v>
      </c>
    </row>
    <row r="40" spans="1:18" x14ac:dyDescent="0.3">
      <c r="A40" s="19" t="s">
        <v>192</v>
      </c>
    </row>
    <row r="41" spans="1:18" x14ac:dyDescent="0.3">
      <c r="A41" s="19" t="s">
        <v>193</v>
      </c>
    </row>
    <row r="42" spans="1:18" x14ac:dyDescent="0.3">
      <c r="A42" s="19" t="s">
        <v>194</v>
      </c>
    </row>
    <row r="43" spans="1:18" x14ac:dyDescent="0.3">
      <c r="A43" s="19" t="s">
        <v>195</v>
      </c>
    </row>
    <row r="44" spans="1:18" x14ac:dyDescent="0.3">
      <c r="A44" s="19" t="s">
        <v>196</v>
      </c>
    </row>
    <row r="50" spans="2:8" x14ac:dyDescent="0.3">
      <c r="B50" s="142" t="s">
        <v>229</v>
      </c>
      <c r="E50" s="142" t="s">
        <v>226</v>
      </c>
      <c r="F50" s="142" t="s">
        <v>227</v>
      </c>
      <c r="G50" s="11"/>
      <c r="H50" s="142" t="s">
        <v>228</v>
      </c>
    </row>
    <row r="52" spans="2:8" x14ac:dyDescent="0.3">
      <c r="B52" s="19" t="s">
        <v>38</v>
      </c>
      <c r="E52" s="143">
        <f t="shared" ref="E52:E65" si="5">SUMIF($N$4:$N$33,TRIM(LEFT(B52,4)),$L$4:$L$33)</f>
        <v>8205967.976061835</v>
      </c>
      <c r="F52" s="143">
        <v>29836.023938165046</v>
      </c>
      <c r="H52" s="143">
        <f>SUM(E52:F52)</f>
        <v>8235804</v>
      </c>
    </row>
    <row r="53" spans="2:8" x14ac:dyDescent="0.3">
      <c r="B53" s="19" t="s">
        <v>39</v>
      </c>
      <c r="E53" s="33">
        <f t="shared" si="5"/>
        <v>78264020.668783039</v>
      </c>
      <c r="F53" s="33">
        <v>-24162.668783038855</v>
      </c>
      <c r="H53" s="33">
        <f t="shared" ref="H53:H65" si="6">SUM(E53:F53)</f>
        <v>78239858</v>
      </c>
    </row>
    <row r="54" spans="2:8" x14ac:dyDescent="0.3">
      <c r="B54" s="19" t="s">
        <v>40</v>
      </c>
      <c r="E54" s="33">
        <f t="shared" si="5"/>
        <v>32303323.618950084</v>
      </c>
      <c r="F54" s="33">
        <v>0.38104991614818573</v>
      </c>
      <c r="H54" s="33">
        <f t="shared" si="6"/>
        <v>32303324</v>
      </c>
    </row>
    <row r="55" spans="2:8" x14ac:dyDescent="0.3">
      <c r="B55" s="19" t="s">
        <v>41</v>
      </c>
      <c r="E55" s="33">
        <f t="shared" si="5"/>
        <v>4489546.1460946258</v>
      </c>
      <c r="F55" s="33">
        <v>-13297.146094625816</v>
      </c>
      <c r="H55" s="33">
        <f t="shared" si="6"/>
        <v>4476249</v>
      </c>
    </row>
    <row r="56" spans="2:8" x14ac:dyDescent="0.3">
      <c r="B56" s="19" t="s">
        <v>42</v>
      </c>
      <c r="E56" s="33">
        <f t="shared" si="5"/>
        <v>1318294.1727281664</v>
      </c>
      <c r="F56" s="33">
        <v>-0.17272816644981503</v>
      </c>
      <c r="H56" s="33">
        <f t="shared" si="6"/>
        <v>1318294</v>
      </c>
    </row>
    <row r="57" spans="2:8" x14ac:dyDescent="0.3">
      <c r="B57" s="19" t="s">
        <v>43</v>
      </c>
      <c r="E57" s="33">
        <f t="shared" si="5"/>
        <v>52868135.200000003</v>
      </c>
      <c r="F57" s="33">
        <v>-0.20000000298023224</v>
      </c>
      <c r="H57" s="33">
        <f t="shared" si="6"/>
        <v>52868135</v>
      </c>
    </row>
    <row r="58" spans="2:8" x14ac:dyDescent="0.3">
      <c r="B58" s="19" t="s">
        <v>44</v>
      </c>
      <c r="E58" s="33">
        <f t="shared" si="5"/>
        <v>420.07932000000022</v>
      </c>
      <c r="F58" s="33">
        <v>-7.932000000022299E-2</v>
      </c>
      <c r="H58" s="33">
        <f t="shared" si="6"/>
        <v>420</v>
      </c>
    </row>
    <row r="59" spans="2:8" x14ac:dyDescent="0.3">
      <c r="B59" s="19" t="s">
        <v>45</v>
      </c>
      <c r="E59" s="33">
        <f t="shared" si="5"/>
        <v>13593.388371999927</v>
      </c>
      <c r="F59" s="33">
        <v>769.61162800007332</v>
      </c>
      <c r="H59" s="33">
        <f t="shared" si="6"/>
        <v>14363</v>
      </c>
    </row>
    <row r="60" spans="2:8" x14ac:dyDescent="0.3">
      <c r="B60" s="19" t="s">
        <v>46</v>
      </c>
      <c r="E60" s="33">
        <f t="shared" si="5"/>
        <v>6400.4302637499932</v>
      </c>
      <c r="F60" s="33">
        <v>13.569736250006827</v>
      </c>
      <c r="H60" s="33">
        <f t="shared" si="6"/>
        <v>6414</v>
      </c>
    </row>
    <row r="61" spans="2:8" x14ac:dyDescent="0.3">
      <c r="B61" s="19" t="s">
        <v>47</v>
      </c>
      <c r="E61" s="33">
        <f t="shared" si="5"/>
        <v>-13367.577105499997</v>
      </c>
      <c r="F61" s="33">
        <v>107.57710549999683</v>
      </c>
      <c r="H61" s="33">
        <f t="shared" si="6"/>
        <v>-13260</v>
      </c>
    </row>
    <row r="62" spans="2:8" x14ac:dyDescent="0.3">
      <c r="B62" s="19" t="s">
        <v>48</v>
      </c>
      <c r="E62" s="33">
        <f t="shared" si="5"/>
        <v>69720.476673333324</v>
      </c>
      <c r="F62" s="33">
        <v>101.52332666667644</v>
      </c>
      <c r="H62" s="33">
        <f t="shared" si="6"/>
        <v>69822</v>
      </c>
    </row>
    <row r="63" spans="2:8" x14ac:dyDescent="0.3">
      <c r="B63" s="19" t="s">
        <v>49</v>
      </c>
      <c r="E63" s="33">
        <f t="shared" si="5"/>
        <v>182400.46486875002</v>
      </c>
      <c r="F63" s="33">
        <v>14320.535131249984</v>
      </c>
      <c r="H63" s="33">
        <f t="shared" si="6"/>
        <v>196721</v>
      </c>
    </row>
    <row r="64" spans="2:8" x14ac:dyDescent="0.3">
      <c r="B64" s="19" t="s">
        <v>50</v>
      </c>
      <c r="E64" s="33">
        <f t="shared" si="5"/>
        <v>289061.67691666668</v>
      </c>
      <c r="F64" s="33">
        <v>514.32308333332185</v>
      </c>
      <c r="H64" s="33">
        <f t="shared" si="6"/>
        <v>289576</v>
      </c>
    </row>
    <row r="65" spans="2:8" x14ac:dyDescent="0.3">
      <c r="B65" s="19" t="s">
        <v>51</v>
      </c>
      <c r="E65" s="33">
        <f t="shared" si="5"/>
        <v>231670.15474825003</v>
      </c>
      <c r="F65" s="33">
        <v>9811.8452517499682</v>
      </c>
      <c r="H65" s="33">
        <f t="shared" si="6"/>
        <v>241482</v>
      </c>
    </row>
    <row r="66" spans="2:8" x14ac:dyDescent="0.3">
      <c r="E66" s="144"/>
      <c r="F66" s="144"/>
      <c r="H66" s="144"/>
    </row>
    <row r="67" spans="2:8" ht="15" thickBot="1" x14ac:dyDescent="0.35">
      <c r="B67" s="19" t="s">
        <v>52</v>
      </c>
      <c r="E67" s="145">
        <f>SUM(E52:E66)</f>
        <v>178229186.87667504</v>
      </c>
      <c r="F67" s="145">
        <f>SUM(F52:F66)</f>
        <v>18015.123324997123</v>
      </c>
      <c r="H67" s="145">
        <f>SUM(H52:H66)</f>
        <v>178247202</v>
      </c>
    </row>
    <row r="68" spans="2:8" ht="15" thickTop="1" x14ac:dyDescent="0.3"/>
  </sheetData>
  <pageMargins left="0.7" right="0.7" top="0.75" bottom="0.75" header="0.3" footer="0.3"/>
  <pageSetup scale="64" fitToHeight="0" orientation="landscape" r:id="rId1"/>
  <headerFooter>
    <oddFooter>&amp;LPrepared by: Jason Wang
Date: &amp;D&amp;R&amp;Z&amp;F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5" sqref="B35:B36"/>
    </sheetView>
  </sheetViews>
  <sheetFormatPr defaultColWidth="9.109375" defaultRowHeight="14.4" x14ac:dyDescent="0.3"/>
  <cols>
    <col min="1" max="16384" width="9.109375" style="19"/>
  </cols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B35" sqref="B35:B36"/>
    </sheetView>
  </sheetViews>
  <sheetFormatPr defaultColWidth="9.109375" defaultRowHeight="14.4" x14ac:dyDescent="0.3"/>
  <cols>
    <col min="1" max="1" width="15.6640625" style="19" bestFit="1" customWidth="1"/>
    <col min="2" max="2" width="17.6640625" style="19" bestFit="1" customWidth="1"/>
    <col min="3" max="3" width="17" style="19" bestFit="1" customWidth="1"/>
    <col min="4" max="4" width="9.109375" style="19"/>
    <col min="5" max="5" width="12.33203125" style="19" bestFit="1" customWidth="1"/>
    <col min="6" max="7" width="14.33203125" style="19" bestFit="1" customWidth="1"/>
    <col min="8" max="8" width="12.6640625" style="19" bestFit="1" customWidth="1"/>
    <col min="9" max="9" width="14.33203125" style="15" bestFit="1" customWidth="1"/>
    <col min="10" max="10" width="17.33203125" style="19" customWidth="1"/>
    <col min="11" max="11" width="9.109375" style="19"/>
    <col min="12" max="13" width="34.33203125" style="19" bestFit="1" customWidth="1"/>
    <col min="14" max="14" width="9.109375" style="19"/>
    <col min="15" max="15" width="20.33203125" style="19" bestFit="1" customWidth="1"/>
    <col min="16" max="17" width="9.109375" style="19"/>
    <col min="18" max="18" width="12" style="19" customWidth="1"/>
    <col min="19" max="19" width="16.33203125" style="19" customWidth="1"/>
    <col min="20" max="20" width="20.6640625" style="19" customWidth="1"/>
    <col min="21" max="16384" width="9.109375" style="19"/>
  </cols>
  <sheetData>
    <row r="1" spans="1:21" x14ac:dyDescent="0.3">
      <c r="A1" s="19" t="s">
        <v>197</v>
      </c>
      <c r="B1" s="19" t="s">
        <v>198</v>
      </c>
      <c r="C1" s="19" t="s">
        <v>199</v>
      </c>
      <c r="D1" s="19" t="s">
        <v>200</v>
      </c>
      <c r="E1" s="19" t="s">
        <v>201</v>
      </c>
      <c r="F1" s="19" t="s">
        <v>202</v>
      </c>
      <c r="G1" s="19" t="s">
        <v>203</v>
      </c>
      <c r="H1" s="19" t="s">
        <v>204</v>
      </c>
      <c r="I1" s="15" t="s">
        <v>205</v>
      </c>
      <c r="J1" s="19" t="s">
        <v>206</v>
      </c>
      <c r="K1" s="19" t="s">
        <v>207</v>
      </c>
      <c r="L1" s="19" t="s">
        <v>208</v>
      </c>
      <c r="M1" s="19" t="s">
        <v>208</v>
      </c>
      <c r="N1" s="19" t="s">
        <v>208</v>
      </c>
      <c r="O1" s="19" t="s">
        <v>208</v>
      </c>
      <c r="P1" s="19" t="s">
        <v>209</v>
      </c>
      <c r="Q1" s="19" t="s">
        <v>208</v>
      </c>
      <c r="R1" s="19" t="s">
        <v>210</v>
      </c>
      <c r="S1" s="19" t="s">
        <v>211</v>
      </c>
      <c r="T1" s="19" t="s">
        <v>212</v>
      </c>
      <c r="U1" s="19" t="s">
        <v>213</v>
      </c>
    </row>
    <row r="2" spans="1:21" x14ac:dyDescent="0.3">
      <c r="A2" s="19">
        <v>1</v>
      </c>
      <c r="B2" s="19">
        <v>28925.39</v>
      </c>
      <c r="C2" s="19">
        <v>0</v>
      </c>
      <c r="D2" s="19">
        <v>0</v>
      </c>
      <c r="E2" s="19">
        <v>0</v>
      </c>
      <c r="F2" s="19">
        <v>522796</v>
      </c>
      <c r="G2" s="130">
        <v>43617</v>
      </c>
      <c r="H2" s="130">
        <v>43617</v>
      </c>
      <c r="I2" s="15">
        <v>28925.39</v>
      </c>
      <c r="J2" s="19">
        <v>0</v>
      </c>
      <c r="K2" s="19">
        <v>1</v>
      </c>
      <c r="L2" s="19" t="s">
        <v>97</v>
      </c>
      <c r="M2" s="19" t="s">
        <v>214</v>
      </c>
      <c r="N2" s="19" t="s">
        <v>215</v>
      </c>
      <c r="O2" s="19" t="s">
        <v>96</v>
      </c>
      <c r="P2" s="19">
        <v>1000</v>
      </c>
      <c r="Q2" s="19" t="s">
        <v>23</v>
      </c>
      <c r="R2" s="19">
        <v>0</v>
      </c>
      <c r="S2" s="19">
        <v>0</v>
      </c>
      <c r="T2" s="19">
        <v>0</v>
      </c>
      <c r="U2" s="19">
        <v>0</v>
      </c>
    </row>
    <row r="3" spans="1:21" x14ac:dyDescent="0.3">
      <c r="A3" s="19">
        <v>1</v>
      </c>
      <c r="B3" s="19">
        <v>9469904.7599999998</v>
      </c>
      <c r="C3" s="19">
        <v>4.8599999999999997E-2</v>
      </c>
      <c r="D3" s="19">
        <v>38353.11</v>
      </c>
      <c r="E3" s="19">
        <v>6075254.1399999997</v>
      </c>
      <c r="F3" s="19">
        <v>522926</v>
      </c>
      <c r="G3" s="130">
        <v>43617</v>
      </c>
      <c r="H3" s="130">
        <v>43617</v>
      </c>
      <c r="I3" s="15">
        <v>9474423.3900000006</v>
      </c>
      <c r="J3" s="19">
        <v>0</v>
      </c>
      <c r="K3" s="19">
        <v>4</v>
      </c>
      <c r="L3" s="19" t="s">
        <v>100</v>
      </c>
      <c r="M3" s="19" t="s">
        <v>100</v>
      </c>
      <c r="N3" s="19" t="s">
        <v>216</v>
      </c>
      <c r="O3" s="19" t="s">
        <v>96</v>
      </c>
      <c r="P3" s="19">
        <v>1000</v>
      </c>
      <c r="Q3" s="19" t="s">
        <v>23</v>
      </c>
      <c r="R3" s="19">
        <v>0</v>
      </c>
      <c r="S3" s="19">
        <v>706.13</v>
      </c>
      <c r="T3" s="19">
        <v>0</v>
      </c>
      <c r="U3" s="19">
        <v>0</v>
      </c>
    </row>
    <row r="4" spans="1:21" x14ac:dyDescent="0.3">
      <c r="A4" s="19">
        <v>1</v>
      </c>
      <c r="B4" s="19">
        <v>90535813.579999998</v>
      </c>
      <c r="C4" s="19">
        <v>6.1800000000000001E-2</v>
      </c>
      <c r="D4" s="19">
        <v>466259.44</v>
      </c>
      <c r="E4" s="19">
        <v>51282939.75</v>
      </c>
      <c r="F4" s="19">
        <v>526105</v>
      </c>
      <c r="G4" s="130">
        <v>43617</v>
      </c>
      <c r="H4" s="130">
        <v>43617</v>
      </c>
      <c r="I4" s="15">
        <v>90535813.579999998</v>
      </c>
      <c r="J4" s="19">
        <v>0</v>
      </c>
      <c r="K4" s="19">
        <v>37</v>
      </c>
      <c r="L4" s="19" t="s">
        <v>103</v>
      </c>
      <c r="M4" s="19" t="s">
        <v>103</v>
      </c>
      <c r="N4" s="19" t="s">
        <v>216</v>
      </c>
      <c r="O4" s="19" t="s">
        <v>96</v>
      </c>
      <c r="P4" s="19">
        <v>1000</v>
      </c>
      <c r="Q4" s="19" t="s">
        <v>23</v>
      </c>
      <c r="R4" s="19">
        <v>0</v>
      </c>
      <c r="S4" s="19">
        <v>6843.09</v>
      </c>
      <c r="T4" s="19">
        <v>0</v>
      </c>
      <c r="U4" s="19">
        <v>0</v>
      </c>
    </row>
    <row r="5" spans="1:21" x14ac:dyDescent="0.3">
      <c r="A5" s="19">
        <v>1</v>
      </c>
      <c r="B5" s="19">
        <v>28793522.690000001</v>
      </c>
      <c r="C5" s="19">
        <v>6.7799999999999999E-2</v>
      </c>
      <c r="D5" s="19">
        <v>162683.4</v>
      </c>
      <c r="E5" s="19">
        <v>12797244.039999999</v>
      </c>
      <c r="F5" s="19">
        <v>526576</v>
      </c>
      <c r="G5" s="130">
        <v>43617</v>
      </c>
      <c r="H5" s="130">
        <v>43617</v>
      </c>
      <c r="I5" s="15">
        <v>28793522.690000001</v>
      </c>
      <c r="J5" s="19">
        <v>0</v>
      </c>
      <c r="K5" s="19">
        <v>46</v>
      </c>
      <c r="L5" s="19" t="s">
        <v>106</v>
      </c>
      <c r="M5" s="19" t="s">
        <v>106</v>
      </c>
      <c r="N5" s="19" t="s">
        <v>216</v>
      </c>
      <c r="O5" s="19" t="s">
        <v>96</v>
      </c>
      <c r="P5" s="19">
        <v>1000</v>
      </c>
      <c r="Q5" s="19" t="s">
        <v>23</v>
      </c>
      <c r="R5" s="19">
        <v>0</v>
      </c>
      <c r="S5" s="19">
        <v>2960.58</v>
      </c>
      <c r="T5" s="19">
        <v>0</v>
      </c>
      <c r="U5" s="19">
        <v>0</v>
      </c>
    </row>
    <row r="6" spans="1:21" x14ac:dyDescent="0.3">
      <c r="A6" s="19">
        <v>1</v>
      </c>
      <c r="B6" s="19">
        <v>7352710</v>
      </c>
      <c r="C6" s="19">
        <v>5.3600000000000002E-2</v>
      </c>
      <c r="D6" s="19">
        <v>32842.1</v>
      </c>
      <c r="E6" s="19">
        <v>5091330.74</v>
      </c>
      <c r="F6" s="19">
        <v>527014</v>
      </c>
      <c r="G6" s="130">
        <v>43617</v>
      </c>
      <c r="H6" s="130">
        <v>43617</v>
      </c>
      <c r="I6" s="15">
        <v>7353826.1699999999</v>
      </c>
      <c r="J6" s="19">
        <v>0</v>
      </c>
      <c r="K6" s="19">
        <v>55</v>
      </c>
      <c r="L6" s="19" t="s">
        <v>109</v>
      </c>
      <c r="M6" s="19" t="s">
        <v>109</v>
      </c>
      <c r="N6" s="19" t="s">
        <v>216</v>
      </c>
      <c r="O6" s="19" t="s">
        <v>96</v>
      </c>
      <c r="P6" s="19">
        <v>1000</v>
      </c>
      <c r="Q6" s="19" t="s">
        <v>23</v>
      </c>
      <c r="R6" s="19">
        <v>0</v>
      </c>
      <c r="S6" s="19">
        <v>0</v>
      </c>
      <c r="T6" s="19">
        <v>0</v>
      </c>
      <c r="U6" s="19">
        <v>0</v>
      </c>
    </row>
    <row r="7" spans="1:21" x14ac:dyDescent="0.3">
      <c r="A7" s="19">
        <v>1</v>
      </c>
      <c r="B7" s="19">
        <v>986710.17</v>
      </c>
      <c r="C7" s="19">
        <v>6.7500000000000004E-2</v>
      </c>
      <c r="D7" s="19">
        <v>5550.24</v>
      </c>
      <c r="E7" s="19">
        <v>482314.71</v>
      </c>
      <c r="F7" s="19">
        <v>527457</v>
      </c>
      <c r="G7" s="130">
        <v>43617</v>
      </c>
      <c r="H7" s="130">
        <v>43617</v>
      </c>
      <c r="I7" s="15">
        <v>986710.17</v>
      </c>
      <c r="J7" s="19">
        <v>0</v>
      </c>
      <c r="K7" s="19">
        <v>64</v>
      </c>
      <c r="L7" s="19" t="s">
        <v>112</v>
      </c>
      <c r="M7" s="19" t="s">
        <v>217</v>
      </c>
      <c r="N7" s="19" t="s">
        <v>216</v>
      </c>
      <c r="O7" s="19" t="s">
        <v>96</v>
      </c>
      <c r="P7" s="19">
        <v>1000</v>
      </c>
      <c r="Q7" s="19" t="s">
        <v>23</v>
      </c>
      <c r="R7" s="19">
        <v>0</v>
      </c>
      <c r="S7" s="19">
        <v>0</v>
      </c>
      <c r="T7" s="19">
        <v>0</v>
      </c>
      <c r="U7" s="19">
        <v>0</v>
      </c>
    </row>
    <row r="8" spans="1:21" x14ac:dyDescent="0.3">
      <c r="A8" s="19">
        <v>1</v>
      </c>
      <c r="B8" s="19">
        <v>159072.73000000001</v>
      </c>
      <c r="C8" s="19">
        <v>5.2499999999999998E-2</v>
      </c>
      <c r="D8" s="19">
        <v>695.94</v>
      </c>
      <c r="E8" s="19">
        <v>65670</v>
      </c>
      <c r="F8" s="19">
        <v>25246837</v>
      </c>
      <c r="G8" s="130">
        <v>43617</v>
      </c>
      <c r="H8" s="130">
        <v>43617</v>
      </c>
      <c r="I8" s="15">
        <v>159072.73000000001</v>
      </c>
      <c r="J8" s="19">
        <v>0</v>
      </c>
      <c r="K8" s="19">
        <v>9044969</v>
      </c>
      <c r="L8" s="19" t="s">
        <v>115</v>
      </c>
      <c r="M8" s="19" t="s">
        <v>115</v>
      </c>
      <c r="N8" s="19" t="s">
        <v>216</v>
      </c>
      <c r="O8" s="19" t="s">
        <v>96</v>
      </c>
      <c r="P8" s="19">
        <v>1000</v>
      </c>
      <c r="Q8" s="19" t="s">
        <v>23</v>
      </c>
      <c r="R8" s="19">
        <v>0</v>
      </c>
      <c r="S8" s="19">
        <v>-108.1</v>
      </c>
      <c r="T8" s="19">
        <v>0</v>
      </c>
      <c r="U8" s="19">
        <v>0</v>
      </c>
    </row>
    <row r="9" spans="1:21" x14ac:dyDescent="0.3">
      <c r="A9" s="19">
        <v>1</v>
      </c>
      <c r="B9" s="19">
        <v>152493.42000000001</v>
      </c>
      <c r="C9" s="19">
        <v>6.5799999999999997E-2</v>
      </c>
      <c r="D9" s="19">
        <v>836.17</v>
      </c>
      <c r="E9" s="19">
        <v>38922.79</v>
      </c>
      <c r="F9" s="19">
        <v>25247027</v>
      </c>
      <c r="G9" s="130">
        <v>43617</v>
      </c>
      <c r="H9" s="130">
        <v>43617</v>
      </c>
      <c r="I9" s="15">
        <v>157603.20000000001</v>
      </c>
      <c r="J9" s="19">
        <v>0</v>
      </c>
      <c r="K9" s="19">
        <v>9044967</v>
      </c>
      <c r="L9" s="19" t="s">
        <v>118</v>
      </c>
      <c r="M9" s="19" t="s">
        <v>118</v>
      </c>
      <c r="N9" s="19" t="s">
        <v>216</v>
      </c>
      <c r="O9" s="19" t="s">
        <v>96</v>
      </c>
      <c r="P9" s="19">
        <v>1000</v>
      </c>
      <c r="Q9" s="19" t="s">
        <v>23</v>
      </c>
      <c r="R9" s="19">
        <v>0</v>
      </c>
      <c r="S9" s="19">
        <v>-58.74</v>
      </c>
      <c r="T9" s="19">
        <v>0</v>
      </c>
      <c r="U9" s="19">
        <v>0</v>
      </c>
    </row>
    <row r="10" spans="1:21" x14ac:dyDescent="0.3">
      <c r="A10" s="19">
        <v>1</v>
      </c>
      <c r="B10" s="19">
        <v>209161.76</v>
      </c>
      <c r="C10" s="19">
        <v>0.05</v>
      </c>
      <c r="D10" s="19">
        <v>871.51</v>
      </c>
      <c r="E10" s="19">
        <v>60947.83</v>
      </c>
      <c r="F10" s="19">
        <v>25246958</v>
      </c>
      <c r="G10" s="130">
        <v>43617</v>
      </c>
      <c r="H10" s="130">
        <v>43617</v>
      </c>
      <c r="I10" s="15">
        <v>213854.98</v>
      </c>
      <c r="J10" s="19">
        <v>0</v>
      </c>
      <c r="K10" s="19">
        <v>9044968</v>
      </c>
      <c r="L10" s="19" t="s">
        <v>121</v>
      </c>
      <c r="M10" s="19" t="s">
        <v>121</v>
      </c>
      <c r="N10" s="19" t="s">
        <v>218</v>
      </c>
      <c r="O10" s="19" t="s">
        <v>96</v>
      </c>
      <c r="P10" s="19">
        <v>1000</v>
      </c>
      <c r="Q10" s="19" t="s">
        <v>23</v>
      </c>
      <c r="R10" s="19">
        <v>0</v>
      </c>
      <c r="S10" s="19">
        <v>0</v>
      </c>
      <c r="T10" s="19">
        <v>0</v>
      </c>
      <c r="U10" s="19">
        <v>0</v>
      </c>
    </row>
    <row r="11" spans="1:21" x14ac:dyDescent="0.3">
      <c r="A11" s="19">
        <v>1</v>
      </c>
      <c r="B11" s="19">
        <v>948317.19</v>
      </c>
      <c r="C11" s="19">
        <v>0</v>
      </c>
      <c r="D11" s="19">
        <v>0</v>
      </c>
      <c r="E11" s="19">
        <v>0</v>
      </c>
      <c r="F11" s="19">
        <v>523391</v>
      </c>
      <c r="G11" s="130">
        <v>43617</v>
      </c>
      <c r="H11" s="130">
        <v>43617</v>
      </c>
      <c r="I11" s="15">
        <v>948317.19</v>
      </c>
      <c r="J11" s="19">
        <v>0</v>
      </c>
      <c r="K11" s="19">
        <v>1</v>
      </c>
      <c r="L11" s="19" t="s">
        <v>125</v>
      </c>
      <c r="M11" s="19" t="s">
        <v>214</v>
      </c>
      <c r="N11" s="19" t="s">
        <v>215</v>
      </c>
      <c r="O11" s="19" t="s">
        <v>124</v>
      </c>
      <c r="P11" s="19">
        <v>1000</v>
      </c>
      <c r="Q11" s="19" t="s">
        <v>23</v>
      </c>
      <c r="R11" s="19">
        <v>0</v>
      </c>
      <c r="S11" s="19">
        <v>0</v>
      </c>
      <c r="T11" s="19">
        <v>0</v>
      </c>
      <c r="U11" s="19">
        <v>0</v>
      </c>
    </row>
    <row r="12" spans="1:21" x14ac:dyDescent="0.3">
      <c r="A12" s="19">
        <v>1</v>
      </c>
      <c r="B12" s="19">
        <v>30924398.899999999</v>
      </c>
      <c r="C12" s="19">
        <v>2.6100000000000002E-2</v>
      </c>
      <c r="D12" s="19">
        <v>67260.570000000007</v>
      </c>
      <c r="E12" s="19">
        <v>28519468.829999998</v>
      </c>
      <c r="F12" s="19">
        <v>523351</v>
      </c>
      <c r="G12" s="130">
        <v>43617</v>
      </c>
      <c r="H12" s="130">
        <v>43617</v>
      </c>
      <c r="I12" s="15">
        <v>30924398.899999999</v>
      </c>
      <c r="J12" s="19">
        <v>0</v>
      </c>
      <c r="K12" s="19">
        <v>30</v>
      </c>
      <c r="L12" s="19" t="s">
        <v>128</v>
      </c>
      <c r="M12" s="19" t="s">
        <v>128</v>
      </c>
      <c r="N12" s="19" t="s">
        <v>216</v>
      </c>
      <c r="O12" s="19" t="s">
        <v>124</v>
      </c>
      <c r="P12" s="19">
        <v>1000</v>
      </c>
      <c r="Q12" s="19" t="s">
        <v>23</v>
      </c>
      <c r="R12" s="19">
        <v>0</v>
      </c>
      <c r="S12" s="19">
        <v>14568.08</v>
      </c>
      <c r="T12" s="19">
        <v>0</v>
      </c>
      <c r="U12" s="19">
        <v>0</v>
      </c>
    </row>
    <row r="13" spans="1:21" x14ac:dyDescent="0.3">
      <c r="A13" s="19">
        <v>1</v>
      </c>
      <c r="B13" s="19">
        <v>6036236.2699999996</v>
      </c>
      <c r="C13" s="19">
        <v>2.5100000000000001E-2</v>
      </c>
      <c r="D13" s="19">
        <v>12625.79</v>
      </c>
      <c r="E13" s="19">
        <v>5482596.2199999997</v>
      </c>
      <c r="F13" s="19">
        <v>526152</v>
      </c>
      <c r="G13" s="130">
        <v>43617</v>
      </c>
      <c r="H13" s="130">
        <v>43617</v>
      </c>
      <c r="I13" s="15">
        <v>6036236.2699999996</v>
      </c>
      <c r="J13" s="19">
        <v>0</v>
      </c>
      <c r="K13" s="19">
        <v>38</v>
      </c>
      <c r="L13" s="19" t="s">
        <v>131</v>
      </c>
      <c r="M13" s="19" t="s">
        <v>131</v>
      </c>
      <c r="N13" s="19" t="s">
        <v>216</v>
      </c>
      <c r="O13" s="19" t="s">
        <v>124</v>
      </c>
      <c r="P13" s="19">
        <v>1000</v>
      </c>
      <c r="Q13" s="19" t="s">
        <v>23</v>
      </c>
      <c r="R13" s="19">
        <v>0</v>
      </c>
      <c r="S13" s="19">
        <v>352.11</v>
      </c>
      <c r="T13" s="19">
        <v>0</v>
      </c>
      <c r="U13" s="19">
        <v>0</v>
      </c>
    </row>
    <row r="14" spans="1:21" x14ac:dyDescent="0.3">
      <c r="A14" s="19">
        <v>1</v>
      </c>
      <c r="B14" s="19">
        <v>3813725.5</v>
      </c>
      <c r="C14" s="19">
        <v>2.76E-2</v>
      </c>
      <c r="D14" s="19">
        <v>8771.57</v>
      </c>
      <c r="E14" s="19">
        <v>3794694.44</v>
      </c>
      <c r="F14" s="19">
        <v>526623</v>
      </c>
      <c r="G14" s="130">
        <v>43617</v>
      </c>
      <c r="H14" s="130">
        <v>43617</v>
      </c>
      <c r="I14" s="15">
        <v>3813725.5</v>
      </c>
      <c r="J14" s="19">
        <v>0</v>
      </c>
      <c r="K14" s="19">
        <v>47</v>
      </c>
      <c r="L14" s="19" t="s">
        <v>134</v>
      </c>
      <c r="M14" s="19" t="s">
        <v>134</v>
      </c>
      <c r="N14" s="19" t="s">
        <v>216</v>
      </c>
      <c r="O14" s="19" t="s">
        <v>124</v>
      </c>
      <c r="P14" s="19">
        <v>1000</v>
      </c>
      <c r="Q14" s="19" t="s">
        <v>23</v>
      </c>
      <c r="R14" s="19">
        <v>0</v>
      </c>
      <c r="S14" s="19">
        <v>190.69</v>
      </c>
      <c r="T14" s="19">
        <v>0</v>
      </c>
      <c r="U14" s="19">
        <v>0</v>
      </c>
    </row>
    <row r="15" spans="1:21" x14ac:dyDescent="0.3">
      <c r="A15" s="19">
        <v>1</v>
      </c>
      <c r="B15" s="19">
        <v>2272860.64</v>
      </c>
      <c r="C15" s="19">
        <v>2.3599999999999999E-2</v>
      </c>
      <c r="D15" s="19">
        <v>4469.96</v>
      </c>
      <c r="E15" s="19">
        <v>2117268.09</v>
      </c>
      <c r="F15" s="19">
        <v>527111</v>
      </c>
      <c r="G15" s="130">
        <v>43617</v>
      </c>
      <c r="H15" s="130">
        <v>43617</v>
      </c>
      <c r="I15" s="15">
        <v>2272860.64</v>
      </c>
      <c r="J15" s="19">
        <v>0</v>
      </c>
      <c r="K15" s="19">
        <v>56</v>
      </c>
      <c r="L15" s="19" t="s">
        <v>137</v>
      </c>
      <c r="M15" s="19" t="s">
        <v>219</v>
      </c>
      <c r="N15" s="19" t="s">
        <v>216</v>
      </c>
      <c r="O15" s="19" t="s">
        <v>124</v>
      </c>
      <c r="P15" s="19">
        <v>1000</v>
      </c>
      <c r="Q15" s="19" t="s">
        <v>23</v>
      </c>
      <c r="R15" s="19">
        <v>0</v>
      </c>
      <c r="S15" s="19">
        <v>0</v>
      </c>
      <c r="T15" s="19">
        <v>0</v>
      </c>
      <c r="U15" s="19">
        <v>0</v>
      </c>
    </row>
    <row r="16" spans="1:21" x14ac:dyDescent="0.3">
      <c r="A16" s="19">
        <v>1</v>
      </c>
      <c r="B16" s="19">
        <v>6204689.75</v>
      </c>
      <c r="C16" s="19">
        <v>3.27E-2</v>
      </c>
      <c r="D16" s="19">
        <v>16907.78</v>
      </c>
      <c r="E16" s="19">
        <v>5747246.2400000002</v>
      </c>
      <c r="F16" s="19">
        <v>527504</v>
      </c>
      <c r="G16" s="130">
        <v>43617</v>
      </c>
      <c r="H16" s="130">
        <v>43617</v>
      </c>
      <c r="I16" s="15">
        <v>6204689.75</v>
      </c>
      <c r="J16" s="19">
        <v>0</v>
      </c>
      <c r="K16" s="19">
        <v>65</v>
      </c>
      <c r="L16" s="19" t="s">
        <v>140</v>
      </c>
      <c r="M16" s="19" t="s">
        <v>220</v>
      </c>
      <c r="N16" s="19" t="s">
        <v>216</v>
      </c>
      <c r="O16" s="19" t="s">
        <v>124</v>
      </c>
      <c r="P16" s="19">
        <v>1000</v>
      </c>
      <c r="Q16" s="19" t="s">
        <v>23</v>
      </c>
      <c r="R16" s="19">
        <v>0</v>
      </c>
      <c r="S16" s="19">
        <v>0</v>
      </c>
      <c r="T16" s="19">
        <v>0</v>
      </c>
      <c r="U16" s="19">
        <v>0</v>
      </c>
    </row>
    <row r="17" spans="1:21" x14ac:dyDescent="0.3">
      <c r="A17" s="19">
        <v>1</v>
      </c>
      <c r="B17" s="19">
        <v>3623.76</v>
      </c>
      <c r="C17" s="19">
        <v>1.2E-2</v>
      </c>
      <c r="D17" s="19">
        <v>3.62</v>
      </c>
      <c r="E17" s="19">
        <v>3183.75</v>
      </c>
      <c r="F17" s="19">
        <v>10202380</v>
      </c>
      <c r="G17" s="130">
        <v>43617</v>
      </c>
      <c r="H17" s="130">
        <v>43617</v>
      </c>
      <c r="I17" s="15">
        <v>3623.76</v>
      </c>
      <c r="J17" s="19">
        <v>0</v>
      </c>
      <c r="K17" s="19">
        <v>9044765</v>
      </c>
      <c r="L17" s="19" t="s">
        <v>143</v>
      </c>
      <c r="M17" s="19" t="s">
        <v>143</v>
      </c>
      <c r="N17" s="19" t="s">
        <v>221</v>
      </c>
      <c r="O17" s="19" t="s">
        <v>124</v>
      </c>
      <c r="P17" s="19">
        <v>1000</v>
      </c>
      <c r="Q17" s="19" t="s">
        <v>23</v>
      </c>
      <c r="R17" s="19">
        <v>0</v>
      </c>
      <c r="S17" s="19">
        <v>0</v>
      </c>
      <c r="T17" s="19">
        <v>0</v>
      </c>
      <c r="U17" s="19">
        <v>0</v>
      </c>
    </row>
    <row r="18" spans="1:21" x14ac:dyDescent="0.3">
      <c r="A18" s="19">
        <v>1</v>
      </c>
      <c r="B18" s="19">
        <v>1231130.94</v>
      </c>
      <c r="C18" s="19">
        <v>1.83E-2</v>
      </c>
      <c r="D18" s="19">
        <v>1877.47</v>
      </c>
      <c r="E18" s="19">
        <v>1205800.77</v>
      </c>
      <c r="F18" s="19">
        <v>10205892</v>
      </c>
      <c r="G18" s="130">
        <v>43617</v>
      </c>
      <c r="H18" s="130">
        <v>43617</v>
      </c>
      <c r="I18" s="15">
        <v>1231130.94</v>
      </c>
      <c r="J18" s="19">
        <v>0</v>
      </c>
      <c r="K18" s="19">
        <v>9044752</v>
      </c>
      <c r="L18" s="19" t="s">
        <v>146</v>
      </c>
      <c r="M18" s="19" t="s">
        <v>146</v>
      </c>
      <c r="N18" s="19" t="s">
        <v>221</v>
      </c>
      <c r="O18" s="19" t="s">
        <v>124</v>
      </c>
      <c r="P18" s="19">
        <v>1000</v>
      </c>
      <c r="Q18" s="19" t="s">
        <v>23</v>
      </c>
      <c r="R18" s="19">
        <v>256.49</v>
      </c>
      <c r="S18" s="19">
        <v>4811.75</v>
      </c>
      <c r="T18" s="19">
        <v>2.5000000000000001E-3</v>
      </c>
      <c r="U18" s="19">
        <v>0</v>
      </c>
    </row>
    <row r="19" spans="1:21" x14ac:dyDescent="0.3">
      <c r="A19" s="19">
        <v>1</v>
      </c>
      <c r="B19" s="19">
        <v>88576.95</v>
      </c>
      <c r="C19" s="19">
        <v>4.0000000000000001E-3</v>
      </c>
      <c r="D19" s="19">
        <v>29.53</v>
      </c>
      <c r="E19" s="19">
        <v>81989.77</v>
      </c>
      <c r="F19" s="19">
        <v>10201843</v>
      </c>
      <c r="G19" s="130">
        <v>43617</v>
      </c>
      <c r="H19" s="130">
        <v>43617</v>
      </c>
      <c r="I19" s="15">
        <v>88576.95</v>
      </c>
      <c r="J19" s="19">
        <v>0</v>
      </c>
      <c r="K19" s="19">
        <v>9044758</v>
      </c>
      <c r="L19" s="19" t="s">
        <v>150</v>
      </c>
      <c r="M19" s="19" t="s">
        <v>222</v>
      </c>
      <c r="N19" s="19" t="s">
        <v>221</v>
      </c>
      <c r="O19" s="19" t="s">
        <v>124</v>
      </c>
      <c r="P19" s="19">
        <v>1000</v>
      </c>
      <c r="Q19" s="19" t="s">
        <v>23</v>
      </c>
      <c r="R19" s="19">
        <v>4.43</v>
      </c>
      <c r="S19" s="19">
        <v>93.76</v>
      </c>
      <c r="T19" s="19">
        <v>5.9999999999999995E-4</v>
      </c>
      <c r="U19" s="19">
        <v>0</v>
      </c>
    </row>
    <row r="20" spans="1:21" x14ac:dyDescent="0.3">
      <c r="A20" s="19">
        <v>1</v>
      </c>
      <c r="B20" s="19">
        <v>49006.68</v>
      </c>
      <c r="C20" s="19">
        <v>2.2100000000000002E-2</v>
      </c>
      <c r="D20" s="19">
        <v>90.25</v>
      </c>
      <c r="E20" s="19">
        <v>61680.2</v>
      </c>
      <c r="F20" s="19">
        <v>10201278</v>
      </c>
      <c r="G20" s="130">
        <v>43617</v>
      </c>
      <c r="H20" s="130">
        <v>43617</v>
      </c>
      <c r="I20" s="15">
        <v>49006.68</v>
      </c>
      <c r="J20" s="19">
        <v>0</v>
      </c>
      <c r="K20" s="19">
        <v>9044757</v>
      </c>
      <c r="L20" s="19" t="s">
        <v>153</v>
      </c>
      <c r="M20" s="19" t="s">
        <v>223</v>
      </c>
      <c r="N20" s="19" t="s">
        <v>221</v>
      </c>
      <c r="O20" s="19" t="s">
        <v>124</v>
      </c>
      <c r="P20" s="19">
        <v>1000</v>
      </c>
      <c r="Q20" s="19" t="s">
        <v>23</v>
      </c>
      <c r="R20" s="19">
        <v>35.94</v>
      </c>
      <c r="S20" s="19">
        <v>678.77</v>
      </c>
      <c r="T20" s="19">
        <v>8.8000000000000005E-3</v>
      </c>
      <c r="U20" s="19">
        <v>0</v>
      </c>
    </row>
    <row r="21" spans="1:21" x14ac:dyDescent="0.3">
      <c r="A21" s="19">
        <v>1</v>
      </c>
      <c r="B21" s="19">
        <v>254414.09</v>
      </c>
      <c r="C21" s="19">
        <v>1.44E-2</v>
      </c>
      <c r="D21" s="19">
        <v>305.3</v>
      </c>
      <c r="E21" s="19">
        <v>182827.91</v>
      </c>
      <c r="F21" s="19">
        <v>10201038</v>
      </c>
      <c r="G21" s="130">
        <v>43617</v>
      </c>
      <c r="H21" s="130">
        <v>43617</v>
      </c>
      <c r="I21" s="15">
        <v>254414.09</v>
      </c>
      <c r="J21" s="19">
        <v>0</v>
      </c>
      <c r="K21" s="19">
        <v>9044756</v>
      </c>
      <c r="L21" s="19" t="s">
        <v>156</v>
      </c>
      <c r="M21" s="19" t="s">
        <v>224</v>
      </c>
      <c r="N21" s="19" t="s">
        <v>221</v>
      </c>
      <c r="O21" s="19" t="s">
        <v>124</v>
      </c>
      <c r="P21" s="19">
        <v>1000</v>
      </c>
      <c r="Q21" s="19" t="s">
        <v>23</v>
      </c>
      <c r="R21" s="19">
        <v>33.92</v>
      </c>
      <c r="S21" s="19">
        <v>665.68</v>
      </c>
      <c r="T21" s="19">
        <v>1.6000000000000001E-3</v>
      </c>
      <c r="U21" s="19">
        <v>0</v>
      </c>
    </row>
    <row r="22" spans="1:21" x14ac:dyDescent="0.3">
      <c r="A22" s="19">
        <v>1</v>
      </c>
      <c r="B22" s="19">
        <v>28925.39</v>
      </c>
      <c r="C22" s="19">
        <v>0</v>
      </c>
      <c r="D22" s="19">
        <v>0</v>
      </c>
      <c r="E22" s="19">
        <v>0</v>
      </c>
      <c r="F22" s="19">
        <v>522827</v>
      </c>
      <c r="G22" s="130">
        <v>43617</v>
      </c>
      <c r="H22" s="130">
        <v>43617</v>
      </c>
      <c r="I22" s="15">
        <v>28925.39</v>
      </c>
      <c r="J22" s="19">
        <v>0</v>
      </c>
      <c r="K22" s="19">
        <v>1</v>
      </c>
      <c r="L22" s="19" t="s">
        <v>160</v>
      </c>
      <c r="M22" s="19" t="s">
        <v>214</v>
      </c>
      <c r="N22" s="19" t="s">
        <v>215</v>
      </c>
      <c r="O22" s="19" t="s">
        <v>159</v>
      </c>
      <c r="P22" s="19">
        <v>1000</v>
      </c>
      <c r="Q22" s="19" t="s">
        <v>23</v>
      </c>
      <c r="R22" s="19">
        <v>0</v>
      </c>
      <c r="S22" s="19">
        <v>0</v>
      </c>
      <c r="T22" s="19">
        <v>0</v>
      </c>
      <c r="U22" s="19">
        <v>0</v>
      </c>
    </row>
    <row r="23" spans="1:21" x14ac:dyDescent="0.3">
      <c r="A23" s="19">
        <v>1</v>
      </c>
      <c r="B23" s="19">
        <v>4636462.72</v>
      </c>
      <c r="C23" s="19">
        <v>7.4200000000000002E-2</v>
      </c>
      <c r="D23" s="19">
        <v>28668.79</v>
      </c>
      <c r="E23" s="19">
        <v>1500304.76</v>
      </c>
      <c r="F23" s="19">
        <v>522973</v>
      </c>
      <c r="G23" s="130">
        <v>43617</v>
      </c>
      <c r="H23" s="130">
        <v>43617</v>
      </c>
      <c r="I23" s="15">
        <v>4640981.3600000003</v>
      </c>
      <c r="J23" s="19">
        <v>0</v>
      </c>
      <c r="K23" s="19">
        <v>5</v>
      </c>
      <c r="L23" s="19" t="s">
        <v>163</v>
      </c>
      <c r="M23" s="19" t="s">
        <v>163</v>
      </c>
      <c r="N23" s="19" t="s">
        <v>216</v>
      </c>
      <c r="O23" s="19" t="s">
        <v>159</v>
      </c>
      <c r="P23" s="19">
        <v>1000</v>
      </c>
      <c r="Q23" s="19" t="s">
        <v>23</v>
      </c>
      <c r="R23" s="19">
        <v>0</v>
      </c>
      <c r="S23" s="19">
        <v>264.89999999999998</v>
      </c>
      <c r="T23" s="19">
        <v>0</v>
      </c>
      <c r="U23" s="19">
        <v>0</v>
      </c>
    </row>
    <row r="24" spans="1:21" x14ac:dyDescent="0.3">
      <c r="A24" s="19">
        <v>1</v>
      </c>
      <c r="B24" s="19">
        <v>89743236.640000001</v>
      </c>
      <c r="C24" s="19">
        <v>6.6900000000000001E-2</v>
      </c>
      <c r="D24" s="19">
        <v>500318.54</v>
      </c>
      <c r="E24" s="19">
        <v>45900109.07</v>
      </c>
      <c r="F24" s="19">
        <v>526199</v>
      </c>
      <c r="G24" s="130">
        <v>43617</v>
      </c>
      <c r="H24" s="130">
        <v>43617</v>
      </c>
      <c r="I24" s="15">
        <v>89743236.640000001</v>
      </c>
      <c r="J24" s="19">
        <v>0</v>
      </c>
      <c r="K24" s="19">
        <v>39</v>
      </c>
      <c r="L24" s="19" t="s">
        <v>166</v>
      </c>
      <c r="M24" s="19" t="s">
        <v>166</v>
      </c>
      <c r="N24" s="19" t="s">
        <v>216</v>
      </c>
      <c r="O24" s="19" t="s">
        <v>159</v>
      </c>
      <c r="P24" s="19">
        <v>1000</v>
      </c>
      <c r="Q24" s="19" t="s">
        <v>23</v>
      </c>
      <c r="R24" s="19">
        <v>0</v>
      </c>
      <c r="S24" s="19">
        <v>6712.94</v>
      </c>
      <c r="T24" s="19">
        <v>0</v>
      </c>
      <c r="U24" s="19">
        <v>0</v>
      </c>
    </row>
    <row r="25" spans="1:21" x14ac:dyDescent="0.3">
      <c r="A25" s="19">
        <v>1</v>
      </c>
      <c r="B25" s="19">
        <v>33894225.079999998</v>
      </c>
      <c r="C25" s="19">
        <v>6.6699999999999995E-2</v>
      </c>
      <c r="D25" s="19">
        <v>188395.4</v>
      </c>
      <c r="E25" s="19">
        <v>15627034.119999999</v>
      </c>
      <c r="F25" s="19">
        <v>526670</v>
      </c>
      <c r="G25" s="130">
        <v>43617</v>
      </c>
      <c r="H25" s="130">
        <v>43617</v>
      </c>
      <c r="I25" s="15">
        <v>33894225.079999998</v>
      </c>
      <c r="J25" s="19">
        <v>0</v>
      </c>
      <c r="K25" s="19">
        <v>48</v>
      </c>
      <c r="L25" s="19" t="s">
        <v>169</v>
      </c>
      <c r="M25" s="19" t="s">
        <v>169</v>
      </c>
      <c r="N25" s="19" t="s">
        <v>216</v>
      </c>
      <c r="O25" s="19" t="s">
        <v>159</v>
      </c>
      <c r="P25" s="19">
        <v>1000</v>
      </c>
      <c r="Q25" s="19" t="s">
        <v>23</v>
      </c>
      <c r="R25" s="19">
        <v>0</v>
      </c>
      <c r="S25" s="19">
        <v>3413.42</v>
      </c>
      <c r="T25" s="19">
        <v>0</v>
      </c>
      <c r="U25" s="19">
        <v>0</v>
      </c>
    </row>
    <row r="26" spans="1:21" x14ac:dyDescent="0.3">
      <c r="A26" s="19">
        <v>1</v>
      </c>
      <c r="B26" s="19">
        <v>4099291.74</v>
      </c>
      <c r="C26" s="19">
        <v>6.5299999999999997E-2</v>
      </c>
      <c r="D26" s="19">
        <v>22306.98</v>
      </c>
      <c r="E26" s="19">
        <v>1700984.18</v>
      </c>
      <c r="F26" s="19">
        <v>527061</v>
      </c>
      <c r="G26" s="130">
        <v>43617</v>
      </c>
      <c r="H26" s="130">
        <v>43617</v>
      </c>
      <c r="I26" s="15">
        <v>4100407.91</v>
      </c>
      <c r="J26" s="19">
        <v>0</v>
      </c>
      <c r="K26" s="19">
        <v>57</v>
      </c>
      <c r="L26" s="19" t="s">
        <v>172</v>
      </c>
      <c r="M26" s="19" t="s">
        <v>172</v>
      </c>
      <c r="N26" s="19" t="s">
        <v>216</v>
      </c>
      <c r="O26" s="19" t="s">
        <v>159</v>
      </c>
      <c r="P26" s="19">
        <v>1000</v>
      </c>
      <c r="Q26" s="19" t="s">
        <v>23</v>
      </c>
      <c r="R26" s="19">
        <v>0</v>
      </c>
      <c r="S26" s="19">
        <v>0</v>
      </c>
      <c r="T26" s="19">
        <v>0</v>
      </c>
      <c r="U26" s="19">
        <v>0</v>
      </c>
    </row>
    <row r="27" spans="1:21" x14ac:dyDescent="0.3">
      <c r="A27" s="19">
        <v>1</v>
      </c>
      <c r="B27" s="19">
        <v>1117146.6200000001</v>
      </c>
      <c r="C27" s="19">
        <v>6.3200000000000006E-2</v>
      </c>
      <c r="D27" s="19">
        <v>5883.64</v>
      </c>
      <c r="E27" s="19">
        <v>604812.27</v>
      </c>
      <c r="F27" s="19">
        <v>527598</v>
      </c>
      <c r="G27" s="130">
        <v>43617</v>
      </c>
      <c r="H27" s="130">
        <v>43617</v>
      </c>
      <c r="I27" s="15">
        <v>1117146.6200000001</v>
      </c>
      <c r="J27" s="19">
        <v>0</v>
      </c>
      <c r="K27" s="19">
        <v>67</v>
      </c>
      <c r="L27" s="19" t="s">
        <v>175</v>
      </c>
      <c r="M27" s="19" t="s">
        <v>225</v>
      </c>
      <c r="N27" s="19" t="s">
        <v>216</v>
      </c>
      <c r="O27" s="19" t="s">
        <v>159</v>
      </c>
      <c r="P27" s="19">
        <v>1000</v>
      </c>
      <c r="Q27" s="19" t="s">
        <v>23</v>
      </c>
      <c r="R27" s="19">
        <v>0</v>
      </c>
      <c r="S27" s="19">
        <v>0</v>
      </c>
      <c r="T27" s="19">
        <v>0</v>
      </c>
      <c r="U27" s="19">
        <v>0</v>
      </c>
    </row>
    <row r="28" spans="1:21" x14ac:dyDescent="0.3">
      <c r="A28" s="19">
        <v>1</v>
      </c>
      <c r="B28" s="19">
        <v>159072.73000000001</v>
      </c>
      <c r="C28" s="19">
        <v>5.2499999999999998E-2</v>
      </c>
      <c r="D28" s="19">
        <v>695.94</v>
      </c>
      <c r="E28" s="19">
        <v>62419.62</v>
      </c>
      <c r="F28" s="19">
        <v>25271385</v>
      </c>
      <c r="G28" s="130">
        <v>43617</v>
      </c>
      <c r="H28" s="130">
        <v>43617</v>
      </c>
      <c r="I28" s="15">
        <v>159072.73000000001</v>
      </c>
      <c r="J28" s="19">
        <v>0</v>
      </c>
      <c r="K28" s="19">
        <v>9044974</v>
      </c>
      <c r="L28" s="19" t="s">
        <v>178</v>
      </c>
      <c r="M28" s="19" t="s">
        <v>178</v>
      </c>
      <c r="N28" s="19" t="s">
        <v>216</v>
      </c>
      <c r="O28" s="19" t="s">
        <v>159</v>
      </c>
      <c r="P28" s="19">
        <v>1000</v>
      </c>
      <c r="Q28" s="19" t="s">
        <v>23</v>
      </c>
      <c r="R28" s="19">
        <v>0</v>
      </c>
      <c r="S28" s="19">
        <v>-107.01</v>
      </c>
      <c r="T28" s="19">
        <v>0</v>
      </c>
      <c r="U28" s="19">
        <v>0</v>
      </c>
    </row>
    <row r="29" spans="1:21" x14ac:dyDescent="0.3">
      <c r="A29" s="19">
        <v>1</v>
      </c>
      <c r="B29" s="19">
        <v>152492.62</v>
      </c>
      <c r="C29" s="19">
        <v>6.5799999999999997E-2</v>
      </c>
      <c r="D29" s="19">
        <v>836.17</v>
      </c>
      <c r="E29" s="19">
        <v>35106.57</v>
      </c>
      <c r="F29" s="19">
        <v>25322685</v>
      </c>
      <c r="G29" s="130">
        <v>43617</v>
      </c>
      <c r="H29" s="130">
        <v>43617</v>
      </c>
      <c r="I29" s="15">
        <v>157602.39000000001</v>
      </c>
      <c r="J29" s="19">
        <v>0</v>
      </c>
      <c r="K29" s="19">
        <v>9044976</v>
      </c>
      <c r="L29" s="19" t="s">
        <v>181</v>
      </c>
      <c r="M29" s="19" t="s">
        <v>181</v>
      </c>
      <c r="N29" s="19" t="s">
        <v>216</v>
      </c>
      <c r="O29" s="19" t="s">
        <v>159</v>
      </c>
      <c r="P29" s="19">
        <v>1000</v>
      </c>
      <c r="Q29" s="19" t="s">
        <v>23</v>
      </c>
      <c r="R29" s="19">
        <v>0</v>
      </c>
      <c r="S29" s="19">
        <v>-59.83</v>
      </c>
      <c r="T29" s="19">
        <v>0</v>
      </c>
      <c r="U29" s="19">
        <v>0</v>
      </c>
    </row>
    <row r="30" spans="1:21" x14ac:dyDescent="0.3">
      <c r="A30" s="19">
        <v>1</v>
      </c>
      <c r="B30" s="19">
        <v>195544.87</v>
      </c>
      <c r="C30" s="19">
        <v>0.05</v>
      </c>
      <c r="D30" s="19">
        <v>814.77</v>
      </c>
      <c r="E30" s="19">
        <v>54593.94</v>
      </c>
      <c r="F30" s="19">
        <v>25271410</v>
      </c>
      <c r="G30" s="130">
        <v>43617</v>
      </c>
      <c r="H30" s="130">
        <v>43617</v>
      </c>
      <c r="I30" s="15">
        <v>200238.1</v>
      </c>
      <c r="J30" s="19">
        <v>0</v>
      </c>
      <c r="K30" s="19">
        <v>9044975</v>
      </c>
      <c r="L30" s="19" t="s">
        <v>184</v>
      </c>
      <c r="M30" s="19" t="s">
        <v>184</v>
      </c>
      <c r="N30" s="19" t="s">
        <v>218</v>
      </c>
      <c r="O30" s="19" t="s">
        <v>159</v>
      </c>
      <c r="P30" s="19">
        <v>1000</v>
      </c>
      <c r="Q30" s="19" t="s">
        <v>23</v>
      </c>
      <c r="R30" s="19">
        <v>0</v>
      </c>
      <c r="S30" s="19">
        <v>0</v>
      </c>
      <c r="T30" s="19">
        <v>0</v>
      </c>
      <c r="U30" s="19">
        <v>0</v>
      </c>
    </row>
    <row r="32" spans="1:21" x14ac:dyDescent="0.3">
      <c r="G32" s="130"/>
      <c r="H32" s="130"/>
    </row>
    <row r="33" spans="7:8" x14ac:dyDescent="0.3">
      <c r="G33" s="130"/>
      <c r="H33" s="130"/>
    </row>
    <row r="34" spans="7:8" x14ac:dyDescent="0.3">
      <c r="G34" s="130"/>
      <c r="H34" s="130"/>
    </row>
    <row r="35" spans="7:8" x14ac:dyDescent="0.3">
      <c r="G35" s="130"/>
      <c r="H35" s="130"/>
    </row>
    <row r="36" spans="7:8" x14ac:dyDescent="0.3">
      <c r="G36" s="130"/>
      <c r="H36" s="13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5" sqref="B35:B36"/>
    </sheetView>
  </sheetViews>
  <sheetFormatPr defaultColWidth="9.109375" defaultRowHeight="14.4" x14ac:dyDescent="0.3"/>
  <cols>
    <col min="1" max="16384" width="9.109375" style="19"/>
  </cols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5" sqref="B35:B36"/>
    </sheetView>
  </sheetViews>
  <sheetFormatPr defaultColWidth="9.109375" defaultRowHeight="14.4" x14ac:dyDescent="0.3"/>
  <cols>
    <col min="1" max="16384" width="9.109375" style="19"/>
  </cols>
  <sheetData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tabSelected="1" topLeftCell="A22" zoomScale="70" zoomScaleNormal="70" workbookViewId="0">
      <selection activeCell="O69" sqref="O69"/>
    </sheetView>
  </sheetViews>
  <sheetFormatPr defaultColWidth="11.5546875" defaultRowHeight="15" x14ac:dyDescent="0.25"/>
  <cols>
    <col min="1" max="1" width="8.5546875" style="69" bestFit="1" customWidth="1"/>
    <col min="2" max="2" width="3.33203125" style="69" customWidth="1"/>
    <col min="3" max="3" width="66" style="69" bestFit="1" customWidth="1"/>
    <col min="4" max="4" width="1.88671875" style="69" customWidth="1"/>
    <col min="5" max="5" width="15.109375" style="83" bestFit="1" customWidth="1"/>
    <col min="6" max="6" width="1.88671875" style="69" customWidth="1"/>
    <col min="7" max="7" width="18.5546875" style="69" bestFit="1" customWidth="1"/>
    <col min="8" max="8" width="2" style="69" bestFit="1" customWidth="1"/>
    <col min="9" max="9" width="11.5546875" style="93" bestFit="1" customWidth="1"/>
    <col min="10" max="10" width="1.88671875" style="69" customWidth="1"/>
    <col min="11" max="11" width="23.6640625" style="69" customWidth="1"/>
    <col min="12" max="12" width="1.88671875" style="69" customWidth="1"/>
    <col min="13" max="13" width="18.88671875" style="75" bestFit="1" customWidth="1"/>
    <col min="14" max="14" width="1.88671875" style="75" customWidth="1"/>
    <col min="15" max="15" width="17.6640625" style="75" customWidth="1"/>
    <col min="16" max="16" width="1.88671875" style="75" customWidth="1"/>
    <col min="17" max="17" width="15.6640625" style="75" customWidth="1"/>
    <col min="18" max="18" width="1.88671875" style="69" customWidth="1"/>
    <col min="19" max="19" width="11.5546875" style="69" bestFit="1" customWidth="1"/>
    <col min="20" max="20" width="2.6640625" style="69" bestFit="1" customWidth="1"/>
    <col min="21" max="21" width="13.88671875" style="69" bestFit="1" customWidth="1"/>
    <col min="22" max="16384" width="11.5546875" style="69"/>
  </cols>
  <sheetData>
    <row r="1" spans="1:22" ht="15.6" x14ac:dyDescent="0.3">
      <c r="A1" s="67" t="s">
        <v>230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</row>
    <row r="2" spans="1:22" ht="15.6" x14ac:dyDescent="0.3">
      <c r="A2" s="67" t="s">
        <v>359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</row>
    <row r="3" spans="1:22" ht="15.6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8"/>
    </row>
    <row r="4" spans="1:22" ht="15.6" x14ac:dyDescent="0.3">
      <c r="A4" s="67" t="s">
        <v>360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8"/>
    </row>
    <row r="5" spans="1:22" ht="15.6" x14ac:dyDescent="0.3">
      <c r="A5" s="67" t="s">
        <v>361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8"/>
    </row>
    <row r="6" spans="1:22" ht="15.6" x14ac:dyDescent="0.3">
      <c r="A6" s="67" t="s">
        <v>362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8"/>
    </row>
    <row r="7" spans="1:22" ht="15.6" x14ac:dyDescent="0.3">
      <c r="A7" s="70"/>
      <c r="B7" s="71"/>
      <c r="C7" s="71"/>
      <c r="D7" s="71"/>
      <c r="E7" s="72"/>
      <c r="F7" s="71"/>
      <c r="G7" s="71"/>
      <c r="H7" s="71"/>
      <c r="I7" s="73"/>
      <c r="J7" s="71"/>
      <c r="K7" s="71"/>
      <c r="L7" s="71"/>
      <c r="M7" s="74"/>
      <c r="N7" s="74"/>
      <c r="O7" s="74"/>
      <c r="P7" s="74"/>
      <c r="V7" s="68"/>
    </row>
    <row r="8" spans="1:22" ht="15.6" x14ac:dyDescent="0.3">
      <c r="A8" s="68"/>
      <c r="B8" s="76"/>
      <c r="C8" s="77"/>
      <c r="D8" s="78"/>
      <c r="E8" s="79" t="s">
        <v>363</v>
      </c>
      <c r="F8" s="78"/>
      <c r="G8" s="78"/>
      <c r="H8" s="78"/>
      <c r="I8" s="80" t="s">
        <v>364</v>
      </c>
      <c r="J8" s="78"/>
      <c r="K8" s="78" t="s">
        <v>365</v>
      </c>
      <c r="L8" s="78"/>
      <c r="M8" s="81" t="s">
        <v>366</v>
      </c>
      <c r="N8" s="81"/>
      <c r="O8" s="81"/>
      <c r="P8" s="81"/>
      <c r="Q8" s="82" t="s">
        <v>367</v>
      </c>
      <c r="R8" s="71"/>
      <c r="S8" s="71"/>
      <c r="T8" s="83"/>
      <c r="U8" s="78" t="s">
        <v>368</v>
      </c>
      <c r="V8" s="68"/>
    </row>
    <row r="9" spans="1:22" ht="15.6" x14ac:dyDescent="0.3">
      <c r="A9" s="68"/>
      <c r="B9" s="76"/>
      <c r="C9" s="78"/>
      <c r="D9" s="78"/>
      <c r="E9" s="79" t="s">
        <v>369</v>
      </c>
      <c r="F9" s="78"/>
      <c r="G9" s="78" t="s">
        <v>370</v>
      </c>
      <c r="H9" s="78"/>
      <c r="I9" s="80" t="s">
        <v>371</v>
      </c>
      <c r="J9" s="78"/>
      <c r="K9" s="78" t="s">
        <v>372</v>
      </c>
      <c r="L9" s="78"/>
      <c r="M9" s="81" t="s">
        <v>373</v>
      </c>
      <c r="N9" s="81"/>
      <c r="O9" s="81" t="s">
        <v>374</v>
      </c>
      <c r="P9" s="81"/>
      <c r="Q9" s="84" t="s">
        <v>375</v>
      </c>
      <c r="R9" s="85"/>
      <c r="S9" s="86" t="s">
        <v>376</v>
      </c>
      <c r="T9" s="83"/>
      <c r="U9" s="78" t="s">
        <v>377</v>
      </c>
      <c r="V9" s="68"/>
    </row>
    <row r="10" spans="1:22" ht="15.6" x14ac:dyDescent="0.3">
      <c r="A10" s="68"/>
      <c r="B10" s="76"/>
      <c r="C10" s="78" t="s">
        <v>378</v>
      </c>
      <c r="D10" s="78"/>
      <c r="E10" s="87" t="s">
        <v>379</v>
      </c>
      <c r="F10" s="78"/>
      <c r="G10" s="78" t="s">
        <v>380</v>
      </c>
      <c r="H10" s="78"/>
      <c r="I10" s="80" t="s">
        <v>381</v>
      </c>
      <c r="J10" s="78"/>
      <c r="K10" s="88" t="s">
        <v>382</v>
      </c>
      <c r="L10" s="78"/>
      <c r="M10" s="81" t="s">
        <v>383</v>
      </c>
      <c r="N10" s="81"/>
      <c r="O10" s="81" t="s">
        <v>384</v>
      </c>
      <c r="P10" s="81"/>
      <c r="Q10" s="81" t="s">
        <v>385</v>
      </c>
      <c r="R10" s="78"/>
      <c r="S10" s="77" t="s">
        <v>386</v>
      </c>
      <c r="T10" s="83"/>
      <c r="U10" s="78" t="s">
        <v>387</v>
      </c>
      <c r="V10" s="68"/>
    </row>
    <row r="11" spans="1:22" ht="15.6" x14ac:dyDescent="0.3">
      <c r="A11" s="68"/>
      <c r="B11" s="76"/>
      <c r="C11" s="84">
        <v>-1</v>
      </c>
      <c r="D11" s="89"/>
      <c r="E11" s="84">
        <v>-2</v>
      </c>
      <c r="F11" s="89"/>
      <c r="G11" s="90">
        <v>-3</v>
      </c>
      <c r="H11" s="89"/>
      <c r="I11" s="84">
        <v>-4</v>
      </c>
      <c r="J11" s="89"/>
      <c r="K11" s="84">
        <v>-5</v>
      </c>
      <c r="L11" s="81"/>
      <c r="M11" s="84">
        <v>-6</v>
      </c>
      <c r="N11" s="81"/>
      <c r="O11" s="84">
        <v>-7</v>
      </c>
      <c r="Q11" s="84">
        <v>-8</v>
      </c>
      <c r="R11" s="89"/>
      <c r="S11" s="91" t="s">
        <v>388</v>
      </c>
      <c r="U11" s="91" t="s">
        <v>389</v>
      </c>
      <c r="V11" s="68"/>
    </row>
    <row r="12" spans="1:22" ht="15.6" x14ac:dyDescent="0.3">
      <c r="A12" s="68"/>
      <c r="B12" s="76"/>
      <c r="C12" s="89"/>
      <c r="D12" s="89"/>
      <c r="E12" s="89"/>
      <c r="F12" s="89"/>
      <c r="G12" s="89"/>
      <c r="H12" s="89"/>
      <c r="I12" s="80"/>
      <c r="J12" s="89"/>
      <c r="K12" s="89"/>
      <c r="L12" s="89"/>
      <c r="M12" s="81"/>
      <c r="N12" s="81"/>
      <c r="O12" s="81"/>
      <c r="P12" s="81"/>
      <c r="Q12" s="81"/>
      <c r="R12" s="89"/>
      <c r="S12" s="89"/>
      <c r="U12" s="89"/>
      <c r="V12" s="68"/>
    </row>
    <row r="13" spans="1:22" ht="15.6" x14ac:dyDescent="0.3">
      <c r="A13" s="68"/>
      <c r="C13" s="92" t="s">
        <v>390</v>
      </c>
      <c r="M13" s="94"/>
      <c r="N13" s="94"/>
      <c r="O13" s="94"/>
      <c r="P13" s="94"/>
      <c r="Q13" s="94"/>
      <c r="V13" s="68"/>
    </row>
    <row r="14" spans="1:22" x14ac:dyDescent="0.25">
      <c r="A14" s="68"/>
      <c r="M14" s="94"/>
      <c r="N14" s="94"/>
      <c r="O14" s="94"/>
      <c r="P14" s="94"/>
      <c r="Q14" s="94"/>
      <c r="V14" s="68"/>
    </row>
    <row r="15" spans="1:22" ht="15.6" x14ac:dyDescent="0.3">
      <c r="A15" s="68"/>
      <c r="C15" s="77" t="s">
        <v>391</v>
      </c>
      <c r="M15" s="94"/>
      <c r="N15" s="94"/>
      <c r="O15" s="94"/>
      <c r="P15" s="94"/>
      <c r="Q15" s="94"/>
      <c r="S15" s="95"/>
      <c r="U15" s="96"/>
      <c r="V15" s="68"/>
    </row>
    <row r="16" spans="1:22" ht="15.6" x14ac:dyDescent="0.3">
      <c r="A16" s="68"/>
      <c r="C16" s="86"/>
      <c r="M16" s="94"/>
      <c r="N16" s="94"/>
      <c r="O16" s="94"/>
      <c r="P16" s="94"/>
      <c r="Q16" s="94"/>
      <c r="S16" s="95"/>
      <c r="U16" s="96"/>
      <c r="V16" s="68"/>
    </row>
    <row r="17" spans="1:22" x14ac:dyDescent="0.25">
      <c r="A17" s="97">
        <v>311</v>
      </c>
      <c r="B17" s="98"/>
      <c r="C17" s="98" t="s">
        <v>392</v>
      </c>
      <c r="D17" s="98"/>
      <c r="E17" s="99"/>
      <c r="F17" s="98"/>
      <c r="G17" s="98"/>
      <c r="H17" s="98"/>
      <c r="I17" s="100"/>
      <c r="J17" s="98"/>
      <c r="K17" s="98"/>
      <c r="L17" s="98"/>
      <c r="M17" s="101"/>
      <c r="N17" s="101"/>
      <c r="O17" s="101"/>
      <c r="P17" s="101"/>
      <c r="Q17" s="101"/>
      <c r="V17" s="68"/>
    </row>
    <row r="18" spans="1:22" x14ac:dyDescent="0.25">
      <c r="A18" s="97"/>
      <c r="B18" s="98"/>
      <c r="C18" s="102" t="s">
        <v>393</v>
      </c>
      <c r="D18" s="98"/>
      <c r="E18" s="103">
        <v>46022</v>
      </c>
      <c r="F18" s="98"/>
      <c r="G18" s="104" t="s">
        <v>394</v>
      </c>
      <c r="H18" s="104" t="s">
        <v>395</v>
      </c>
      <c r="I18" s="105">
        <v>-14</v>
      </c>
      <c r="J18" s="98"/>
      <c r="K18" s="106">
        <v>29987171.960000001</v>
      </c>
      <c r="L18" s="107"/>
      <c r="M18" s="108">
        <v>22270655.57</v>
      </c>
      <c r="N18" s="108"/>
      <c r="O18" s="108">
        <v>11914720</v>
      </c>
      <c r="P18" s="108"/>
      <c r="Q18" s="108">
        <v>1727058</v>
      </c>
      <c r="S18" s="96">
        <v>5.76</v>
      </c>
      <c r="U18" s="95">
        <v>6.9</v>
      </c>
      <c r="V18" s="68"/>
    </row>
    <row r="19" spans="1:22" x14ac:dyDescent="0.25">
      <c r="A19" s="97"/>
      <c r="B19" s="98"/>
      <c r="C19" s="102" t="s">
        <v>396</v>
      </c>
      <c r="D19" s="98"/>
      <c r="E19" s="103">
        <v>46022</v>
      </c>
      <c r="F19" s="98"/>
      <c r="G19" s="104" t="s">
        <v>394</v>
      </c>
      <c r="H19" s="104" t="s">
        <v>395</v>
      </c>
      <c r="I19" s="105">
        <v>-14</v>
      </c>
      <c r="J19" s="98"/>
      <c r="K19" s="106">
        <v>28124316.629999999</v>
      </c>
      <c r="L19" s="107"/>
      <c r="M19" s="108">
        <v>20427526.469999999</v>
      </c>
      <c r="N19" s="108"/>
      <c r="O19" s="108">
        <v>11634194</v>
      </c>
      <c r="P19" s="108"/>
      <c r="Q19" s="108">
        <v>1684616</v>
      </c>
      <c r="S19" s="96">
        <v>5.99</v>
      </c>
      <c r="U19" s="95">
        <v>6.9</v>
      </c>
      <c r="V19" s="68"/>
    </row>
    <row r="20" spans="1:22" x14ac:dyDescent="0.25">
      <c r="A20" s="97"/>
      <c r="B20" s="98"/>
      <c r="C20" s="102" t="s">
        <v>397</v>
      </c>
      <c r="D20" s="98"/>
      <c r="E20" s="103">
        <v>46022</v>
      </c>
      <c r="F20" s="98"/>
      <c r="G20" s="104" t="s">
        <v>394</v>
      </c>
      <c r="H20" s="104" t="s">
        <v>395</v>
      </c>
      <c r="I20" s="105">
        <v>-14</v>
      </c>
      <c r="J20" s="98"/>
      <c r="K20" s="106">
        <v>70041117.890000001</v>
      </c>
      <c r="L20" s="107"/>
      <c r="M20" s="108">
        <v>52604021.530000001</v>
      </c>
      <c r="N20" s="108"/>
      <c r="O20" s="108">
        <v>27242853</v>
      </c>
      <c r="P20" s="108"/>
      <c r="Q20" s="108">
        <v>3950954</v>
      </c>
      <c r="S20" s="96">
        <v>5.64</v>
      </c>
      <c r="U20" s="95">
        <v>6.9</v>
      </c>
      <c r="V20" s="68"/>
    </row>
    <row r="21" spans="1:22" x14ac:dyDescent="0.25">
      <c r="A21" s="97"/>
      <c r="B21" s="98"/>
      <c r="C21" s="102"/>
      <c r="D21" s="98"/>
      <c r="E21" s="103"/>
      <c r="F21" s="98"/>
      <c r="G21" s="104"/>
      <c r="H21" s="104"/>
      <c r="I21" s="105"/>
      <c r="J21" s="98"/>
      <c r="K21" s="106"/>
      <c r="L21" s="107"/>
      <c r="M21" s="108"/>
      <c r="N21" s="108"/>
      <c r="O21" s="108"/>
      <c r="P21" s="108"/>
      <c r="Q21" s="108"/>
      <c r="S21" s="96"/>
      <c r="U21" s="95"/>
      <c r="V21" s="68"/>
    </row>
    <row r="22" spans="1:22" ht="15.6" x14ac:dyDescent="0.3">
      <c r="A22" s="97"/>
      <c r="B22" s="98"/>
      <c r="C22" s="109" t="s">
        <v>398</v>
      </c>
      <c r="D22" s="98"/>
      <c r="E22" s="99"/>
      <c r="F22" s="98"/>
      <c r="G22" s="104"/>
      <c r="H22" s="104"/>
      <c r="I22" s="105"/>
      <c r="J22" s="98"/>
      <c r="K22" s="106">
        <f>+SUBTOTAL(9,K18:K20)</f>
        <v>128152606.48</v>
      </c>
      <c r="L22" s="107"/>
      <c r="M22" s="108">
        <f>+SUBTOTAL(9,M18:M20)</f>
        <v>95302203.569999993</v>
      </c>
      <c r="N22" s="108"/>
      <c r="O22" s="108">
        <f>+SUBTOTAL(9,O18:O20)</f>
        <v>50791767</v>
      </c>
      <c r="P22" s="108"/>
      <c r="Q22" s="108">
        <f>+SUBTOTAL(9,Q18:Q20)</f>
        <v>7362628</v>
      </c>
      <c r="S22" s="96">
        <f>Q22/K22*100</f>
        <v>5.7452034743819596</v>
      </c>
      <c r="U22" s="95">
        <f>ROUND(O22/Q22,1)</f>
        <v>6.9</v>
      </c>
      <c r="V22" s="68"/>
    </row>
    <row r="23" spans="1:22" x14ac:dyDescent="0.25">
      <c r="A23" s="97"/>
      <c r="B23" s="98"/>
      <c r="C23" s="102"/>
      <c r="D23" s="98"/>
      <c r="E23" s="99"/>
      <c r="F23" s="98"/>
      <c r="G23" s="104"/>
      <c r="H23" s="104"/>
      <c r="I23" s="105"/>
      <c r="J23" s="98"/>
      <c r="K23" s="106"/>
      <c r="L23" s="107"/>
      <c r="M23" s="108"/>
      <c r="N23" s="108"/>
      <c r="O23" s="108"/>
      <c r="P23" s="108"/>
      <c r="Q23" s="108"/>
      <c r="S23" s="96"/>
      <c r="U23" s="95"/>
      <c r="V23" s="68"/>
    </row>
    <row r="24" spans="1:22" x14ac:dyDescent="0.25">
      <c r="A24" s="97">
        <v>312</v>
      </c>
      <c r="B24" s="98"/>
      <c r="C24" s="102" t="s">
        <v>399</v>
      </c>
      <c r="D24" s="98"/>
      <c r="E24" s="99"/>
      <c r="F24" s="98"/>
      <c r="G24" s="104"/>
      <c r="H24" s="104"/>
      <c r="I24" s="105"/>
      <c r="J24" s="98"/>
      <c r="K24" s="106"/>
      <c r="L24" s="107"/>
      <c r="M24" s="108"/>
      <c r="N24" s="108"/>
      <c r="O24" s="108"/>
      <c r="P24" s="108"/>
      <c r="Q24" s="108"/>
      <c r="S24" s="96"/>
      <c r="U24" s="95"/>
      <c r="V24" s="68"/>
    </row>
    <row r="25" spans="1:22" x14ac:dyDescent="0.25">
      <c r="A25" s="97"/>
      <c r="B25" s="98"/>
      <c r="C25" s="102" t="s">
        <v>400</v>
      </c>
      <c r="D25" s="98"/>
      <c r="E25" s="103">
        <v>46022</v>
      </c>
      <c r="F25" s="98"/>
      <c r="G25" s="104" t="s">
        <v>401</v>
      </c>
      <c r="H25" s="104" t="s">
        <v>395</v>
      </c>
      <c r="I25" s="105">
        <v>-14</v>
      </c>
      <c r="J25" s="98"/>
      <c r="K25" s="106">
        <v>147108225.71000001</v>
      </c>
      <c r="L25" s="107"/>
      <c r="M25" s="108">
        <v>94285714.659999996</v>
      </c>
      <c r="N25" s="108"/>
      <c r="O25" s="108">
        <v>73417663</v>
      </c>
      <c r="P25" s="108"/>
      <c r="Q25" s="108">
        <v>10700948</v>
      </c>
      <c r="S25" s="96">
        <v>7.27</v>
      </c>
      <c r="U25" s="95">
        <v>6.9</v>
      </c>
      <c r="V25" s="68"/>
    </row>
    <row r="26" spans="1:22" x14ac:dyDescent="0.25">
      <c r="A26" s="97"/>
      <c r="B26" s="98"/>
      <c r="C26" s="102" t="s">
        <v>402</v>
      </c>
      <c r="D26" s="98"/>
      <c r="E26" s="103">
        <v>46022</v>
      </c>
      <c r="F26" s="98"/>
      <c r="G26" s="104" t="s">
        <v>401</v>
      </c>
      <c r="H26" s="104" t="s">
        <v>395</v>
      </c>
      <c r="I26" s="105">
        <v>-14</v>
      </c>
      <c r="J26" s="98"/>
      <c r="K26" s="106">
        <v>129733477.59999999</v>
      </c>
      <c r="L26" s="107"/>
      <c r="M26" s="108">
        <v>81385731.530000001</v>
      </c>
      <c r="N26" s="108"/>
      <c r="O26" s="108">
        <v>66510433</v>
      </c>
      <c r="P26" s="108"/>
      <c r="Q26" s="108">
        <v>9690302</v>
      </c>
      <c r="S26" s="96">
        <v>7.47</v>
      </c>
      <c r="U26" s="95">
        <v>6.9</v>
      </c>
      <c r="V26" s="68"/>
    </row>
    <row r="27" spans="1:22" x14ac:dyDescent="0.25">
      <c r="A27" s="97"/>
      <c r="B27" s="98"/>
      <c r="C27" s="98" t="s">
        <v>403</v>
      </c>
      <c r="D27" s="98"/>
      <c r="E27" s="103">
        <v>46022</v>
      </c>
      <c r="F27" s="98"/>
      <c r="G27" s="104" t="s">
        <v>401</v>
      </c>
      <c r="H27" s="104" t="s">
        <v>395</v>
      </c>
      <c r="I27" s="105">
        <v>-14</v>
      </c>
      <c r="J27" s="98"/>
      <c r="K27" s="106">
        <v>15171818.779999999</v>
      </c>
      <c r="L27" s="107"/>
      <c r="M27" s="108">
        <v>8794326.3300000001</v>
      </c>
      <c r="N27" s="108"/>
      <c r="O27" s="108">
        <v>8501547</v>
      </c>
      <c r="P27" s="108"/>
      <c r="Q27" s="108">
        <v>1243507</v>
      </c>
      <c r="S27" s="96">
        <v>8.1999999999999993</v>
      </c>
      <c r="U27" s="95">
        <v>6.8</v>
      </c>
      <c r="V27" s="68"/>
    </row>
    <row r="28" spans="1:22" x14ac:dyDescent="0.25">
      <c r="A28" s="97"/>
      <c r="B28" s="98"/>
      <c r="C28" s="98"/>
      <c r="D28" s="98"/>
      <c r="E28" s="99"/>
      <c r="F28" s="98"/>
      <c r="G28" s="98"/>
      <c r="H28" s="98"/>
      <c r="I28" s="100"/>
      <c r="J28" s="98"/>
      <c r="K28" s="106"/>
      <c r="L28" s="98"/>
      <c r="M28" s="101"/>
      <c r="N28" s="101"/>
      <c r="O28" s="101"/>
      <c r="P28" s="101"/>
      <c r="Q28" s="101"/>
      <c r="S28" s="96"/>
      <c r="U28" s="95"/>
      <c r="V28" s="68"/>
    </row>
    <row r="29" spans="1:22" ht="15.6" x14ac:dyDescent="0.3">
      <c r="A29" s="97"/>
      <c r="B29" s="98"/>
      <c r="C29" s="109" t="s">
        <v>404</v>
      </c>
      <c r="D29" s="98"/>
      <c r="E29" s="99"/>
      <c r="F29" s="98"/>
      <c r="G29" s="104"/>
      <c r="H29" s="104"/>
      <c r="I29" s="105"/>
      <c r="J29" s="98"/>
      <c r="K29" s="106">
        <f>+SUBTOTAL(9,K25:K27)</f>
        <v>292013522.08999997</v>
      </c>
      <c r="L29" s="107"/>
      <c r="M29" s="108">
        <f>+SUBTOTAL(9,M25:M27)</f>
        <v>184465772.52000001</v>
      </c>
      <c r="N29" s="108"/>
      <c r="O29" s="108">
        <f>+SUBTOTAL(9,O25:O27)</f>
        <v>148429643</v>
      </c>
      <c r="P29" s="108"/>
      <c r="Q29" s="108">
        <f>+SUBTOTAL(9,Q25:Q27)</f>
        <v>21634757</v>
      </c>
      <c r="S29" s="96">
        <f>Q29/K29*100</f>
        <v>7.4088202646081793</v>
      </c>
      <c r="U29" s="95">
        <f>ROUND(O29/Q29,1)</f>
        <v>6.9</v>
      </c>
      <c r="V29" s="68"/>
    </row>
    <row r="30" spans="1:22" x14ac:dyDescent="0.25">
      <c r="A30" s="97"/>
      <c r="B30" s="98"/>
      <c r="C30" s="102"/>
      <c r="D30" s="98"/>
      <c r="E30" s="99"/>
      <c r="F30" s="98"/>
      <c r="G30" s="104"/>
      <c r="H30" s="104"/>
      <c r="I30" s="105"/>
      <c r="J30" s="98"/>
      <c r="K30" s="106"/>
      <c r="L30" s="107"/>
      <c r="M30" s="108"/>
      <c r="N30" s="108"/>
      <c r="O30" s="108"/>
      <c r="P30" s="108"/>
      <c r="Q30" s="108"/>
      <c r="S30" s="96"/>
      <c r="U30" s="95"/>
      <c r="V30" s="68"/>
    </row>
    <row r="31" spans="1:22" x14ac:dyDescent="0.25">
      <c r="A31" s="97">
        <v>314</v>
      </c>
      <c r="B31" s="98"/>
      <c r="C31" s="102" t="s">
        <v>405</v>
      </c>
      <c r="D31" s="98"/>
      <c r="E31" s="99"/>
      <c r="F31" s="98"/>
      <c r="G31" s="104"/>
      <c r="H31" s="104"/>
      <c r="I31" s="105"/>
      <c r="J31" s="98"/>
      <c r="K31" s="106"/>
      <c r="L31" s="107"/>
      <c r="M31" s="108"/>
      <c r="N31" s="108"/>
      <c r="O31" s="108"/>
      <c r="P31" s="108"/>
      <c r="Q31" s="108"/>
      <c r="S31" s="96"/>
      <c r="U31" s="95"/>
      <c r="V31" s="68"/>
    </row>
    <row r="32" spans="1:22" x14ac:dyDescent="0.25">
      <c r="A32" s="97"/>
      <c r="B32" s="98"/>
      <c r="C32" s="102" t="s">
        <v>406</v>
      </c>
      <c r="D32" s="98"/>
      <c r="E32" s="103">
        <v>46022</v>
      </c>
      <c r="F32" s="98"/>
      <c r="G32" s="104" t="s">
        <v>407</v>
      </c>
      <c r="H32" s="104" t="s">
        <v>395</v>
      </c>
      <c r="I32" s="105">
        <v>-13</v>
      </c>
      <c r="J32" s="98"/>
      <c r="K32" s="106">
        <v>42170023.689999998</v>
      </c>
      <c r="L32" s="107"/>
      <c r="M32" s="108">
        <v>16801546.170000002</v>
      </c>
      <c r="N32" s="108"/>
      <c r="O32" s="108">
        <v>30850581</v>
      </c>
      <c r="P32" s="108"/>
      <c r="Q32" s="108">
        <v>4639345</v>
      </c>
      <c r="S32" s="96">
        <v>11</v>
      </c>
      <c r="U32" s="95">
        <v>6.6</v>
      </c>
      <c r="V32" s="68"/>
    </row>
    <row r="33" spans="1:22" x14ac:dyDescent="0.25">
      <c r="A33" s="97"/>
      <c r="B33" s="98"/>
      <c r="C33" s="102" t="s">
        <v>408</v>
      </c>
      <c r="D33" s="98"/>
      <c r="E33" s="103">
        <v>46022</v>
      </c>
      <c r="F33" s="98"/>
      <c r="G33" s="104" t="s">
        <v>407</v>
      </c>
      <c r="H33" s="104" t="s">
        <v>395</v>
      </c>
      <c r="I33" s="105">
        <v>-13</v>
      </c>
      <c r="J33" s="98"/>
      <c r="K33" s="106">
        <v>39956361.689999998</v>
      </c>
      <c r="L33" s="107"/>
      <c r="M33" s="108">
        <v>17977871.260000002</v>
      </c>
      <c r="N33" s="108"/>
      <c r="O33" s="108">
        <v>27172817</v>
      </c>
      <c r="P33" s="108"/>
      <c r="Q33" s="108">
        <v>4062031</v>
      </c>
      <c r="S33" s="96">
        <v>10.17</v>
      </c>
      <c r="U33" s="95">
        <v>6.7</v>
      </c>
      <c r="V33" s="68"/>
    </row>
    <row r="34" spans="1:22" x14ac:dyDescent="0.25">
      <c r="A34" s="97"/>
      <c r="B34" s="98"/>
      <c r="C34" s="102"/>
      <c r="D34" s="98"/>
      <c r="E34" s="99"/>
      <c r="F34" s="98"/>
      <c r="G34" s="104"/>
      <c r="H34" s="104"/>
      <c r="I34" s="105"/>
      <c r="J34" s="98"/>
      <c r="K34" s="106"/>
      <c r="L34" s="107"/>
      <c r="M34" s="108"/>
      <c r="N34" s="108"/>
      <c r="O34" s="108"/>
      <c r="P34" s="108"/>
      <c r="Q34" s="108"/>
      <c r="S34" s="96"/>
      <c r="U34" s="95"/>
      <c r="V34" s="68"/>
    </row>
    <row r="35" spans="1:22" ht="15.6" x14ac:dyDescent="0.3">
      <c r="A35" s="97"/>
      <c r="B35" s="98"/>
      <c r="C35" s="109" t="s">
        <v>409</v>
      </c>
      <c r="D35" s="98"/>
      <c r="E35" s="99"/>
      <c r="F35" s="98"/>
      <c r="G35" s="104"/>
      <c r="H35" s="104"/>
      <c r="I35" s="105"/>
      <c r="J35" s="98"/>
      <c r="K35" s="106">
        <f>+SUBTOTAL(9,K32:K33)</f>
        <v>82126385.379999995</v>
      </c>
      <c r="L35" s="107"/>
      <c r="M35" s="108">
        <f>+SUBTOTAL(9,M32:M33)</f>
        <v>34779417.430000007</v>
      </c>
      <c r="N35" s="108"/>
      <c r="O35" s="108">
        <f>+SUBTOTAL(9,O32:O33)</f>
        <v>58023398</v>
      </c>
      <c r="P35" s="108"/>
      <c r="Q35" s="108">
        <f>+SUBTOTAL(9,Q32:Q33)</f>
        <v>8701376</v>
      </c>
      <c r="S35" s="96">
        <f>Q35/K35*100</f>
        <v>10.595104070072736</v>
      </c>
      <c r="U35" s="95">
        <f>ROUND(O35/Q35,1)</f>
        <v>6.7</v>
      </c>
      <c r="V35" s="68"/>
    </row>
    <row r="36" spans="1:22" x14ac:dyDescent="0.25">
      <c r="A36" s="97"/>
      <c r="B36" s="98"/>
      <c r="C36" s="102"/>
      <c r="D36" s="98"/>
      <c r="E36" s="99"/>
      <c r="F36" s="98"/>
      <c r="G36" s="104"/>
      <c r="H36" s="104"/>
      <c r="I36" s="105"/>
      <c r="J36" s="98"/>
      <c r="K36" s="106"/>
      <c r="L36" s="107"/>
      <c r="M36" s="108"/>
      <c r="N36" s="108"/>
      <c r="O36" s="108"/>
      <c r="P36" s="108"/>
      <c r="Q36" s="108"/>
      <c r="S36" s="96"/>
      <c r="U36" s="95"/>
      <c r="V36" s="68"/>
    </row>
    <row r="37" spans="1:22" x14ac:dyDescent="0.25">
      <c r="A37" s="97">
        <v>315</v>
      </c>
      <c r="B37" s="98"/>
      <c r="C37" s="102" t="s">
        <v>410</v>
      </c>
      <c r="D37" s="98"/>
      <c r="E37" s="99"/>
      <c r="F37" s="98"/>
      <c r="G37" s="104"/>
      <c r="H37" s="104"/>
      <c r="I37" s="105"/>
      <c r="J37" s="98"/>
      <c r="K37" s="106"/>
      <c r="L37" s="107"/>
      <c r="M37" s="108"/>
      <c r="N37" s="108"/>
      <c r="O37" s="108"/>
      <c r="P37" s="108"/>
      <c r="Q37" s="108"/>
      <c r="S37" s="96"/>
      <c r="U37" s="95"/>
      <c r="V37" s="68"/>
    </row>
    <row r="38" spans="1:22" x14ac:dyDescent="0.25">
      <c r="A38" s="97"/>
      <c r="B38" s="98"/>
      <c r="C38" s="102" t="s">
        <v>411</v>
      </c>
      <c r="D38" s="98"/>
      <c r="E38" s="103">
        <v>46022</v>
      </c>
      <c r="F38" s="98"/>
      <c r="G38" s="104" t="s">
        <v>412</v>
      </c>
      <c r="H38" s="104" t="s">
        <v>395</v>
      </c>
      <c r="I38" s="105">
        <v>-13</v>
      </c>
      <c r="J38" s="98"/>
      <c r="K38" s="106">
        <v>7257623.1699999999</v>
      </c>
      <c r="L38" s="107"/>
      <c r="M38" s="108">
        <v>4247838</v>
      </c>
      <c r="N38" s="108"/>
      <c r="O38" s="108">
        <v>3953276</v>
      </c>
      <c r="P38" s="108"/>
      <c r="Q38" s="108">
        <v>579402</v>
      </c>
      <c r="S38" s="96">
        <v>7.98</v>
      </c>
      <c r="U38" s="95">
        <v>6.8</v>
      </c>
      <c r="V38" s="68"/>
    </row>
    <row r="39" spans="1:22" x14ac:dyDescent="0.25">
      <c r="A39" s="97"/>
      <c r="B39" s="98"/>
      <c r="C39" s="102" t="s">
        <v>413</v>
      </c>
      <c r="D39" s="98"/>
      <c r="E39" s="103">
        <v>46022</v>
      </c>
      <c r="F39" s="98"/>
      <c r="G39" s="104" t="s">
        <v>412</v>
      </c>
      <c r="H39" s="104" t="s">
        <v>395</v>
      </c>
      <c r="I39" s="105">
        <v>-13</v>
      </c>
      <c r="J39" s="98"/>
      <c r="K39" s="106">
        <v>6567794.7800000003</v>
      </c>
      <c r="L39" s="107"/>
      <c r="M39" s="108">
        <v>3593742.16</v>
      </c>
      <c r="N39" s="108"/>
      <c r="O39" s="108">
        <v>3827866</v>
      </c>
      <c r="P39" s="108"/>
      <c r="Q39" s="108">
        <v>559616</v>
      </c>
      <c r="S39" s="96">
        <v>8.52</v>
      </c>
      <c r="U39" s="95">
        <v>6.8</v>
      </c>
      <c r="V39" s="68"/>
    </row>
    <row r="40" spans="1:22" x14ac:dyDescent="0.25">
      <c r="B40" s="98"/>
      <c r="C40" s="102" t="s">
        <v>414</v>
      </c>
      <c r="D40" s="98"/>
      <c r="E40" s="103">
        <v>46022</v>
      </c>
      <c r="F40" s="98"/>
      <c r="G40" s="104" t="s">
        <v>412</v>
      </c>
      <c r="H40" s="104" t="s">
        <v>395</v>
      </c>
      <c r="I40" s="105">
        <v>-13</v>
      </c>
      <c r="J40" s="98"/>
      <c r="K40" s="106">
        <v>7639006.2400000002</v>
      </c>
      <c r="L40" s="107"/>
      <c r="M40" s="108">
        <v>5896442.1699999999</v>
      </c>
      <c r="N40" s="108"/>
      <c r="O40" s="108">
        <v>2735635</v>
      </c>
      <c r="P40" s="108"/>
      <c r="Q40" s="108">
        <v>406440</v>
      </c>
      <c r="S40" s="96">
        <v>5.32</v>
      </c>
      <c r="U40" s="95">
        <v>6.7</v>
      </c>
      <c r="V40" s="68"/>
    </row>
    <row r="41" spans="1:22" x14ac:dyDescent="0.25">
      <c r="A41" s="97"/>
      <c r="B41" s="98"/>
      <c r="C41" s="102"/>
      <c r="D41" s="98"/>
      <c r="E41" s="99"/>
      <c r="F41" s="98"/>
      <c r="G41" s="104"/>
      <c r="H41" s="104"/>
      <c r="I41" s="105"/>
      <c r="J41" s="98"/>
      <c r="K41" s="106"/>
      <c r="L41" s="107"/>
      <c r="M41" s="108"/>
      <c r="N41" s="108"/>
      <c r="O41" s="108"/>
      <c r="P41" s="108"/>
      <c r="Q41" s="108"/>
      <c r="S41" s="96"/>
      <c r="U41" s="95"/>
      <c r="V41" s="68"/>
    </row>
    <row r="42" spans="1:22" ht="15.6" x14ac:dyDescent="0.3">
      <c r="A42" s="97"/>
      <c r="B42" s="98"/>
      <c r="C42" s="109" t="s">
        <v>415</v>
      </c>
      <c r="D42" s="98"/>
      <c r="E42" s="99"/>
      <c r="F42" s="98"/>
      <c r="G42" s="104"/>
      <c r="H42" s="104"/>
      <c r="I42" s="105"/>
      <c r="J42" s="98"/>
      <c r="K42" s="106">
        <f>+SUBTOTAL(9,K38:K40)</f>
        <v>21464424.189999998</v>
      </c>
      <c r="L42" s="107"/>
      <c r="M42" s="108">
        <f>+SUBTOTAL(9,M38:M40)</f>
        <v>13738022.33</v>
      </c>
      <c r="N42" s="108"/>
      <c r="O42" s="108">
        <f>+SUBTOTAL(9,O38:O40)</f>
        <v>10516777</v>
      </c>
      <c r="P42" s="108"/>
      <c r="Q42" s="108">
        <f>+SUBTOTAL(9,Q38:Q40)</f>
        <v>1545458</v>
      </c>
      <c r="S42" s="96">
        <f>Q42/K42*100</f>
        <v>7.2000906538178144</v>
      </c>
      <c r="U42" s="95">
        <f>ROUND(O42/Q42,1)</f>
        <v>6.8</v>
      </c>
      <c r="V42" s="68"/>
    </row>
    <row r="43" spans="1:22" x14ac:dyDescent="0.25">
      <c r="A43" s="97"/>
      <c r="B43" s="98"/>
      <c r="C43" s="102"/>
      <c r="D43" s="98"/>
      <c r="E43" s="99"/>
      <c r="F43" s="98"/>
      <c r="G43" s="104"/>
      <c r="H43" s="104"/>
      <c r="I43" s="105"/>
      <c r="J43" s="98"/>
      <c r="K43" s="106"/>
      <c r="L43" s="98"/>
      <c r="M43" s="101"/>
      <c r="N43" s="101"/>
      <c r="O43" s="101"/>
      <c r="P43" s="101"/>
      <c r="Q43" s="101"/>
      <c r="S43" s="96"/>
      <c r="U43" s="95"/>
      <c r="V43" s="68"/>
    </row>
    <row r="44" spans="1:22" x14ac:dyDescent="0.25">
      <c r="A44" s="97">
        <v>316</v>
      </c>
      <c r="B44" s="98"/>
      <c r="C44" s="102" t="s">
        <v>416</v>
      </c>
      <c r="D44" s="98"/>
      <c r="E44" s="99"/>
      <c r="F44" s="98"/>
      <c r="G44" s="104"/>
      <c r="H44" s="104"/>
      <c r="I44" s="105"/>
      <c r="J44" s="98"/>
      <c r="K44" s="106"/>
      <c r="L44" s="98"/>
      <c r="M44" s="101"/>
      <c r="N44" s="101"/>
      <c r="O44" s="101"/>
      <c r="P44" s="101"/>
      <c r="Q44" s="101"/>
      <c r="S44" s="96"/>
      <c r="U44" s="95"/>
      <c r="V44" s="68"/>
    </row>
    <row r="45" spans="1:22" x14ac:dyDescent="0.25">
      <c r="A45" s="97"/>
      <c r="B45" s="98"/>
      <c r="C45" s="102" t="s">
        <v>417</v>
      </c>
      <c r="D45" s="98"/>
      <c r="E45" s="103">
        <v>46022</v>
      </c>
      <c r="F45" s="98"/>
      <c r="G45" s="104" t="s">
        <v>418</v>
      </c>
      <c r="H45" s="104" t="s">
        <v>395</v>
      </c>
      <c r="I45" s="105">
        <v>-13</v>
      </c>
      <c r="J45" s="98"/>
      <c r="K45" s="106">
        <v>1069833.53</v>
      </c>
      <c r="L45" s="107"/>
      <c r="M45" s="108">
        <v>472091.3</v>
      </c>
      <c r="N45" s="108"/>
      <c r="O45" s="108">
        <v>736821</v>
      </c>
      <c r="P45" s="108"/>
      <c r="Q45" s="108">
        <v>108366</v>
      </c>
      <c r="S45" s="96">
        <v>10.130000000000001</v>
      </c>
      <c r="U45" s="95">
        <v>6.8</v>
      </c>
      <c r="V45" s="68"/>
    </row>
    <row r="46" spans="1:22" x14ac:dyDescent="0.25">
      <c r="A46" s="97"/>
      <c r="B46" s="98"/>
      <c r="C46" s="102" t="s">
        <v>419</v>
      </c>
      <c r="D46" s="98"/>
      <c r="E46" s="103">
        <v>46022</v>
      </c>
      <c r="F46" s="98"/>
      <c r="G46" s="104" t="s">
        <v>418</v>
      </c>
      <c r="H46" s="104" t="s">
        <v>395</v>
      </c>
      <c r="I46" s="105">
        <v>-13</v>
      </c>
      <c r="J46" s="98"/>
      <c r="K46" s="106">
        <v>1191523.74</v>
      </c>
      <c r="L46" s="107"/>
      <c r="M46" s="108">
        <v>525297.55000000005</v>
      </c>
      <c r="N46" s="108"/>
      <c r="O46" s="108">
        <v>821124</v>
      </c>
      <c r="P46" s="108"/>
      <c r="Q46" s="108">
        <v>120952</v>
      </c>
      <c r="S46" s="96">
        <v>10.15</v>
      </c>
      <c r="U46" s="95">
        <v>6.8</v>
      </c>
      <c r="V46" s="68"/>
    </row>
    <row r="47" spans="1:22" x14ac:dyDescent="0.25">
      <c r="A47" s="97"/>
      <c r="B47" s="98"/>
      <c r="C47" s="102" t="s">
        <v>420</v>
      </c>
      <c r="D47" s="98"/>
      <c r="E47" s="103">
        <v>46022</v>
      </c>
      <c r="F47" s="98"/>
      <c r="G47" s="104" t="s">
        <v>418</v>
      </c>
      <c r="H47" s="104" t="s">
        <v>395</v>
      </c>
      <c r="I47" s="105">
        <v>-13</v>
      </c>
      <c r="J47" s="98"/>
      <c r="K47" s="106">
        <v>251533.56</v>
      </c>
      <c r="L47" s="107"/>
      <c r="M47" s="108">
        <v>206949.78</v>
      </c>
      <c r="N47" s="108"/>
      <c r="O47" s="108">
        <v>77283</v>
      </c>
      <c r="P47" s="108"/>
      <c r="Q47" s="108">
        <v>11691</v>
      </c>
      <c r="S47" s="96">
        <v>4.6500000000000004</v>
      </c>
      <c r="U47" s="95">
        <v>6.6</v>
      </c>
      <c r="V47" s="68"/>
    </row>
    <row r="48" spans="1:22" x14ac:dyDescent="0.25">
      <c r="A48" s="97"/>
      <c r="B48" s="98"/>
      <c r="C48" s="102" t="s">
        <v>421</v>
      </c>
      <c r="D48" s="98"/>
      <c r="E48" s="103">
        <v>46022</v>
      </c>
      <c r="F48" s="98"/>
      <c r="G48" s="104" t="s">
        <v>418</v>
      </c>
      <c r="H48" s="104" t="s">
        <v>395</v>
      </c>
      <c r="I48" s="105">
        <v>-13</v>
      </c>
      <c r="J48" s="98"/>
      <c r="K48" s="106">
        <v>4325614.8</v>
      </c>
      <c r="L48" s="107"/>
      <c r="M48" s="108">
        <v>3064481.24</v>
      </c>
      <c r="N48" s="108"/>
      <c r="O48" s="108">
        <v>1823463</v>
      </c>
      <c r="P48" s="108"/>
      <c r="Q48" s="108">
        <v>273330</v>
      </c>
      <c r="S48" s="96">
        <v>6.32</v>
      </c>
      <c r="U48" s="95">
        <v>6.7</v>
      </c>
      <c r="V48" s="68"/>
    </row>
    <row r="49" spans="1:22" x14ac:dyDescent="0.25">
      <c r="A49" s="97"/>
      <c r="B49" s="98"/>
      <c r="C49" s="102"/>
      <c r="D49" s="98"/>
      <c r="E49" s="99"/>
      <c r="F49" s="98"/>
      <c r="G49" s="104"/>
      <c r="H49" s="104"/>
      <c r="I49" s="105"/>
      <c r="J49" s="98"/>
      <c r="K49" s="106"/>
      <c r="L49" s="107"/>
      <c r="M49" s="108"/>
      <c r="N49" s="108"/>
      <c r="O49" s="108"/>
      <c r="P49" s="108"/>
      <c r="Q49" s="108"/>
      <c r="S49" s="96"/>
      <c r="U49" s="95"/>
      <c r="V49" s="68"/>
    </row>
    <row r="50" spans="1:22" ht="15.6" x14ac:dyDescent="0.3">
      <c r="A50" s="97"/>
      <c r="B50" s="98"/>
      <c r="C50" s="109" t="s">
        <v>422</v>
      </c>
      <c r="D50" s="98"/>
      <c r="E50" s="99"/>
      <c r="F50" s="98"/>
      <c r="G50" s="104"/>
      <c r="H50" s="104"/>
      <c r="I50" s="105"/>
      <c r="J50" s="98"/>
      <c r="K50" s="110">
        <f>+SUBTOTAL(9,K45:K48)</f>
        <v>6838505.6299999999</v>
      </c>
      <c r="L50" s="107"/>
      <c r="M50" s="111">
        <f>+SUBTOTAL(9,M45:M48)</f>
        <v>4268819.87</v>
      </c>
      <c r="N50" s="108"/>
      <c r="O50" s="111">
        <f>+SUBTOTAL(9,O45:O48)</f>
        <v>3458691</v>
      </c>
      <c r="P50" s="108"/>
      <c r="Q50" s="111">
        <f>+SUBTOTAL(9,Q45:Q48)</f>
        <v>514339</v>
      </c>
      <c r="S50" s="96">
        <f>Q50/K50*100</f>
        <v>7.521219222861121</v>
      </c>
      <c r="U50" s="95">
        <f>ROUND(O50/Q50,1)</f>
        <v>6.7</v>
      </c>
      <c r="V50" s="68"/>
    </row>
    <row r="51" spans="1:22" x14ac:dyDescent="0.25">
      <c r="A51" s="97"/>
      <c r="B51" s="112"/>
      <c r="C51" s="102"/>
      <c r="D51" s="113"/>
      <c r="E51" s="99"/>
      <c r="F51" s="113"/>
      <c r="G51" s="104"/>
      <c r="H51" s="104"/>
      <c r="I51" s="105"/>
      <c r="J51" s="113"/>
      <c r="K51" s="106"/>
      <c r="L51" s="107"/>
      <c r="M51" s="108"/>
      <c r="N51" s="108"/>
      <c r="O51" s="108"/>
      <c r="P51" s="108"/>
      <c r="Q51" s="108"/>
      <c r="R51" s="68"/>
      <c r="S51" s="96"/>
      <c r="T51" s="68"/>
      <c r="U51" s="95"/>
      <c r="V51" s="68"/>
    </row>
    <row r="52" spans="1:22" ht="15.6" x14ac:dyDescent="0.3">
      <c r="A52" s="96"/>
      <c r="C52" s="92" t="s">
        <v>423</v>
      </c>
      <c r="G52" s="72"/>
      <c r="H52" s="72"/>
      <c r="I52" s="114"/>
      <c r="K52" s="115">
        <f>SUBTOTAL(9,K17:K50)</f>
        <v>530595443.76999992</v>
      </c>
      <c r="L52" s="116"/>
      <c r="M52" s="117">
        <f>SUBTOTAL(9,M17:M50)</f>
        <v>332554235.72000003</v>
      </c>
      <c r="N52" s="118"/>
      <c r="O52" s="117">
        <f>SUBTOTAL(9,O17:O50)</f>
        <v>271220276</v>
      </c>
      <c r="P52" s="118"/>
      <c r="Q52" s="117">
        <f>SUBTOTAL(9,Q17:Q50)</f>
        <v>39758558</v>
      </c>
      <c r="S52" s="119">
        <f>ROUND(Q52/K52*100,2)</f>
        <v>7.49</v>
      </c>
      <c r="U52" s="95"/>
      <c r="V52" s="68"/>
    </row>
    <row r="53" spans="1:22" ht="15.6" x14ac:dyDescent="0.3">
      <c r="A53" s="96"/>
      <c r="C53" s="92"/>
      <c r="G53" s="72"/>
      <c r="H53" s="72"/>
      <c r="I53" s="114"/>
      <c r="K53" s="120"/>
      <c r="L53" s="76"/>
      <c r="M53" s="121"/>
      <c r="N53" s="121"/>
      <c r="O53" s="121"/>
      <c r="P53" s="121"/>
      <c r="Q53" s="121"/>
      <c r="S53" s="96"/>
      <c r="U53" s="95"/>
      <c r="V53" s="68"/>
    </row>
    <row r="54" spans="1:22" x14ac:dyDescent="0.25">
      <c r="A54" s="96"/>
      <c r="C54" s="122"/>
      <c r="G54" s="72"/>
      <c r="H54" s="72"/>
      <c r="I54" s="114"/>
      <c r="K54" s="120"/>
      <c r="S54" s="96"/>
      <c r="U54" s="95"/>
      <c r="V54" s="68"/>
    </row>
    <row r="55" spans="1:22" x14ac:dyDescent="0.25">
      <c r="A55" s="96"/>
      <c r="G55" s="83"/>
      <c r="I55" s="114"/>
      <c r="K55" s="120"/>
      <c r="M55" s="94"/>
      <c r="N55" s="94"/>
      <c r="O55" s="94"/>
      <c r="P55" s="94"/>
      <c r="Q55" s="94"/>
      <c r="S55" s="96"/>
      <c r="U55" s="95"/>
      <c r="V55" s="68"/>
    </row>
    <row r="56" spans="1:22" ht="16.2" thickBot="1" x14ac:dyDescent="0.35">
      <c r="A56" s="68"/>
      <c r="C56" s="92" t="s">
        <v>424</v>
      </c>
      <c r="G56" s="83"/>
      <c r="I56" s="114"/>
      <c r="K56" s="123">
        <f>+SUBTOTAL(9,K17:K55)</f>
        <v>530595443.76999992</v>
      </c>
      <c r="L56" s="76"/>
      <c r="M56" s="124">
        <f>+SUBTOTAL(9,M17:M55)</f>
        <v>332554235.72000003</v>
      </c>
      <c r="N56" s="121"/>
      <c r="O56" s="124">
        <f>+SUBTOTAL(9,O17:O55)</f>
        <v>271220276</v>
      </c>
      <c r="P56" s="121"/>
      <c r="Q56" s="124">
        <f>+SUBTOTAL(9,Q17:Q55)</f>
        <v>39758558</v>
      </c>
      <c r="R56" s="76"/>
      <c r="S56" s="96"/>
      <c r="U56" s="125"/>
      <c r="V56" s="68"/>
    </row>
    <row r="57" spans="1:22" ht="16.2" thickTop="1" x14ac:dyDescent="0.3">
      <c r="A57" s="68"/>
      <c r="C57" s="92"/>
      <c r="G57" s="83"/>
      <c r="I57" s="114"/>
      <c r="K57" s="126"/>
      <c r="L57" s="76"/>
      <c r="M57" s="121"/>
      <c r="N57" s="121"/>
      <c r="O57" s="121"/>
      <c r="P57" s="121"/>
      <c r="Q57" s="121"/>
      <c r="R57" s="76"/>
      <c r="S57" s="96"/>
      <c r="U57" s="125"/>
      <c r="V57" s="68"/>
    </row>
    <row r="58" spans="1:22" ht="15.6" x14ac:dyDescent="0.3">
      <c r="A58" s="68"/>
      <c r="C58" s="76"/>
      <c r="G58" s="83"/>
      <c r="I58" s="114"/>
      <c r="K58" s="126"/>
      <c r="L58" s="76"/>
      <c r="M58" s="121"/>
      <c r="N58" s="121"/>
      <c r="O58" s="121"/>
      <c r="P58" s="121"/>
      <c r="Q58" s="121"/>
      <c r="R58" s="76"/>
      <c r="S58" s="96"/>
      <c r="U58" s="125"/>
      <c r="V58" s="68"/>
    </row>
    <row r="59" spans="1:22" ht="15.6" x14ac:dyDescent="0.3">
      <c r="A59" s="68"/>
      <c r="C59" s="92"/>
      <c r="G59" s="83"/>
      <c r="I59" s="114"/>
      <c r="K59" s="120"/>
      <c r="L59" s="76"/>
      <c r="M59" s="94"/>
      <c r="N59" s="121"/>
      <c r="O59" s="121"/>
      <c r="P59" s="121"/>
      <c r="Q59" s="121"/>
      <c r="R59" s="76"/>
      <c r="S59" s="96"/>
      <c r="U59" s="125"/>
      <c r="V59" s="68"/>
    </row>
    <row r="60" spans="1:22" x14ac:dyDescent="0.25">
      <c r="A60" s="68"/>
      <c r="G60" s="83"/>
      <c r="I60" s="114"/>
      <c r="K60" s="120"/>
      <c r="N60" s="94"/>
      <c r="O60" s="94"/>
      <c r="P60" s="94"/>
      <c r="Q60" s="94" t="s">
        <v>425</v>
      </c>
      <c r="S60" s="96"/>
      <c r="U60" s="95"/>
      <c r="V60" s="68"/>
    </row>
    <row r="61" spans="1:22" x14ac:dyDescent="0.25">
      <c r="B61" s="69" t="s">
        <v>426</v>
      </c>
      <c r="H61" s="93"/>
      <c r="I61" s="69"/>
      <c r="K61" s="127"/>
    </row>
    <row r="62" spans="1:22" x14ac:dyDescent="0.25">
      <c r="B62" s="128"/>
      <c r="C62" s="83"/>
      <c r="D62" s="129"/>
      <c r="E62" s="129"/>
      <c r="F62" s="129"/>
      <c r="G62" s="129"/>
      <c r="H62" s="93"/>
      <c r="I62" s="69"/>
    </row>
    <row r="63" spans="1:22" x14ac:dyDescent="0.25">
      <c r="B63" s="128"/>
      <c r="C63" s="83"/>
      <c r="D63" s="129"/>
      <c r="E63" s="129"/>
      <c r="F63" s="129"/>
      <c r="G63" s="129"/>
      <c r="H63" s="93"/>
      <c r="I63" s="69"/>
    </row>
  </sheetData>
  <pageMargins left="0.7" right="0.7" top="0.65" bottom="0.5" header="0.3" footer="0.3"/>
  <pageSetup scale="51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16" workbookViewId="0">
      <selection activeCell="B35" sqref="B35:B36"/>
    </sheetView>
  </sheetViews>
  <sheetFormatPr defaultColWidth="9.109375" defaultRowHeight="14.4" x14ac:dyDescent="0.3"/>
  <cols>
    <col min="1" max="1" width="4.33203125" style="19" bestFit="1" customWidth="1"/>
    <col min="2" max="2" width="37.6640625" style="19" bestFit="1" customWidth="1"/>
    <col min="3" max="3" width="14.44140625" style="19" bestFit="1" customWidth="1"/>
    <col min="4" max="4" width="16.33203125" style="19" bestFit="1" customWidth="1"/>
    <col min="5" max="5" width="13.6640625" style="19" bestFit="1" customWidth="1"/>
    <col min="6" max="16384" width="9.109375" style="19"/>
  </cols>
  <sheetData>
    <row r="1" spans="1:6" x14ac:dyDescent="0.3">
      <c r="A1" s="5" t="s">
        <v>331</v>
      </c>
    </row>
    <row r="2" spans="1:6" x14ac:dyDescent="0.3">
      <c r="A2" s="5" t="s">
        <v>339</v>
      </c>
    </row>
    <row r="3" spans="1:6" x14ac:dyDescent="0.3">
      <c r="A3" s="5" t="s">
        <v>340</v>
      </c>
    </row>
    <row r="4" spans="1:6" x14ac:dyDescent="0.3">
      <c r="A4" s="5" t="s">
        <v>341</v>
      </c>
    </row>
    <row r="5" spans="1:6" x14ac:dyDescent="0.3">
      <c r="D5" s="11" t="s">
        <v>308</v>
      </c>
      <c r="E5" s="11"/>
    </row>
    <row r="6" spans="1:6" x14ac:dyDescent="0.3">
      <c r="C6" s="12" t="s">
        <v>306</v>
      </c>
      <c r="D6" s="11" t="s">
        <v>309</v>
      </c>
      <c r="E6" s="11"/>
    </row>
    <row r="7" spans="1:6" x14ac:dyDescent="0.3">
      <c r="A7" s="142" t="s">
        <v>330</v>
      </c>
      <c r="B7" s="8" t="s">
        <v>229</v>
      </c>
      <c r="C7" s="8" t="s">
        <v>332</v>
      </c>
      <c r="D7" s="8" t="s">
        <v>307</v>
      </c>
      <c r="E7" s="8" t="s">
        <v>311</v>
      </c>
      <c r="F7" s="8" t="s">
        <v>311</v>
      </c>
    </row>
    <row r="9" spans="1:6" x14ac:dyDescent="0.3">
      <c r="A9" s="181">
        <v>1</v>
      </c>
      <c r="B9" s="19" t="s">
        <v>347</v>
      </c>
      <c r="C9" s="143"/>
      <c r="D9" s="143">
        <f>D29</f>
        <v>-7708955.8410766171</v>
      </c>
      <c r="E9" s="143"/>
    </row>
    <row r="10" spans="1:6" x14ac:dyDescent="0.3">
      <c r="A10" s="181">
        <f>A9+1</f>
        <v>2</v>
      </c>
      <c r="B10" s="19" t="s">
        <v>346</v>
      </c>
      <c r="D10" s="33">
        <v>7680625.6388683021</v>
      </c>
    </row>
    <row r="11" spans="1:6" x14ac:dyDescent="0.3">
      <c r="A11" s="181">
        <f>A10+1</f>
        <v>3</v>
      </c>
      <c r="B11" s="19" t="s">
        <v>348</v>
      </c>
      <c r="D11" s="33">
        <v>2148338.4779061917</v>
      </c>
    </row>
    <row r="12" spans="1:6" x14ac:dyDescent="0.3">
      <c r="A12" s="181">
        <f>A11+1</f>
        <v>4</v>
      </c>
      <c r="D12" s="144"/>
    </row>
    <row r="13" spans="1:6" ht="15" thickBot="1" x14ac:dyDescent="0.35">
      <c r="A13" s="181">
        <f t="shared" ref="A13:A15" si="0">A12+1</f>
        <v>5</v>
      </c>
      <c r="B13" s="19" t="s">
        <v>344</v>
      </c>
      <c r="D13" s="145">
        <f>SUM(D9:D12)</f>
        <v>2120008.2756978767</v>
      </c>
    </row>
    <row r="14" spans="1:6" ht="15.6" thickTop="1" thickBot="1" x14ac:dyDescent="0.35">
      <c r="A14" s="181">
        <f t="shared" si="0"/>
        <v>6</v>
      </c>
      <c r="F14" s="133"/>
    </row>
    <row r="15" spans="1:6" x14ac:dyDescent="0.3">
      <c r="A15" s="182">
        <f t="shared" si="0"/>
        <v>7</v>
      </c>
      <c r="B15" s="183"/>
      <c r="C15" s="183"/>
      <c r="D15" s="183"/>
      <c r="E15" s="183"/>
      <c r="F15" s="184"/>
    </row>
    <row r="16" spans="1:6" x14ac:dyDescent="0.3">
      <c r="A16" s="181">
        <f t="shared" ref="A16:A71" si="1">A15+1</f>
        <v>8</v>
      </c>
      <c r="B16" s="19" t="s">
        <v>319</v>
      </c>
    </row>
    <row r="17" spans="1:6" x14ac:dyDescent="0.3">
      <c r="A17" s="181">
        <f t="shared" si="1"/>
        <v>9</v>
      </c>
    </row>
    <row r="18" spans="1:6" x14ac:dyDescent="0.3">
      <c r="A18" s="181">
        <f t="shared" si="1"/>
        <v>10</v>
      </c>
      <c r="B18" s="158" t="s">
        <v>297</v>
      </c>
      <c r="C18" s="143">
        <f>'BGM Tables'!H86</f>
        <v>-176254760.97999984</v>
      </c>
      <c r="D18" s="143">
        <f>-D40</f>
        <v>-111946494.45999984</v>
      </c>
      <c r="E18" s="143">
        <f>D18-C18</f>
        <v>64308266.519999996</v>
      </c>
      <c r="F18" s="133">
        <v>1</v>
      </c>
    </row>
    <row r="19" spans="1:6" x14ac:dyDescent="0.3">
      <c r="A19" s="181">
        <f t="shared" si="1"/>
        <v>11</v>
      </c>
      <c r="B19" s="158"/>
      <c r="F19" s="133"/>
    </row>
    <row r="20" spans="1:6" x14ac:dyDescent="0.3">
      <c r="A20" s="181">
        <f t="shared" si="1"/>
        <v>12</v>
      </c>
      <c r="B20" s="158" t="s">
        <v>298</v>
      </c>
      <c r="C20" s="33">
        <f>C47</f>
        <v>145896087.8964</v>
      </c>
      <c r="D20" s="33">
        <f>D43</f>
        <v>125379067</v>
      </c>
      <c r="E20" s="33">
        <f>D20-C20</f>
        <v>-20517020.896400005</v>
      </c>
      <c r="F20" s="133" t="s">
        <v>315</v>
      </c>
    </row>
    <row r="21" spans="1:6" x14ac:dyDescent="0.3">
      <c r="A21" s="181">
        <f t="shared" si="1"/>
        <v>13</v>
      </c>
      <c r="B21" s="158"/>
      <c r="C21" s="33"/>
      <c r="D21" s="33"/>
      <c r="E21" s="33"/>
      <c r="F21" s="133"/>
    </row>
    <row r="22" spans="1:6" x14ac:dyDescent="0.3">
      <c r="A22" s="181">
        <f t="shared" si="1"/>
        <v>14</v>
      </c>
      <c r="B22" s="158" t="s">
        <v>357</v>
      </c>
      <c r="C22" s="15">
        <v>0</v>
      </c>
      <c r="D22" s="33">
        <f>D45</f>
        <v>-26329604.07</v>
      </c>
      <c r="E22" s="33">
        <f>D22-C22</f>
        <v>-26329604.07</v>
      </c>
      <c r="F22" s="133"/>
    </row>
    <row r="23" spans="1:6" x14ac:dyDescent="0.3">
      <c r="A23" s="181">
        <f t="shared" si="1"/>
        <v>15</v>
      </c>
      <c r="B23" s="158"/>
      <c r="D23" s="33"/>
      <c r="F23" s="133"/>
    </row>
    <row r="24" spans="1:6" x14ac:dyDescent="0.3">
      <c r="A24" s="181">
        <f t="shared" si="1"/>
        <v>16</v>
      </c>
      <c r="B24" s="158" t="s">
        <v>299</v>
      </c>
      <c r="C24" s="33">
        <f>'BGM Tables'!H90</f>
        <v>-129618737.05697709</v>
      </c>
      <c r="D24" s="33">
        <f>-'AWEC 36 Mtzd PTCs'!C15</f>
        <v>-82224442</v>
      </c>
      <c r="E24" s="33">
        <f>D24-C24</f>
        <v>47394295.056977093</v>
      </c>
      <c r="F24" s="133">
        <v>5</v>
      </c>
    </row>
    <row r="25" spans="1:6" x14ac:dyDescent="0.3">
      <c r="A25" s="181">
        <f>A24+1</f>
        <v>17</v>
      </c>
      <c r="B25" s="158"/>
      <c r="C25" s="33"/>
      <c r="D25" s="33"/>
      <c r="E25" s="33"/>
      <c r="F25" s="133"/>
    </row>
    <row r="26" spans="1:6" x14ac:dyDescent="0.3">
      <c r="A26" s="181">
        <f>A25+1</f>
        <v>18</v>
      </c>
      <c r="B26" s="158" t="s">
        <v>358</v>
      </c>
      <c r="C26" s="33">
        <v>0</v>
      </c>
      <c r="D26" s="33">
        <f>-D24*0.21</f>
        <v>17267132.82</v>
      </c>
      <c r="E26" s="33">
        <f>D26-C26</f>
        <v>17267132.82</v>
      </c>
      <c r="F26" s="133">
        <v>8</v>
      </c>
    </row>
    <row r="27" spans="1:6" x14ac:dyDescent="0.3">
      <c r="A27" s="181">
        <f>A26+1</f>
        <v>19</v>
      </c>
      <c r="B27" s="158"/>
      <c r="C27" s="174"/>
      <c r="D27" s="174"/>
      <c r="E27" s="174"/>
      <c r="F27" s="133"/>
    </row>
    <row r="28" spans="1:6" x14ac:dyDescent="0.3">
      <c r="A28" s="181">
        <f t="shared" si="1"/>
        <v>20</v>
      </c>
      <c r="B28" s="158" t="s">
        <v>300</v>
      </c>
      <c r="C28" s="170">
        <f>SUM(C18:C27)</f>
        <v>-159977410.14057693</v>
      </c>
      <c r="D28" s="170">
        <f>SUM(D18:D27)</f>
        <v>-77854340.709999859</v>
      </c>
      <c r="E28" s="170">
        <f>SUM(E18:E27)</f>
        <v>82123069.430577084</v>
      </c>
      <c r="F28" s="133"/>
    </row>
    <row r="29" spans="1:6" x14ac:dyDescent="0.3">
      <c r="A29" s="181">
        <f t="shared" si="1"/>
        <v>21</v>
      </c>
      <c r="B29" s="13" t="s">
        <v>304</v>
      </c>
      <c r="C29" s="33">
        <f>'BGM Tables'!H93</f>
        <v>-16181249.119381841</v>
      </c>
      <c r="D29" s="33">
        <f>D28*'BGM Tables'!G92/'BGM Tables'!G94</f>
        <v>-7708955.8410766171</v>
      </c>
      <c r="E29" s="170">
        <f>D29-C29</f>
        <v>8472293.2783052251</v>
      </c>
      <c r="F29" s="133"/>
    </row>
    <row r="30" spans="1:6" x14ac:dyDescent="0.3">
      <c r="A30" s="181">
        <f t="shared" si="1"/>
        <v>22</v>
      </c>
      <c r="B30" s="158"/>
      <c r="F30" s="133"/>
    </row>
    <row r="31" spans="1:6" x14ac:dyDescent="0.3">
      <c r="A31" s="181">
        <f t="shared" si="1"/>
        <v>23</v>
      </c>
      <c r="B31" s="13" t="s">
        <v>355</v>
      </c>
      <c r="C31" s="143">
        <f>SUM(C20:C24)</f>
        <v>16277350.839422911</v>
      </c>
      <c r="D31" s="143">
        <f>D20+D24</f>
        <v>43154625</v>
      </c>
      <c r="E31" s="33">
        <f>D31-C31</f>
        <v>26877274.160577089</v>
      </c>
      <c r="F31" s="133"/>
    </row>
    <row r="32" spans="1:6" x14ac:dyDescent="0.3">
      <c r="A32" s="181">
        <f t="shared" si="1"/>
        <v>24</v>
      </c>
      <c r="B32" s="158" t="s">
        <v>356</v>
      </c>
      <c r="D32" s="33">
        <f>D22+D26</f>
        <v>-9062471.25</v>
      </c>
      <c r="E32" s="33">
        <f>D32-C32</f>
        <v>-9062471.25</v>
      </c>
      <c r="F32" s="133"/>
    </row>
    <row r="33" spans="1:6" ht="15" thickBot="1" x14ac:dyDescent="0.35">
      <c r="A33" s="181">
        <f t="shared" si="1"/>
        <v>25</v>
      </c>
      <c r="F33" s="133"/>
    </row>
    <row r="34" spans="1:6" x14ac:dyDescent="0.3">
      <c r="A34" s="182">
        <f t="shared" si="1"/>
        <v>26</v>
      </c>
      <c r="B34" s="183"/>
      <c r="C34" s="183"/>
      <c r="D34" s="183"/>
      <c r="E34" s="183"/>
      <c r="F34" s="184"/>
    </row>
    <row r="35" spans="1:6" x14ac:dyDescent="0.3">
      <c r="A35" s="181">
        <f t="shared" si="1"/>
        <v>27</v>
      </c>
      <c r="F35" s="133"/>
    </row>
    <row r="36" spans="1:6" x14ac:dyDescent="0.3">
      <c r="A36" s="181">
        <f t="shared" si="1"/>
        <v>28</v>
      </c>
      <c r="B36" s="19" t="s">
        <v>310</v>
      </c>
      <c r="F36" s="133"/>
    </row>
    <row r="37" spans="1:6" x14ac:dyDescent="0.3">
      <c r="A37" s="181">
        <f t="shared" si="1"/>
        <v>29</v>
      </c>
      <c r="B37" s="181" t="s">
        <v>56</v>
      </c>
      <c r="C37" s="143">
        <f>'BGM Tables'!G7</f>
        <v>323313129.24999988</v>
      </c>
      <c r="D37" s="143">
        <f>C37</f>
        <v>323313129.24999988</v>
      </c>
      <c r="E37" s="143">
        <f>D37-C37</f>
        <v>0</v>
      </c>
      <c r="F37" s="133"/>
    </row>
    <row r="38" spans="1:6" x14ac:dyDescent="0.3">
      <c r="A38" s="181">
        <f t="shared" si="1"/>
        <v>30</v>
      </c>
      <c r="B38" s="181" t="s">
        <v>57</v>
      </c>
      <c r="C38" s="33">
        <f>'BGM Tables'!G8</f>
        <v>-179212501.53000003</v>
      </c>
      <c r="D38" s="33">
        <f>C38</f>
        <v>-179212501.53000003</v>
      </c>
      <c r="E38" s="33">
        <f>D38-C38</f>
        <v>0</v>
      </c>
      <c r="F38" s="133"/>
    </row>
    <row r="39" spans="1:6" x14ac:dyDescent="0.3">
      <c r="A39" s="181">
        <f t="shared" si="1"/>
        <v>31</v>
      </c>
      <c r="B39" s="181" t="s">
        <v>58</v>
      </c>
      <c r="C39" s="33">
        <f>'BGM Tables'!G9</f>
        <v>32154133.260000002</v>
      </c>
      <c r="D39" s="33">
        <f>-C39</f>
        <v>-32154133.260000002</v>
      </c>
      <c r="E39" s="33">
        <f>D39-C39</f>
        <v>-64308266.520000003</v>
      </c>
      <c r="F39" s="133">
        <v>1</v>
      </c>
    </row>
    <row r="40" spans="1:6" ht="15" thickBot="1" x14ac:dyDescent="0.35">
      <c r="A40" s="181">
        <f t="shared" si="1"/>
        <v>32</v>
      </c>
      <c r="B40" s="181" t="s">
        <v>59</v>
      </c>
      <c r="C40" s="185">
        <f>SUM(C37:C39)</f>
        <v>176254760.97999984</v>
      </c>
      <c r="D40" s="185">
        <f>SUM(D37:D39)</f>
        <v>111946494.45999984</v>
      </c>
      <c r="E40" s="185">
        <f>SUM(E37:E39)</f>
        <v>-64308266.520000003</v>
      </c>
      <c r="F40" s="133"/>
    </row>
    <row r="41" spans="1:6" ht="15" thickTop="1" x14ac:dyDescent="0.3">
      <c r="A41" s="181">
        <f t="shared" si="1"/>
        <v>33</v>
      </c>
    </row>
    <row r="42" spans="1:6" x14ac:dyDescent="0.3">
      <c r="A42" s="181">
        <f t="shared" si="1"/>
        <v>34</v>
      </c>
      <c r="B42" s="19" t="s">
        <v>313</v>
      </c>
    </row>
    <row r="43" spans="1:6" x14ac:dyDescent="0.3">
      <c r="A43" s="181">
        <f t="shared" si="1"/>
        <v>35</v>
      </c>
      <c r="B43" s="157" t="s">
        <v>63</v>
      </c>
      <c r="C43" s="143">
        <f>'BGM Tables'!L7</f>
        <v>178247202</v>
      </c>
      <c r="D43" s="143">
        <f>'AWEC 34 2019 w ARC'!B16-'AWEC 34 2019 w ARC'!B7</f>
        <v>125379067</v>
      </c>
      <c r="E43" s="143">
        <f>D43-C43</f>
        <v>-52868135</v>
      </c>
      <c r="F43" s="133">
        <v>2</v>
      </c>
    </row>
    <row r="44" spans="1:6" x14ac:dyDescent="0.3">
      <c r="A44" s="181">
        <f t="shared" si="1"/>
        <v>36</v>
      </c>
      <c r="B44" s="157" t="s">
        <v>64</v>
      </c>
      <c r="C44" s="33">
        <f>'BGM Tables'!L8</f>
        <v>-4698559.5</v>
      </c>
      <c r="D44" s="33">
        <v>0</v>
      </c>
      <c r="E44" s="33">
        <f>D44-C44</f>
        <v>4698559.5</v>
      </c>
      <c r="F44" s="133">
        <v>3</v>
      </c>
    </row>
    <row r="45" spans="1:6" x14ac:dyDescent="0.3">
      <c r="A45" s="181">
        <f t="shared" si="1"/>
        <v>37</v>
      </c>
      <c r="B45" s="157" t="s">
        <v>65</v>
      </c>
      <c r="C45" s="33">
        <f>'BGM Tables'!L9</f>
        <v>-32154133.260000002</v>
      </c>
      <c r="D45" s="33">
        <f>-D43*0.21</f>
        <v>-26329604.07</v>
      </c>
      <c r="E45" s="33">
        <f>D45-C45</f>
        <v>5824529.1900000013</v>
      </c>
      <c r="F45" s="133" t="s">
        <v>323</v>
      </c>
    </row>
    <row r="46" spans="1:6" x14ac:dyDescent="0.3">
      <c r="A46" s="181">
        <f t="shared" si="1"/>
        <v>38</v>
      </c>
      <c r="B46" s="157" t="s">
        <v>66</v>
      </c>
      <c r="C46" s="33">
        <f>C45*(0.21-0.35)</f>
        <v>4501578.6563999997</v>
      </c>
      <c r="D46" s="33">
        <v>0</v>
      </c>
      <c r="E46" s="33">
        <f>D46-C46</f>
        <v>-4501578.6563999997</v>
      </c>
      <c r="F46" s="133" t="s">
        <v>329</v>
      </c>
    </row>
    <row r="47" spans="1:6" ht="15" thickBot="1" x14ac:dyDescent="0.35">
      <c r="A47" s="181">
        <f t="shared" si="1"/>
        <v>39</v>
      </c>
      <c r="B47" s="157" t="s">
        <v>314</v>
      </c>
      <c r="C47" s="185">
        <f>SUM(C43:C46)</f>
        <v>145896087.8964</v>
      </c>
      <c r="D47" s="185">
        <f>SUM(D43:D46)</f>
        <v>99049462.930000007</v>
      </c>
      <c r="E47" s="185">
        <f>SUM(E43:E46)</f>
        <v>-46846624.966400005</v>
      </c>
    </row>
    <row r="48" spans="1:6" ht="15" thickTop="1" x14ac:dyDescent="0.3">
      <c r="A48" s="181">
        <f t="shared" si="1"/>
        <v>40</v>
      </c>
    </row>
    <row r="49" spans="1:3" x14ac:dyDescent="0.3">
      <c r="A49" s="181">
        <f t="shared" si="1"/>
        <v>41</v>
      </c>
      <c r="C49" s="33"/>
    </row>
    <row r="50" spans="1:3" x14ac:dyDescent="0.3">
      <c r="A50" s="181">
        <f t="shared" si="1"/>
        <v>42</v>
      </c>
      <c r="B50" s="186" t="s">
        <v>312</v>
      </c>
    </row>
    <row r="51" spans="1:3" x14ac:dyDescent="0.3">
      <c r="A51" s="181">
        <f t="shared" si="1"/>
        <v>43</v>
      </c>
      <c r="B51" s="187"/>
    </row>
    <row r="52" spans="1:3" x14ac:dyDescent="0.3">
      <c r="A52" s="181">
        <f t="shared" si="1"/>
        <v>44</v>
      </c>
      <c r="B52" s="187" t="s">
        <v>333</v>
      </c>
    </row>
    <row r="53" spans="1:3" x14ac:dyDescent="0.3">
      <c r="A53" s="181">
        <f t="shared" si="1"/>
        <v>45</v>
      </c>
      <c r="B53" s="188" t="s">
        <v>334</v>
      </c>
    </row>
    <row r="54" spans="1:3" x14ac:dyDescent="0.3">
      <c r="A54" s="181">
        <f t="shared" si="1"/>
        <v>46</v>
      </c>
      <c r="B54" s="187"/>
    </row>
    <row r="55" spans="1:3" x14ac:dyDescent="0.3">
      <c r="A55" s="181">
        <f t="shared" si="1"/>
        <v>47</v>
      </c>
      <c r="B55" s="187" t="s">
        <v>317</v>
      </c>
    </row>
    <row r="56" spans="1:3" x14ac:dyDescent="0.3">
      <c r="A56" s="181">
        <f t="shared" si="1"/>
        <v>48</v>
      </c>
      <c r="B56" s="188" t="s">
        <v>318</v>
      </c>
    </row>
    <row r="57" spans="1:3" x14ac:dyDescent="0.3">
      <c r="A57" s="181">
        <f t="shared" si="1"/>
        <v>49</v>
      </c>
      <c r="B57" s="187"/>
    </row>
    <row r="58" spans="1:3" x14ac:dyDescent="0.3">
      <c r="A58" s="181">
        <f t="shared" si="1"/>
        <v>50</v>
      </c>
      <c r="B58" s="187" t="s">
        <v>316</v>
      </c>
    </row>
    <row r="59" spans="1:3" x14ac:dyDescent="0.3">
      <c r="A59" s="181">
        <f t="shared" si="1"/>
        <v>51</v>
      </c>
      <c r="B59" s="187"/>
    </row>
    <row r="60" spans="1:3" x14ac:dyDescent="0.3">
      <c r="A60" s="181">
        <f t="shared" si="1"/>
        <v>52</v>
      </c>
      <c r="B60" s="187" t="s">
        <v>349</v>
      </c>
    </row>
    <row r="61" spans="1:3" x14ac:dyDescent="0.3">
      <c r="A61" s="181">
        <f t="shared" si="1"/>
        <v>53</v>
      </c>
      <c r="B61" s="188" t="s">
        <v>350</v>
      </c>
    </row>
    <row r="62" spans="1:3" x14ac:dyDescent="0.3">
      <c r="A62" s="181">
        <f t="shared" si="1"/>
        <v>54</v>
      </c>
      <c r="B62" s="187"/>
    </row>
    <row r="63" spans="1:3" x14ac:dyDescent="0.3">
      <c r="A63" s="181">
        <f t="shared" si="1"/>
        <v>55</v>
      </c>
      <c r="B63" s="187" t="s">
        <v>324</v>
      </c>
    </row>
    <row r="64" spans="1:3" x14ac:dyDescent="0.3">
      <c r="A64" s="181">
        <f t="shared" si="1"/>
        <v>56</v>
      </c>
      <c r="B64" s="187" t="s">
        <v>325</v>
      </c>
    </row>
    <row r="65" spans="1:2" x14ac:dyDescent="0.3">
      <c r="A65" s="181">
        <f t="shared" si="1"/>
        <v>57</v>
      </c>
      <c r="B65" s="187" t="s">
        <v>326</v>
      </c>
    </row>
    <row r="66" spans="1:2" x14ac:dyDescent="0.3">
      <c r="A66" s="181">
        <f t="shared" si="1"/>
        <v>58</v>
      </c>
      <c r="B66" s="187"/>
    </row>
    <row r="67" spans="1:2" x14ac:dyDescent="0.3">
      <c r="A67" s="181">
        <f t="shared" si="1"/>
        <v>59</v>
      </c>
      <c r="B67" s="187" t="s">
        <v>327</v>
      </c>
    </row>
    <row r="68" spans="1:2" x14ac:dyDescent="0.3">
      <c r="A68" s="181">
        <f t="shared" si="1"/>
        <v>60</v>
      </c>
      <c r="B68" s="187" t="s">
        <v>328</v>
      </c>
    </row>
    <row r="69" spans="1:2" x14ac:dyDescent="0.3">
      <c r="A69" s="181">
        <f t="shared" si="1"/>
        <v>61</v>
      </c>
    </row>
    <row r="70" spans="1:2" x14ac:dyDescent="0.3">
      <c r="A70" s="181">
        <f t="shared" si="1"/>
        <v>62</v>
      </c>
      <c r="B70" s="187" t="s">
        <v>354</v>
      </c>
    </row>
    <row r="71" spans="1:2" x14ac:dyDescent="0.3">
      <c r="A71" s="181">
        <f t="shared" si="1"/>
        <v>63</v>
      </c>
      <c r="B71" s="187" t="s">
        <v>353</v>
      </c>
    </row>
  </sheetData>
  <printOptions horizontalCentered="1"/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B35" sqref="B35:B36"/>
    </sheetView>
  </sheetViews>
  <sheetFormatPr defaultColWidth="9.109375" defaultRowHeight="14.4" x14ac:dyDescent="0.3"/>
  <cols>
    <col min="1" max="1" width="4.33203125" style="19" bestFit="1" customWidth="1"/>
    <col min="2" max="2" width="37.6640625" style="19" bestFit="1" customWidth="1"/>
    <col min="3" max="3" width="14.44140625" style="19" bestFit="1" customWidth="1"/>
    <col min="4" max="4" width="16.33203125" style="19" bestFit="1" customWidth="1"/>
    <col min="5" max="5" width="13.6640625" style="19" bestFit="1" customWidth="1"/>
    <col min="6" max="16384" width="9.109375" style="19"/>
  </cols>
  <sheetData>
    <row r="1" spans="1:6" x14ac:dyDescent="0.3">
      <c r="A1" s="5" t="s">
        <v>331</v>
      </c>
    </row>
    <row r="2" spans="1:6" x14ac:dyDescent="0.3">
      <c r="A2" s="5" t="s">
        <v>342</v>
      </c>
    </row>
    <row r="3" spans="1:6" x14ac:dyDescent="0.3">
      <c r="A3" s="5" t="s">
        <v>340</v>
      </c>
    </row>
    <row r="4" spans="1:6" x14ac:dyDescent="0.3">
      <c r="A4" s="5" t="s">
        <v>343</v>
      </c>
    </row>
    <row r="5" spans="1:6" x14ac:dyDescent="0.3">
      <c r="D5" s="11" t="s">
        <v>308</v>
      </c>
      <c r="E5" s="11"/>
    </row>
    <row r="6" spans="1:6" x14ac:dyDescent="0.3">
      <c r="C6" s="12" t="s">
        <v>306</v>
      </c>
      <c r="D6" s="11" t="s">
        <v>309</v>
      </c>
      <c r="E6" s="11"/>
    </row>
    <row r="7" spans="1:6" x14ac:dyDescent="0.3">
      <c r="A7" s="142" t="s">
        <v>330</v>
      </c>
      <c r="B7" s="8" t="s">
        <v>229</v>
      </c>
      <c r="C7" s="8" t="s">
        <v>332</v>
      </c>
      <c r="D7" s="8" t="s">
        <v>307</v>
      </c>
      <c r="E7" s="8" t="s">
        <v>311</v>
      </c>
      <c r="F7" s="8" t="s">
        <v>311</v>
      </c>
    </row>
    <row r="9" spans="1:6" x14ac:dyDescent="0.3">
      <c r="A9" s="181">
        <v>1</v>
      </c>
      <c r="B9" s="19" t="s">
        <v>347</v>
      </c>
      <c r="C9" s="143"/>
      <c r="D9" s="143">
        <f>D29</f>
        <v>-11084681.656608284</v>
      </c>
    </row>
    <row r="10" spans="1:6" x14ac:dyDescent="0.3">
      <c r="A10" s="181">
        <f>A9+1</f>
        <v>2</v>
      </c>
      <c r="B10" s="19" t="s">
        <v>346</v>
      </c>
      <c r="D10" s="33">
        <v>7680625.6388683021</v>
      </c>
    </row>
    <row r="11" spans="1:6" x14ac:dyDescent="0.3">
      <c r="A11" s="181">
        <f>A10+1</f>
        <v>3</v>
      </c>
      <c r="B11" s="19" t="s">
        <v>348</v>
      </c>
      <c r="D11" s="33">
        <v>2148338.4779061917</v>
      </c>
    </row>
    <row r="12" spans="1:6" x14ac:dyDescent="0.3">
      <c r="A12" s="181">
        <f>A11+1</f>
        <v>4</v>
      </c>
      <c r="D12" s="144"/>
    </row>
    <row r="13" spans="1:6" ht="15" thickBot="1" x14ac:dyDescent="0.35">
      <c r="A13" s="181">
        <f t="shared" ref="A13:A71" si="0">A12+1</f>
        <v>5</v>
      </c>
      <c r="B13" s="19" t="s">
        <v>344</v>
      </c>
      <c r="D13" s="145">
        <f>SUM(D9:D12)</f>
        <v>-1255717.5398337897</v>
      </c>
    </row>
    <row r="14" spans="1:6" ht="15.6" thickTop="1" thickBot="1" x14ac:dyDescent="0.35">
      <c r="A14" s="181">
        <f t="shared" si="0"/>
        <v>6</v>
      </c>
      <c r="F14" s="133"/>
    </row>
    <row r="15" spans="1:6" x14ac:dyDescent="0.3">
      <c r="A15" s="182">
        <f t="shared" si="0"/>
        <v>7</v>
      </c>
      <c r="B15" s="183"/>
      <c r="C15" s="183"/>
      <c r="D15" s="183"/>
      <c r="E15" s="183"/>
      <c r="F15" s="184"/>
    </row>
    <row r="16" spans="1:6" x14ac:dyDescent="0.3">
      <c r="A16" s="181">
        <f t="shared" si="0"/>
        <v>8</v>
      </c>
      <c r="B16" s="19" t="s">
        <v>319</v>
      </c>
    </row>
    <row r="17" spans="1:8" x14ac:dyDescent="0.3">
      <c r="A17" s="181">
        <f t="shared" si="0"/>
        <v>9</v>
      </c>
    </row>
    <row r="18" spans="1:8" x14ac:dyDescent="0.3">
      <c r="A18" s="181">
        <f t="shared" si="0"/>
        <v>10</v>
      </c>
      <c r="B18" s="158" t="s">
        <v>297</v>
      </c>
      <c r="C18" s="143">
        <f>'BGM Tables'!H86</f>
        <v>-176254760.97999984</v>
      </c>
      <c r="D18" s="143">
        <f>-D40</f>
        <v>-111946494.45999984</v>
      </c>
      <c r="E18" s="143">
        <f>D18-C18</f>
        <v>64308266.519999996</v>
      </c>
      <c r="F18" s="133">
        <v>1</v>
      </c>
    </row>
    <row r="19" spans="1:8" x14ac:dyDescent="0.3">
      <c r="A19" s="181">
        <f t="shared" si="0"/>
        <v>11</v>
      </c>
      <c r="B19" s="158"/>
      <c r="F19" s="133"/>
    </row>
    <row r="20" spans="1:8" x14ac:dyDescent="0.3">
      <c r="A20" s="181">
        <f t="shared" si="0"/>
        <v>12</v>
      </c>
      <c r="B20" s="158" t="s">
        <v>298</v>
      </c>
      <c r="C20" s="33">
        <f>C47</f>
        <v>145896087.8964</v>
      </c>
      <c r="D20" s="33">
        <f>D43</f>
        <v>125379067</v>
      </c>
      <c r="E20" s="33">
        <f>D20-C20</f>
        <v>-20517020.896400005</v>
      </c>
      <c r="F20" s="133" t="s">
        <v>315</v>
      </c>
    </row>
    <row r="21" spans="1:8" x14ac:dyDescent="0.3">
      <c r="A21" s="181">
        <f t="shared" si="0"/>
        <v>13</v>
      </c>
      <c r="B21" s="158"/>
      <c r="C21" s="33"/>
      <c r="D21" s="33"/>
      <c r="E21" s="33"/>
      <c r="F21" s="133"/>
    </row>
    <row r="22" spans="1:8" x14ac:dyDescent="0.3">
      <c r="A22" s="181">
        <f t="shared" si="0"/>
        <v>14</v>
      </c>
      <c r="B22" s="158" t="s">
        <v>357</v>
      </c>
      <c r="C22" s="15">
        <v>0</v>
      </c>
      <c r="D22" s="33">
        <f>D45</f>
        <v>-26329604.07</v>
      </c>
      <c r="E22" s="33">
        <f>D22-C22</f>
        <v>-26329604.07</v>
      </c>
      <c r="F22" s="133"/>
    </row>
    <row r="23" spans="1:8" x14ac:dyDescent="0.3">
      <c r="A23" s="181">
        <f t="shared" si="0"/>
        <v>15</v>
      </c>
      <c r="B23" s="158"/>
      <c r="D23" s="33"/>
      <c r="F23" s="133"/>
    </row>
    <row r="24" spans="1:8" x14ac:dyDescent="0.3">
      <c r="A24" s="181">
        <f t="shared" si="0"/>
        <v>16</v>
      </c>
      <c r="B24" s="158" t="s">
        <v>299</v>
      </c>
      <c r="C24" s="33">
        <f>'BGM Tables'!H90</f>
        <v>-129618737.05697709</v>
      </c>
      <c r="D24" s="33">
        <f>-D20</f>
        <v>-125379067</v>
      </c>
      <c r="E24" s="33">
        <f>D24-C24</f>
        <v>4239670.0569770932</v>
      </c>
      <c r="F24" s="133">
        <v>5</v>
      </c>
    </row>
    <row r="25" spans="1:8" x14ac:dyDescent="0.3">
      <c r="A25" s="181">
        <f>A24+1</f>
        <v>17</v>
      </c>
      <c r="B25" s="158"/>
      <c r="C25" s="33"/>
      <c r="D25" s="33"/>
      <c r="E25" s="33"/>
      <c r="F25" s="133"/>
    </row>
    <row r="26" spans="1:8" x14ac:dyDescent="0.3">
      <c r="A26" s="181">
        <f>A25+1</f>
        <v>18</v>
      </c>
      <c r="B26" s="158" t="s">
        <v>358</v>
      </c>
      <c r="C26" s="33">
        <v>0</v>
      </c>
      <c r="D26" s="33">
        <f>-D24*0.21</f>
        <v>26329604.07</v>
      </c>
      <c r="E26" s="33">
        <f>D26-C26</f>
        <v>26329604.07</v>
      </c>
      <c r="F26" s="133">
        <v>8</v>
      </c>
    </row>
    <row r="27" spans="1:8" x14ac:dyDescent="0.3">
      <c r="A27" s="181">
        <f>A26+1</f>
        <v>19</v>
      </c>
      <c r="B27" s="158"/>
      <c r="C27" s="174"/>
      <c r="D27" s="174"/>
      <c r="E27" s="174"/>
      <c r="F27" s="133"/>
    </row>
    <row r="28" spans="1:8" x14ac:dyDescent="0.3">
      <c r="A28" s="181">
        <f t="shared" si="0"/>
        <v>20</v>
      </c>
      <c r="B28" s="158" t="s">
        <v>300</v>
      </c>
      <c r="C28" s="170">
        <f>SUM(C18:C27)</f>
        <v>-159977410.14057693</v>
      </c>
      <c r="D28" s="170">
        <f>SUM(D18:D27)</f>
        <v>-111946494.45999986</v>
      </c>
      <c r="E28" s="170">
        <f>SUM(E18:E27)</f>
        <v>48030915.680577084</v>
      </c>
      <c r="F28" s="133"/>
      <c r="H28" s="33"/>
    </row>
    <row r="29" spans="1:8" x14ac:dyDescent="0.3">
      <c r="A29" s="181">
        <f t="shared" si="0"/>
        <v>21</v>
      </c>
      <c r="B29" s="13" t="s">
        <v>304</v>
      </c>
      <c r="C29" s="33">
        <f>'BGM Tables'!H93</f>
        <v>-16181249.119381841</v>
      </c>
      <c r="D29" s="33">
        <f>D28*'BGM Tables'!G92/'BGM Tables'!G94</f>
        <v>-11084681.656608284</v>
      </c>
      <c r="E29" s="170">
        <f>D29-C29</f>
        <v>5096567.4627735578</v>
      </c>
      <c r="F29" s="133"/>
    </row>
    <row r="30" spans="1:8" x14ac:dyDescent="0.3">
      <c r="A30" s="181">
        <f t="shared" si="0"/>
        <v>22</v>
      </c>
      <c r="B30" s="158"/>
      <c r="F30" s="133"/>
    </row>
    <row r="31" spans="1:8" x14ac:dyDescent="0.3">
      <c r="A31" s="181">
        <f t="shared" si="0"/>
        <v>23</v>
      </c>
      <c r="B31" s="13" t="s">
        <v>355</v>
      </c>
      <c r="C31" s="143">
        <f>SUM(C20:C24)</f>
        <v>16277350.839422911</v>
      </c>
      <c r="D31" s="143">
        <f>SUM(D20:D26)</f>
        <v>0</v>
      </c>
      <c r="E31" s="33">
        <f>D31-C31</f>
        <v>-16277350.839422911</v>
      </c>
      <c r="F31" s="133"/>
    </row>
    <row r="32" spans="1:8" x14ac:dyDescent="0.3">
      <c r="A32" s="181">
        <f t="shared" si="0"/>
        <v>24</v>
      </c>
      <c r="B32" s="158" t="s">
        <v>356</v>
      </c>
      <c r="D32" s="33">
        <f>D22+D26</f>
        <v>0</v>
      </c>
      <c r="E32" s="33">
        <f>D32-C32</f>
        <v>0</v>
      </c>
      <c r="F32" s="133"/>
    </row>
    <row r="33" spans="1:6" ht="15" thickBot="1" x14ac:dyDescent="0.35">
      <c r="A33" s="181">
        <f t="shared" si="0"/>
        <v>25</v>
      </c>
      <c r="F33" s="133"/>
    </row>
    <row r="34" spans="1:6" x14ac:dyDescent="0.3">
      <c r="A34" s="182">
        <f t="shared" si="0"/>
        <v>26</v>
      </c>
      <c r="B34" s="183"/>
      <c r="C34" s="183"/>
      <c r="D34" s="183"/>
      <c r="E34" s="183"/>
      <c r="F34" s="184"/>
    </row>
    <row r="35" spans="1:6" x14ac:dyDescent="0.3">
      <c r="A35" s="181">
        <f t="shared" si="0"/>
        <v>27</v>
      </c>
      <c r="F35" s="133"/>
    </row>
    <row r="36" spans="1:6" x14ac:dyDescent="0.3">
      <c r="A36" s="181">
        <f t="shared" si="0"/>
        <v>28</v>
      </c>
      <c r="B36" s="19" t="s">
        <v>310</v>
      </c>
      <c r="F36" s="133"/>
    </row>
    <row r="37" spans="1:6" x14ac:dyDescent="0.3">
      <c r="A37" s="181">
        <f t="shared" si="0"/>
        <v>29</v>
      </c>
      <c r="B37" s="181" t="s">
        <v>56</v>
      </c>
      <c r="C37" s="143">
        <f>'BGM Tables'!G7</f>
        <v>323313129.24999988</v>
      </c>
      <c r="D37" s="143">
        <f>C37</f>
        <v>323313129.24999988</v>
      </c>
      <c r="E37" s="143">
        <f>D37-C37</f>
        <v>0</v>
      </c>
      <c r="F37" s="133"/>
    </row>
    <row r="38" spans="1:6" x14ac:dyDescent="0.3">
      <c r="A38" s="181">
        <f t="shared" si="0"/>
        <v>30</v>
      </c>
      <c r="B38" s="181" t="s">
        <v>57</v>
      </c>
      <c r="C38" s="33">
        <f>'BGM Tables'!G8</f>
        <v>-179212501.53000003</v>
      </c>
      <c r="D38" s="33">
        <f>C38</f>
        <v>-179212501.53000003</v>
      </c>
      <c r="E38" s="33">
        <f>D38-C38</f>
        <v>0</v>
      </c>
      <c r="F38" s="133"/>
    </row>
    <row r="39" spans="1:6" x14ac:dyDescent="0.3">
      <c r="A39" s="181">
        <f t="shared" si="0"/>
        <v>31</v>
      </c>
      <c r="B39" s="181" t="s">
        <v>58</v>
      </c>
      <c r="C39" s="33">
        <f>'BGM Tables'!G9</f>
        <v>32154133.260000002</v>
      </c>
      <c r="D39" s="33">
        <f>-C39</f>
        <v>-32154133.260000002</v>
      </c>
      <c r="E39" s="33">
        <f>D39-C39</f>
        <v>-64308266.520000003</v>
      </c>
      <c r="F39" s="133">
        <v>1</v>
      </c>
    </row>
    <row r="40" spans="1:6" ht="15" thickBot="1" x14ac:dyDescent="0.35">
      <c r="A40" s="181">
        <f t="shared" si="0"/>
        <v>32</v>
      </c>
      <c r="B40" s="181" t="s">
        <v>59</v>
      </c>
      <c r="C40" s="185">
        <f>SUM(C37:C39)</f>
        <v>176254760.97999984</v>
      </c>
      <c r="D40" s="185">
        <f>SUM(D37:D39)</f>
        <v>111946494.45999984</v>
      </c>
      <c r="E40" s="185">
        <f>SUM(E37:E39)</f>
        <v>-64308266.520000003</v>
      </c>
      <c r="F40" s="133"/>
    </row>
    <row r="41" spans="1:6" ht="15" thickTop="1" x14ac:dyDescent="0.3">
      <c r="A41" s="181">
        <f t="shared" si="0"/>
        <v>33</v>
      </c>
    </row>
    <row r="42" spans="1:6" x14ac:dyDescent="0.3">
      <c r="A42" s="181">
        <f t="shared" si="0"/>
        <v>34</v>
      </c>
      <c r="B42" s="19" t="s">
        <v>313</v>
      </c>
    </row>
    <row r="43" spans="1:6" x14ac:dyDescent="0.3">
      <c r="A43" s="181">
        <f t="shared" si="0"/>
        <v>35</v>
      </c>
      <c r="B43" s="157" t="s">
        <v>63</v>
      </c>
      <c r="C43" s="143">
        <f>'BGM Tables'!L7</f>
        <v>178247202</v>
      </c>
      <c r="D43" s="143">
        <f>'AWEC 34 2019 w ARC'!B16-'AWEC 34 2019 w ARC'!B7</f>
        <v>125379067</v>
      </c>
      <c r="E43" s="143">
        <f>D43-C43</f>
        <v>-52868135</v>
      </c>
      <c r="F43" s="133">
        <v>2</v>
      </c>
    </row>
    <row r="44" spans="1:6" x14ac:dyDescent="0.3">
      <c r="A44" s="181">
        <f t="shared" si="0"/>
        <v>36</v>
      </c>
      <c r="B44" s="157" t="s">
        <v>64</v>
      </c>
      <c r="C44" s="33">
        <f>'BGM Tables'!L8</f>
        <v>-4698559.5</v>
      </c>
      <c r="D44" s="33">
        <v>0</v>
      </c>
      <c r="E44" s="33">
        <f>D44-C44</f>
        <v>4698559.5</v>
      </c>
      <c r="F44" s="133">
        <v>3</v>
      </c>
    </row>
    <row r="45" spans="1:6" x14ac:dyDescent="0.3">
      <c r="A45" s="181">
        <f t="shared" si="0"/>
        <v>37</v>
      </c>
      <c r="B45" s="157" t="s">
        <v>65</v>
      </c>
      <c r="C45" s="33">
        <f>'BGM Tables'!L9</f>
        <v>-32154133.260000002</v>
      </c>
      <c r="D45" s="33">
        <f>-D43*0.21</f>
        <v>-26329604.07</v>
      </c>
      <c r="E45" s="33">
        <f>D45-C45</f>
        <v>5824529.1900000013</v>
      </c>
      <c r="F45" s="133" t="s">
        <v>323</v>
      </c>
    </row>
    <row r="46" spans="1:6" x14ac:dyDescent="0.3">
      <c r="A46" s="181">
        <f t="shared" si="0"/>
        <v>38</v>
      </c>
      <c r="B46" s="157" t="s">
        <v>66</v>
      </c>
      <c r="C46" s="33">
        <f>C45*(0.21-0.35)</f>
        <v>4501578.6563999997</v>
      </c>
      <c r="D46" s="33">
        <v>0</v>
      </c>
      <c r="E46" s="33">
        <f>D46-C46</f>
        <v>-4501578.6563999997</v>
      </c>
      <c r="F46" s="133" t="s">
        <v>329</v>
      </c>
    </row>
    <row r="47" spans="1:6" ht="15" thickBot="1" x14ac:dyDescent="0.35">
      <c r="A47" s="181">
        <f t="shared" si="0"/>
        <v>39</v>
      </c>
      <c r="B47" s="157" t="s">
        <v>314</v>
      </c>
      <c r="C47" s="185">
        <f>SUM(C43:C46)</f>
        <v>145896087.8964</v>
      </c>
      <c r="D47" s="185">
        <f>SUM(D43:D46)</f>
        <v>99049462.930000007</v>
      </c>
      <c r="E47" s="185">
        <f>SUM(E43:E46)</f>
        <v>-46846624.966400005</v>
      </c>
    </row>
    <row r="48" spans="1:6" ht="15" thickTop="1" x14ac:dyDescent="0.3">
      <c r="A48" s="181">
        <f t="shared" si="0"/>
        <v>40</v>
      </c>
    </row>
    <row r="49" spans="1:3" x14ac:dyDescent="0.3">
      <c r="A49" s="181">
        <f t="shared" si="0"/>
        <v>41</v>
      </c>
      <c r="C49" s="33"/>
    </row>
    <row r="50" spans="1:3" x14ac:dyDescent="0.3">
      <c r="A50" s="181">
        <f t="shared" si="0"/>
        <v>42</v>
      </c>
      <c r="B50" s="186" t="s">
        <v>312</v>
      </c>
    </row>
    <row r="51" spans="1:3" x14ac:dyDescent="0.3">
      <c r="A51" s="181">
        <f t="shared" si="0"/>
        <v>43</v>
      </c>
      <c r="B51" s="187"/>
    </row>
    <row r="52" spans="1:3" x14ac:dyDescent="0.3">
      <c r="A52" s="181">
        <f t="shared" si="0"/>
        <v>44</v>
      </c>
      <c r="B52" s="187" t="s">
        <v>333</v>
      </c>
    </row>
    <row r="53" spans="1:3" x14ac:dyDescent="0.3">
      <c r="A53" s="181">
        <f t="shared" si="0"/>
        <v>45</v>
      </c>
      <c r="B53" s="188" t="s">
        <v>334</v>
      </c>
    </row>
    <row r="54" spans="1:3" x14ac:dyDescent="0.3">
      <c r="A54" s="181">
        <f t="shared" si="0"/>
        <v>46</v>
      </c>
      <c r="B54" s="187"/>
    </row>
    <row r="55" spans="1:3" x14ac:dyDescent="0.3">
      <c r="A55" s="181">
        <f t="shared" si="0"/>
        <v>47</v>
      </c>
      <c r="B55" s="187" t="s">
        <v>317</v>
      </c>
    </row>
    <row r="56" spans="1:3" x14ac:dyDescent="0.3">
      <c r="A56" s="181">
        <f t="shared" si="0"/>
        <v>48</v>
      </c>
      <c r="B56" s="188" t="s">
        <v>318</v>
      </c>
    </row>
    <row r="57" spans="1:3" x14ac:dyDescent="0.3">
      <c r="A57" s="181">
        <f t="shared" si="0"/>
        <v>49</v>
      </c>
      <c r="B57" s="187"/>
    </row>
    <row r="58" spans="1:3" x14ac:dyDescent="0.3">
      <c r="A58" s="181">
        <f t="shared" si="0"/>
        <v>50</v>
      </c>
      <c r="B58" s="187" t="s">
        <v>316</v>
      </c>
    </row>
    <row r="59" spans="1:3" x14ac:dyDescent="0.3">
      <c r="A59" s="181">
        <f t="shared" si="0"/>
        <v>51</v>
      </c>
      <c r="B59" s="187"/>
    </row>
    <row r="60" spans="1:3" x14ac:dyDescent="0.3">
      <c r="A60" s="181">
        <f t="shared" si="0"/>
        <v>52</v>
      </c>
      <c r="B60" s="187" t="s">
        <v>351</v>
      </c>
    </row>
    <row r="61" spans="1:3" x14ac:dyDescent="0.3">
      <c r="A61" s="181">
        <f t="shared" si="0"/>
        <v>53</v>
      </c>
      <c r="B61" s="188" t="s">
        <v>352</v>
      </c>
    </row>
    <row r="62" spans="1:3" x14ac:dyDescent="0.3">
      <c r="A62" s="181">
        <f t="shared" si="0"/>
        <v>54</v>
      </c>
      <c r="B62" s="187"/>
    </row>
    <row r="63" spans="1:3" x14ac:dyDescent="0.3">
      <c r="A63" s="181">
        <f t="shared" si="0"/>
        <v>55</v>
      </c>
      <c r="B63" s="187" t="s">
        <v>324</v>
      </c>
    </row>
    <row r="64" spans="1:3" x14ac:dyDescent="0.3">
      <c r="A64" s="181">
        <f t="shared" si="0"/>
        <v>56</v>
      </c>
      <c r="B64" s="187" t="s">
        <v>325</v>
      </c>
    </row>
    <row r="65" spans="1:2" x14ac:dyDescent="0.3">
      <c r="A65" s="181">
        <f t="shared" si="0"/>
        <v>57</v>
      </c>
      <c r="B65" s="187" t="s">
        <v>326</v>
      </c>
    </row>
    <row r="66" spans="1:2" x14ac:dyDescent="0.3">
      <c r="A66" s="181">
        <f t="shared" si="0"/>
        <v>58</v>
      </c>
      <c r="B66" s="187"/>
    </row>
    <row r="67" spans="1:2" x14ac:dyDescent="0.3">
      <c r="A67" s="181">
        <f t="shared" si="0"/>
        <v>59</v>
      </c>
      <c r="B67" s="187" t="s">
        <v>327</v>
      </c>
    </row>
    <row r="68" spans="1:2" x14ac:dyDescent="0.3">
      <c r="A68" s="181">
        <f t="shared" si="0"/>
        <v>60</v>
      </c>
      <c r="B68" s="187" t="s">
        <v>328</v>
      </c>
    </row>
    <row r="69" spans="1:2" x14ac:dyDescent="0.3">
      <c r="A69" s="181">
        <f t="shared" si="0"/>
        <v>61</v>
      </c>
    </row>
    <row r="70" spans="1:2" x14ac:dyDescent="0.3">
      <c r="A70" s="181">
        <f t="shared" si="0"/>
        <v>62</v>
      </c>
      <c r="B70" s="187" t="s">
        <v>354</v>
      </c>
    </row>
    <row r="71" spans="1:2" x14ac:dyDescent="0.3">
      <c r="A71" s="181">
        <f t="shared" si="0"/>
        <v>63</v>
      </c>
      <c r="B71" s="187" t="s">
        <v>353</v>
      </c>
    </row>
  </sheetData>
  <printOptions horizontalCentered="1"/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6"/>
  <sheetViews>
    <sheetView topLeftCell="A16" workbookViewId="0">
      <selection activeCell="B35" sqref="B35:B36"/>
    </sheetView>
  </sheetViews>
  <sheetFormatPr defaultColWidth="9.109375" defaultRowHeight="14.4" x14ac:dyDescent="0.3"/>
  <cols>
    <col min="1" max="1" width="9.109375" style="19"/>
    <col min="2" max="3" width="10.6640625" style="19" customWidth="1"/>
    <col min="4" max="4" width="13.6640625" style="19" bestFit="1" customWidth="1"/>
    <col min="5" max="7" width="14.44140625" style="19" bestFit="1" customWidth="1"/>
    <col min="8" max="8" width="16.5546875" style="19" customWidth="1"/>
    <col min="9" max="9" width="13.6640625" style="19" bestFit="1" customWidth="1"/>
    <col min="10" max="10" width="13.33203125" style="19" bestFit="1" customWidth="1"/>
    <col min="11" max="11" width="13.5546875" style="19" customWidth="1"/>
    <col min="12" max="12" width="20" style="19" bestFit="1" customWidth="1"/>
    <col min="13" max="13" width="13.6640625" style="19" bestFit="1" customWidth="1"/>
    <col min="14" max="16384" width="9.109375" style="19"/>
  </cols>
  <sheetData>
    <row r="2" spans="2:12" x14ac:dyDescent="0.3">
      <c r="B2" s="57" t="s">
        <v>53</v>
      </c>
      <c r="C2" s="57"/>
      <c r="D2" s="57"/>
      <c r="E2" s="57"/>
      <c r="F2" s="153"/>
      <c r="G2" s="153"/>
      <c r="I2" s="57" t="s">
        <v>60</v>
      </c>
      <c r="J2" s="153"/>
      <c r="K2" s="153"/>
      <c r="L2" s="153"/>
    </row>
    <row r="3" spans="2:12" x14ac:dyDescent="0.3">
      <c r="B3" s="58" t="s">
        <v>54</v>
      </c>
      <c r="C3" s="58"/>
      <c r="D3" s="58"/>
      <c r="E3" s="58"/>
      <c r="F3" s="153"/>
      <c r="G3" s="153"/>
      <c r="I3" s="58" t="s">
        <v>61</v>
      </c>
      <c r="J3" s="153"/>
      <c r="K3" s="153"/>
      <c r="L3" s="153"/>
    </row>
    <row r="4" spans="2:12" x14ac:dyDescent="0.3">
      <c r="B4" s="58" t="s">
        <v>55</v>
      </c>
      <c r="C4" s="58"/>
      <c r="D4" s="58"/>
      <c r="E4" s="58"/>
      <c r="F4" s="153"/>
      <c r="G4" s="153"/>
      <c r="I4" s="58" t="s">
        <v>62</v>
      </c>
      <c r="J4" s="153"/>
      <c r="K4" s="153"/>
      <c r="L4" s="153"/>
    </row>
    <row r="6" spans="2:12" x14ac:dyDescent="0.3">
      <c r="B6" s="154"/>
      <c r="C6" s="144"/>
      <c r="D6" s="144"/>
      <c r="E6" s="144"/>
      <c r="F6" s="144"/>
      <c r="G6" s="155"/>
      <c r="I6" s="154"/>
      <c r="J6" s="144"/>
      <c r="K6" s="144"/>
      <c r="L6" s="155"/>
    </row>
    <row r="7" spans="2:12" x14ac:dyDescent="0.3">
      <c r="B7" s="156" t="s">
        <v>56</v>
      </c>
      <c r="C7" s="157"/>
      <c r="D7" s="157"/>
      <c r="E7" s="157"/>
      <c r="F7" s="158"/>
      <c r="G7" s="159">
        <f>'AWEC 38 2018 no ARC'!D39</f>
        <v>323313129.24999988</v>
      </c>
      <c r="I7" s="156" t="s">
        <v>63</v>
      </c>
      <c r="J7" s="158"/>
      <c r="K7" s="158"/>
      <c r="L7" s="159">
        <f>'AWEC 34 2019 w ARC'!B16</f>
        <v>178247202</v>
      </c>
    </row>
    <row r="8" spans="2:12" x14ac:dyDescent="0.3">
      <c r="B8" s="156" t="s">
        <v>57</v>
      </c>
      <c r="C8" s="157"/>
      <c r="D8" s="157"/>
      <c r="E8" s="157"/>
      <c r="F8" s="158"/>
      <c r="G8" s="160">
        <f>'AWEC 38 2018 no ARC'!E39</f>
        <v>-179212501.53000003</v>
      </c>
      <c r="I8" s="156" t="s">
        <v>64</v>
      </c>
      <c r="J8" s="158"/>
      <c r="K8" s="158"/>
      <c r="L8" s="160">
        <f>-18794238/12*3</f>
        <v>-4698559.5</v>
      </c>
    </row>
    <row r="9" spans="2:12" x14ac:dyDescent="0.3">
      <c r="B9" s="156" t="s">
        <v>58</v>
      </c>
      <c r="C9" s="157"/>
      <c r="D9" s="157"/>
      <c r="E9" s="157"/>
      <c r="F9" s="158"/>
      <c r="G9" s="160">
        <f>'AWEC 38 2018 no ARC'!F39</f>
        <v>32154133.260000002</v>
      </c>
      <c r="I9" s="156" t="s">
        <v>65</v>
      </c>
      <c r="J9" s="158"/>
      <c r="K9" s="158"/>
      <c r="L9" s="160">
        <f>-G9</f>
        <v>-32154133.260000002</v>
      </c>
    </row>
    <row r="10" spans="2:12" ht="15" thickBot="1" x14ac:dyDescent="0.35">
      <c r="B10" s="156" t="s">
        <v>59</v>
      </c>
      <c r="C10" s="157"/>
      <c r="D10" s="157"/>
      <c r="E10" s="157"/>
      <c r="F10" s="158"/>
      <c r="G10" s="161">
        <f>SUM(G7:G9)</f>
        <v>176254760.97999984</v>
      </c>
      <c r="I10" s="156" t="s">
        <v>66</v>
      </c>
      <c r="J10" s="158"/>
      <c r="K10" s="158"/>
      <c r="L10" s="160">
        <v>4501579</v>
      </c>
    </row>
    <row r="11" spans="2:12" ht="15.6" thickTop="1" thickBot="1" x14ac:dyDescent="0.35">
      <c r="B11" s="162"/>
      <c r="C11" s="151"/>
      <c r="D11" s="151"/>
      <c r="E11" s="151"/>
      <c r="F11" s="151"/>
      <c r="G11" s="163"/>
      <c r="I11" s="156" t="s">
        <v>67</v>
      </c>
      <c r="J11" s="158"/>
      <c r="K11" s="158"/>
      <c r="L11" s="161">
        <f>SUM(L7:L10)</f>
        <v>145896088.24000001</v>
      </c>
    </row>
    <row r="12" spans="2:12" ht="15" thickTop="1" x14ac:dyDescent="0.3">
      <c r="I12" s="162"/>
      <c r="J12" s="151"/>
      <c r="K12" s="151"/>
      <c r="L12" s="163"/>
    </row>
    <row r="15" spans="2:12" x14ac:dyDescent="0.3">
      <c r="B15" s="57" t="s">
        <v>68</v>
      </c>
      <c r="C15" s="57"/>
      <c r="D15" s="57"/>
      <c r="E15" s="57"/>
      <c r="F15" s="153"/>
      <c r="G15" s="153"/>
      <c r="H15" s="153"/>
      <c r="I15" s="153"/>
    </row>
    <row r="16" spans="2:12" x14ac:dyDescent="0.3">
      <c r="B16" s="58" t="s">
        <v>69</v>
      </c>
      <c r="C16" s="58"/>
      <c r="D16" s="58"/>
      <c r="E16" s="58"/>
      <c r="F16" s="153"/>
      <c r="G16" s="153"/>
      <c r="H16" s="153"/>
      <c r="I16" s="153"/>
    </row>
    <row r="17" spans="2:11" x14ac:dyDescent="0.3">
      <c r="B17" s="58"/>
      <c r="C17" s="58"/>
      <c r="D17" s="58"/>
      <c r="E17" s="58"/>
      <c r="F17" s="153"/>
      <c r="G17" s="153"/>
    </row>
    <row r="18" spans="2:11" x14ac:dyDescent="0.3">
      <c r="B18" s="59"/>
      <c r="C18" s="60"/>
      <c r="D18" s="60"/>
      <c r="E18" s="60"/>
      <c r="F18" s="164"/>
      <c r="G18" s="164"/>
      <c r="H18" s="144"/>
      <c r="I18" s="155"/>
    </row>
    <row r="19" spans="2:11" x14ac:dyDescent="0.3">
      <c r="B19" s="165"/>
      <c r="C19" s="158"/>
      <c r="D19" s="158"/>
      <c r="E19" s="158"/>
      <c r="F19" s="8">
        <v>2016</v>
      </c>
      <c r="G19" s="8">
        <v>2017</v>
      </c>
      <c r="H19" s="8">
        <v>2018</v>
      </c>
      <c r="I19" s="61" t="s">
        <v>70</v>
      </c>
    </row>
    <row r="20" spans="2:11" x14ac:dyDescent="0.3">
      <c r="B20" s="156" t="s">
        <v>71</v>
      </c>
      <c r="C20" s="157"/>
      <c r="D20" s="157"/>
      <c r="E20" s="157"/>
      <c r="F20" s="158"/>
      <c r="G20" s="158"/>
      <c r="H20" s="158"/>
      <c r="I20" s="166"/>
    </row>
    <row r="21" spans="2:11" x14ac:dyDescent="0.3">
      <c r="B21" s="167" t="s">
        <v>72</v>
      </c>
      <c r="C21" s="168"/>
      <c r="D21" s="168"/>
      <c r="E21" s="168"/>
      <c r="F21" s="169">
        <f>'AWEC 46 Total PTCs'!I7</f>
        <v>290821118</v>
      </c>
      <c r="G21" s="169">
        <f>'AWEC 46 Total PTCs'!I8</f>
        <v>237490017</v>
      </c>
      <c r="H21" s="169">
        <f>'AWEC 46 Total PTCs'!I9</f>
        <v>153944432</v>
      </c>
      <c r="I21" s="159">
        <f>'AWEC 46 Total PTCs'!I10</f>
        <v>118474724</v>
      </c>
    </row>
    <row r="22" spans="2:11" x14ac:dyDescent="0.3">
      <c r="B22" s="167" t="s">
        <v>73</v>
      </c>
      <c r="C22" s="168"/>
      <c r="D22" s="168"/>
      <c r="E22" s="168"/>
      <c r="F22" s="170"/>
      <c r="G22" s="170">
        <f>'AWEC 36 Mtzd PTCs'!C8</f>
        <v>4287263</v>
      </c>
      <c r="H22" s="170">
        <f>SUM('AWEC 36 Mtzd PTCs'!C14:C15)</f>
        <v>87224442</v>
      </c>
      <c r="I22" s="160">
        <f>H22+H21-I21</f>
        <v>122694150</v>
      </c>
      <c r="K22" s="33"/>
    </row>
    <row r="23" spans="2:11" x14ac:dyDescent="0.3">
      <c r="B23" s="167" t="s">
        <v>74</v>
      </c>
      <c r="C23" s="168"/>
      <c r="D23" s="168"/>
      <c r="E23" s="168"/>
      <c r="F23" s="170"/>
      <c r="G23" s="170"/>
      <c r="H23" s="170">
        <f>'AWEC 49 PSE Int Tab 2'!C4-1</f>
        <v>298799.84671940928</v>
      </c>
      <c r="I23" s="160">
        <f>H23</f>
        <v>298799.84671940928</v>
      </c>
    </row>
    <row r="24" spans="2:11" x14ac:dyDescent="0.3">
      <c r="B24" s="156"/>
      <c r="C24" s="157"/>
      <c r="D24" s="157"/>
      <c r="E24" s="157"/>
      <c r="F24" s="171">
        <f>SUM(F21:F23)</f>
        <v>290821118</v>
      </c>
      <c r="G24" s="171">
        <f>SUM(G21:G23)</f>
        <v>241777280</v>
      </c>
      <c r="H24" s="171">
        <f>SUM(H21:H23)</f>
        <v>241467673.84671941</v>
      </c>
      <c r="I24" s="172">
        <f>SUM(I21:I23)</f>
        <v>241467673.84671941</v>
      </c>
    </row>
    <row r="25" spans="2:11" x14ac:dyDescent="0.3">
      <c r="B25" s="156"/>
      <c r="C25" s="157"/>
      <c r="D25" s="157"/>
      <c r="E25" s="157"/>
      <c r="F25" s="158"/>
      <c r="G25" s="158"/>
      <c r="H25" s="158"/>
      <c r="I25" s="166"/>
    </row>
    <row r="26" spans="2:11" x14ac:dyDescent="0.3">
      <c r="B26" s="167" t="s">
        <v>75</v>
      </c>
      <c r="C26" s="168"/>
      <c r="D26" s="168"/>
      <c r="E26" s="168"/>
      <c r="F26" s="158"/>
      <c r="G26" s="170">
        <f>G22-F22</f>
        <v>4287263</v>
      </c>
      <c r="H26" s="170">
        <f>H22-G22</f>
        <v>82937179</v>
      </c>
      <c r="I26" s="160">
        <f>I22-H22</f>
        <v>35469708</v>
      </c>
    </row>
    <row r="27" spans="2:11" x14ac:dyDescent="0.3">
      <c r="B27" s="162"/>
      <c r="C27" s="151"/>
      <c r="D27" s="151"/>
      <c r="E27" s="151"/>
      <c r="F27" s="151"/>
      <c r="G27" s="151"/>
      <c r="H27" s="151"/>
      <c r="I27" s="163"/>
    </row>
    <row r="28" spans="2:11" x14ac:dyDescent="0.3">
      <c r="H28" s="143"/>
    </row>
    <row r="29" spans="2:11" x14ac:dyDescent="0.3">
      <c r="H29" s="143"/>
    </row>
    <row r="30" spans="2:11" x14ac:dyDescent="0.3">
      <c r="C30" s="57" t="s">
        <v>247</v>
      </c>
      <c r="D30" s="57"/>
      <c r="E30" s="57"/>
      <c r="F30" s="57"/>
      <c r="G30" s="57"/>
      <c r="H30" s="57"/>
    </row>
    <row r="31" spans="2:11" x14ac:dyDescent="0.3">
      <c r="C31" s="58" t="s">
        <v>248</v>
      </c>
      <c r="D31" s="58"/>
      <c r="E31" s="58"/>
      <c r="F31" s="58"/>
      <c r="G31" s="58"/>
      <c r="H31" s="58"/>
    </row>
    <row r="32" spans="2:11" x14ac:dyDescent="0.3">
      <c r="C32" s="58"/>
      <c r="D32" s="58"/>
      <c r="E32" s="58"/>
      <c r="F32" s="58"/>
      <c r="G32" s="58"/>
      <c r="H32" s="58"/>
    </row>
    <row r="33" spans="2:11" x14ac:dyDescent="0.3">
      <c r="B33" s="154"/>
      <c r="C33" s="144"/>
      <c r="D33" s="144"/>
      <c r="E33" s="62">
        <v>8.72E-2</v>
      </c>
      <c r="F33" s="144"/>
      <c r="G33" s="144"/>
      <c r="H33" s="144"/>
      <c r="I33" s="155"/>
    </row>
    <row r="34" spans="2:11" x14ac:dyDescent="0.3">
      <c r="B34" s="165"/>
      <c r="C34" s="142" t="s">
        <v>249</v>
      </c>
      <c r="D34" s="142" t="s">
        <v>250</v>
      </c>
      <c r="E34" s="142" t="s">
        <v>251</v>
      </c>
      <c r="F34" s="142" t="s">
        <v>252</v>
      </c>
      <c r="G34" s="142" t="s">
        <v>253</v>
      </c>
      <c r="H34" s="142" t="s">
        <v>254</v>
      </c>
      <c r="I34" s="166"/>
    </row>
    <row r="35" spans="2:11" x14ac:dyDescent="0.3">
      <c r="B35" s="165"/>
      <c r="C35" s="158"/>
      <c r="D35" s="158"/>
      <c r="E35" s="158"/>
      <c r="F35" s="158"/>
      <c r="G35" s="158"/>
      <c r="H35" s="158"/>
      <c r="I35" s="166"/>
    </row>
    <row r="36" spans="2:11" x14ac:dyDescent="0.3">
      <c r="B36" s="165"/>
      <c r="C36" s="158" t="s">
        <v>255</v>
      </c>
      <c r="D36" s="169"/>
      <c r="E36" s="169"/>
      <c r="F36" s="169">
        <f>'AWEC 36 Mtzd PTCs'!C8/4</f>
        <v>1071815.75</v>
      </c>
      <c r="G36" s="169">
        <f>-F36</f>
        <v>-1071815.75</v>
      </c>
      <c r="H36" s="169">
        <f>H35+E36+F36+G36</f>
        <v>0</v>
      </c>
      <c r="I36" s="166"/>
    </row>
    <row r="37" spans="2:11" x14ac:dyDescent="0.3">
      <c r="B37" s="165"/>
      <c r="C37" s="158" t="s">
        <v>256</v>
      </c>
      <c r="D37" s="170"/>
      <c r="E37" s="170"/>
      <c r="F37" s="170">
        <f>F36</f>
        <v>1071815.75</v>
      </c>
      <c r="G37" s="170">
        <f>-F37</f>
        <v>-1071815.75</v>
      </c>
      <c r="H37" s="170">
        <f>H36+E37+F37+G37</f>
        <v>0</v>
      </c>
      <c r="I37" s="166"/>
    </row>
    <row r="38" spans="2:11" x14ac:dyDescent="0.3">
      <c r="B38" s="165"/>
      <c r="C38" s="158" t="s">
        <v>260</v>
      </c>
      <c r="D38" s="170"/>
      <c r="E38" s="170"/>
      <c r="F38" s="170">
        <f>F37</f>
        <v>1071815.75</v>
      </c>
      <c r="G38" s="170">
        <f>-F38</f>
        <v>-1071815.75</v>
      </c>
      <c r="H38" s="170">
        <f>H37+E38+F38+G38</f>
        <v>0</v>
      </c>
      <c r="I38" s="166"/>
      <c r="J38" s="133"/>
      <c r="K38" s="133"/>
    </row>
    <row r="39" spans="2:11" x14ac:dyDescent="0.3">
      <c r="B39" s="165"/>
      <c r="C39" s="158" t="s">
        <v>259</v>
      </c>
      <c r="D39" s="170"/>
      <c r="E39" s="170"/>
      <c r="F39" s="170">
        <f>F38</f>
        <v>1071815.75</v>
      </c>
      <c r="G39" s="170">
        <f>-F39</f>
        <v>-1071815.75</v>
      </c>
      <c r="H39" s="170">
        <f>H38+E39+F39+G39</f>
        <v>0</v>
      </c>
      <c r="I39" s="166"/>
      <c r="J39" s="133"/>
      <c r="K39" s="133"/>
    </row>
    <row r="40" spans="2:11" x14ac:dyDescent="0.3">
      <c r="B40" s="165"/>
      <c r="C40" s="158"/>
      <c r="D40" s="170"/>
      <c r="E40" s="170"/>
      <c r="F40" s="170"/>
      <c r="G40" s="170"/>
      <c r="H40" s="170"/>
      <c r="I40" s="166"/>
      <c r="J40" s="133"/>
      <c r="K40" s="133"/>
    </row>
    <row r="41" spans="2:11" x14ac:dyDescent="0.3">
      <c r="B41" s="165"/>
      <c r="C41" s="158" t="s">
        <v>257</v>
      </c>
      <c r="D41" s="170"/>
      <c r="E41" s="170"/>
      <c r="F41" s="170">
        <f>'AWEC 36 Mtzd PTCs'!C9/4</f>
        <v>20734294.75</v>
      </c>
      <c r="G41" s="170">
        <f>-'AWEC 36 Mtzd PTCs'!C14-SUM(G36:G39)</f>
        <v>-712737</v>
      </c>
      <c r="H41" s="170">
        <f>H40+E41+F41+G41</f>
        <v>20021557.75</v>
      </c>
      <c r="I41" s="166"/>
    </row>
    <row r="42" spans="2:11" x14ac:dyDescent="0.3">
      <c r="B42" s="165"/>
      <c r="C42" s="158" t="s">
        <v>258</v>
      </c>
      <c r="D42" s="170">
        <f>H41</f>
        <v>20021557.75</v>
      </c>
      <c r="E42" s="170">
        <f>D42*$E$33/4</f>
        <v>436469.95895</v>
      </c>
      <c r="F42" s="170">
        <f>F41</f>
        <v>20734294.75</v>
      </c>
      <c r="G42" s="170"/>
      <c r="H42" s="170">
        <f>H41+E42+F42+G42</f>
        <v>41192322.458949998</v>
      </c>
      <c r="I42" s="166"/>
      <c r="J42" s="170"/>
      <c r="K42" s="170"/>
    </row>
    <row r="43" spans="2:11" x14ac:dyDescent="0.3">
      <c r="B43" s="165"/>
      <c r="C43" s="158" t="s">
        <v>261</v>
      </c>
      <c r="D43" s="170">
        <f>H42</f>
        <v>41192322.458949998</v>
      </c>
      <c r="E43" s="170">
        <f>D43*$E$33/4</f>
        <v>897992.62960510992</v>
      </c>
      <c r="F43" s="170">
        <f>F42</f>
        <v>20734294.75</v>
      </c>
      <c r="G43" s="170"/>
      <c r="H43" s="170">
        <f>H42+E43+F43+G43</f>
        <v>62824609.838555105</v>
      </c>
      <c r="I43" s="166"/>
      <c r="J43" s="170"/>
      <c r="K43" s="170"/>
    </row>
    <row r="44" spans="2:11" x14ac:dyDescent="0.3">
      <c r="B44" s="165"/>
      <c r="C44" s="158" t="s">
        <v>262</v>
      </c>
      <c r="D44" s="170">
        <f>H43</f>
        <v>62824609.838555105</v>
      </c>
      <c r="E44" s="170">
        <f>D44*$E$33/4</f>
        <v>1369576.4944805014</v>
      </c>
      <c r="F44" s="170">
        <f>F43</f>
        <v>20734294.75</v>
      </c>
      <c r="G44" s="170"/>
      <c r="H44" s="170">
        <f>H43+E44+F44+G44</f>
        <v>84928481.083035603</v>
      </c>
      <c r="I44" s="166"/>
      <c r="J44" s="170"/>
      <c r="K44" s="170"/>
    </row>
    <row r="45" spans="2:11" x14ac:dyDescent="0.3">
      <c r="B45" s="165"/>
      <c r="C45" s="158"/>
      <c r="D45" s="170"/>
      <c r="E45" s="170"/>
      <c r="F45" s="170"/>
      <c r="G45" s="170"/>
      <c r="H45" s="170"/>
      <c r="I45" s="166"/>
    </row>
    <row r="46" spans="2:11" x14ac:dyDescent="0.3">
      <c r="B46" s="165"/>
      <c r="C46" s="158" t="s">
        <v>266</v>
      </c>
      <c r="D46" s="170">
        <f>H44</f>
        <v>84928481.083035603</v>
      </c>
      <c r="E46" s="170">
        <f>D46*$E$33/4</f>
        <v>1851440.8876101761</v>
      </c>
      <c r="F46" s="170">
        <f>I26/3</f>
        <v>11823236</v>
      </c>
      <c r="G46" s="170"/>
      <c r="H46" s="170">
        <f>H44+E46+F46+G46</f>
        <v>98603157.970645785</v>
      </c>
      <c r="I46" s="173"/>
      <c r="J46" s="170"/>
      <c r="K46" s="15"/>
    </row>
    <row r="47" spans="2:11" x14ac:dyDescent="0.3">
      <c r="B47" s="165"/>
      <c r="C47" s="158" t="s">
        <v>263</v>
      </c>
      <c r="D47" s="170">
        <f>H46</f>
        <v>98603157.970645785</v>
      </c>
      <c r="E47" s="170">
        <f>D47*$E$33/4</f>
        <v>2149548.8437600783</v>
      </c>
      <c r="F47" s="170">
        <f>F46</f>
        <v>11823236</v>
      </c>
      <c r="G47" s="170"/>
      <c r="H47" s="170">
        <f>H46+E47+F47+G47</f>
        <v>112575942.81440586</v>
      </c>
      <c r="I47" s="166"/>
      <c r="J47" s="170"/>
    </row>
    <row r="48" spans="2:11" x14ac:dyDescent="0.3">
      <c r="B48" s="165"/>
      <c r="C48" s="158" t="s">
        <v>264</v>
      </c>
      <c r="D48" s="170">
        <f>H47</f>
        <v>112575942.81440586</v>
      </c>
      <c r="E48" s="170">
        <f>D48*$E$33/4</f>
        <v>2454155.5533540477</v>
      </c>
      <c r="F48" s="170">
        <f>F47</f>
        <v>11823236</v>
      </c>
      <c r="G48" s="170"/>
      <c r="H48" s="170">
        <f>H47+E48+F48+G48</f>
        <v>126853334.36775991</v>
      </c>
      <c r="I48" s="166"/>
      <c r="J48" s="170"/>
    </row>
    <row r="49" spans="2:10" x14ac:dyDescent="0.3">
      <c r="B49" s="165"/>
      <c r="C49" s="158" t="s">
        <v>265</v>
      </c>
      <c r="D49" s="170">
        <f>H48</f>
        <v>126853334.36775991</v>
      </c>
      <c r="E49" s="170">
        <f>D49*$E$33/4</f>
        <v>2765402.689217166</v>
      </c>
      <c r="F49" s="170"/>
      <c r="G49" s="170"/>
      <c r="H49" s="170">
        <f>H48+E49+F49+G49</f>
        <v>129618737.05697708</v>
      </c>
      <c r="I49" s="166"/>
      <c r="J49" s="170"/>
    </row>
    <row r="50" spans="2:10" x14ac:dyDescent="0.3">
      <c r="B50" s="165"/>
      <c r="C50" s="158"/>
      <c r="D50" s="144"/>
      <c r="E50" s="144"/>
      <c r="F50" s="144"/>
      <c r="G50" s="144"/>
      <c r="H50" s="144"/>
      <c r="I50" s="166"/>
    </row>
    <row r="51" spans="2:10" x14ac:dyDescent="0.3">
      <c r="B51" s="165"/>
      <c r="C51" s="158"/>
      <c r="D51" s="169"/>
      <c r="E51" s="169">
        <f>SUM(E36:E50)</f>
        <v>11924587.056977078</v>
      </c>
      <c r="F51" s="169">
        <f>SUM(F36:F50)</f>
        <v>122694150</v>
      </c>
      <c r="G51" s="169">
        <f>SUM(G36:G50)</f>
        <v>-5000000</v>
      </c>
      <c r="H51" s="169">
        <f>SUM(E51:G51)</f>
        <v>129618737.05697709</v>
      </c>
      <c r="I51" s="166"/>
    </row>
    <row r="52" spans="2:10" x14ac:dyDescent="0.3">
      <c r="B52" s="165"/>
      <c r="C52" s="158"/>
      <c r="D52" s="158"/>
      <c r="E52" s="158"/>
      <c r="F52" s="158"/>
      <c r="G52" s="158"/>
      <c r="H52" s="158"/>
      <c r="I52" s="166"/>
    </row>
    <row r="53" spans="2:10" x14ac:dyDescent="0.3">
      <c r="B53" s="165"/>
      <c r="C53" s="63" t="s">
        <v>267</v>
      </c>
      <c r="D53" s="158"/>
      <c r="E53" s="158"/>
      <c r="F53" s="158"/>
      <c r="G53" s="158"/>
      <c r="H53" s="158"/>
      <c r="I53" s="166"/>
      <c r="J53" s="170"/>
    </row>
    <row r="54" spans="2:10" x14ac:dyDescent="0.3">
      <c r="B54" s="165"/>
      <c r="C54" s="63"/>
      <c r="D54" s="158"/>
      <c r="E54" s="158"/>
      <c r="F54" s="158"/>
      <c r="G54" s="158"/>
      <c r="H54" s="158"/>
      <c r="I54" s="166"/>
      <c r="J54" s="33"/>
    </row>
    <row r="55" spans="2:10" x14ac:dyDescent="0.3">
      <c r="B55" s="165"/>
      <c r="C55" s="158"/>
      <c r="D55" s="158" t="s">
        <v>72</v>
      </c>
      <c r="E55" s="158"/>
      <c r="F55" s="170">
        <f>'AWEC 46 Total PTCs'!I10</f>
        <v>118474724</v>
      </c>
      <c r="G55" s="158"/>
      <c r="H55" s="158"/>
      <c r="I55" s="166"/>
      <c r="J55" s="33"/>
    </row>
    <row r="56" spans="2:10" x14ac:dyDescent="0.3">
      <c r="B56" s="165"/>
      <c r="C56" s="158"/>
      <c r="D56" s="158" t="s">
        <v>73</v>
      </c>
      <c r="E56" s="158"/>
      <c r="F56" s="170">
        <f>H49</f>
        <v>129618737.05697708</v>
      </c>
      <c r="G56" s="158"/>
      <c r="H56" s="158"/>
      <c r="I56" s="166"/>
    </row>
    <row r="57" spans="2:10" x14ac:dyDescent="0.3">
      <c r="B57" s="165"/>
      <c r="C57" s="158"/>
      <c r="D57" s="158" t="s">
        <v>52</v>
      </c>
      <c r="E57" s="158"/>
      <c r="F57" s="174">
        <f>SUM(F55:F56)</f>
        <v>248093461.05697709</v>
      </c>
      <c r="G57" s="158"/>
      <c r="H57" s="158"/>
      <c r="I57" s="166"/>
    </row>
    <row r="58" spans="2:10" x14ac:dyDescent="0.3">
      <c r="B58" s="162"/>
      <c r="C58" s="151"/>
      <c r="D58" s="151"/>
      <c r="E58" s="151"/>
      <c r="F58" s="151"/>
      <c r="G58" s="151"/>
      <c r="H58" s="151"/>
      <c r="I58" s="163"/>
    </row>
    <row r="61" spans="2:10" x14ac:dyDescent="0.3">
      <c r="C61" s="57" t="s">
        <v>279</v>
      </c>
      <c r="D61" s="57"/>
      <c r="E61" s="57"/>
      <c r="F61" s="57"/>
      <c r="G61" s="57"/>
      <c r="H61" s="57"/>
    </row>
    <row r="62" spans="2:10" x14ac:dyDescent="0.3">
      <c r="C62" s="58" t="s">
        <v>280</v>
      </c>
      <c r="D62" s="58"/>
      <c r="E62" s="58"/>
      <c r="F62" s="58"/>
      <c r="G62" s="58"/>
      <c r="H62" s="58"/>
    </row>
    <row r="64" spans="2:10" x14ac:dyDescent="0.3">
      <c r="B64" s="154"/>
      <c r="C64" s="144"/>
      <c r="D64" s="144"/>
      <c r="E64" s="144"/>
      <c r="F64" s="144"/>
      <c r="G64" s="144"/>
      <c r="H64" s="144"/>
      <c r="I64" s="155"/>
    </row>
    <row r="65" spans="2:9" x14ac:dyDescent="0.3">
      <c r="B65" s="165"/>
      <c r="C65" s="64" t="s">
        <v>281</v>
      </c>
      <c r="D65" s="175"/>
      <c r="E65" s="175"/>
      <c r="F65" s="175"/>
      <c r="G65" s="175"/>
      <c r="H65" s="175"/>
      <c r="I65" s="166"/>
    </row>
    <row r="66" spans="2:9" x14ac:dyDescent="0.3">
      <c r="B66" s="165"/>
      <c r="C66" s="158"/>
      <c r="D66" s="12" t="s">
        <v>282</v>
      </c>
      <c r="E66" s="12"/>
      <c r="F66" s="12" t="s">
        <v>283</v>
      </c>
      <c r="G66" s="12" t="s">
        <v>284</v>
      </c>
      <c r="H66" s="12" t="s">
        <v>285</v>
      </c>
      <c r="I66" s="166"/>
    </row>
    <row r="67" spans="2:9" x14ac:dyDescent="0.3">
      <c r="B67" s="165"/>
      <c r="C67" s="158"/>
      <c r="D67" s="8" t="s">
        <v>37</v>
      </c>
      <c r="E67" s="8" t="s">
        <v>286</v>
      </c>
      <c r="F67" s="8" t="s">
        <v>287</v>
      </c>
      <c r="G67" s="8" t="s">
        <v>288</v>
      </c>
      <c r="H67" s="8" t="s">
        <v>37</v>
      </c>
      <c r="I67" s="166"/>
    </row>
    <row r="68" spans="2:9" x14ac:dyDescent="0.3">
      <c r="B68" s="165"/>
      <c r="C68" s="158"/>
      <c r="D68" s="12"/>
      <c r="E68" s="12"/>
      <c r="F68" s="12"/>
      <c r="G68" s="12"/>
      <c r="H68" s="12"/>
      <c r="I68" s="166"/>
    </row>
    <row r="69" spans="2:9" x14ac:dyDescent="0.3">
      <c r="B69" s="176" t="s">
        <v>289</v>
      </c>
      <c r="C69" s="158"/>
      <c r="D69" s="169">
        <f>L11</f>
        <v>145896088.24000001</v>
      </c>
      <c r="E69" s="169">
        <f>-H51</f>
        <v>-129618737.05697709</v>
      </c>
      <c r="F69" s="169">
        <f>-L11+H51</f>
        <v>-16277351.183022916</v>
      </c>
      <c r="G69" s="169">
        <f>SUM(E69:F69)</f>
        <v>-145896088.24000001</v>
      </c>
      <c r="H69" s="169">
        <f>D69+G69</f>
        <v>0</v>
      </c>
      <c r="I69" s="166"/>
    </row>
    <row r="70" spans="2:9" x14ac:dyDescent="0.3">
      <c r="B70" s="176" t="s">
        <v>290</v>
      </c>
      <c r="C70" s="158"/>
      <c r="D70" s="170">
        <f>'Colstrip Depn Update'!O56</f>
        <v>271220276</v>
      </c>
      <c r="E70" s="170">
        <v>0</v>
      </c>
      <c r="F70" s="170">
        <f>-F55-F69</f>
        <v>-102197372.81697708</v>
      </c>
      <c r="G70" s="170">
        <f>SUM(E70:F70)</f>
        <v>-102197372.81697708</v>
      </c>
      <c r="H70" s="170">
        <f>D70+G70</f>
        <v>169022903.18302292</v>
      </c>
      <c r="I70" s="166"/>
    </row>
    <row r="71" spans="2:9" x14ac:dyDescent="0.3">
      <c r="B71" s="165"/>
      <c r="C71" s="158"/>
      <c r="D71" s="144"/>
      <c r="E71" s="144"/>
      <c r="F71" s="144"/>
      <c r="G71" s="144"/>
      <c r="H71" s="144"/>
      <c r="I71" s="166"/>
    </row>
    <row r="72" spans="2:9" x14ac:dyDescent="0.3">
      <c r="B72" s="176" t="s">
        <v>52</v>
      </c>
      <c r="C72" s="158"/>
      <c r="D72" s="169">
        <f>SUM(D69:D71)</f>
        <v>417116364.24000001</v>
      </c>
      <c r="E72" s="169">
        <f>SUM(E69:E71)</f>
        <v>-129618737.05697709</v>
      </c>
      <c r="F72" s="169">
        <f>SUM(F69:F71)</f>
        <v>-118474724</v>
      </c>
      <c r="G72" s="169">
        <f>SUM(G69:G71)</f>
        <v>-248093461.05697709</v>
      </c>
      <c r="H72" s="169">
        <f>SUM(H69:H71)</f>
        <v>169022903.18302292</v>
      </c>
      <c r="I72" s="166"/>
    </row>
    <row r="73" spans="2:9" x14ac:dyDescent="0.3">
      <c r="B73" s="165"/>
      <c r="C73" s="158"/>
      <c r="D73" s="158"/>
      <c r="E73" s="158"/>
      <c r="F73" s="158"/>
      <c r="G73" s="158"/>
      <c r="H73" s="158"/>
      <c r="I73" s="166"/>
    </row>
    <row r="74" spans="2:9" x14ac:dyDescent="0.3">
      <c r="B74" s="165"/>
      <c r="C74" s="177" t="s">
        <v>291</v>
      </c>
      <c r="D74" s="158"/>
      <c r="E74" s="158"/>
      <c r="F74" s="158"/>
      <c r="G74" s="158"/>
      <c r="H74" s="158"/>
      <c r="I74" s="166"/>
    </row>
    <row r="75" spans="2:9" x14ac:dyDescent="0.3">
      <c r="B75" s="165"/>
      <c r="C75" s="177" t="s">
        <v>292</v>
      </c>
      <c r="D75" s="158"/>
      <c r="E75" s="158"/>
      <c r="F75" s="158"/>
      <c r="G75" s="158"/>
      <c r="H75" s="158"/>
      <c r="I75" s="166"/>
    </row>
    <row r="76" spans="2:9" x14ac:dyDescent="0.3">
      <c r="B76" s="162"/>
      <c r="C76" s="151"/>
      <c r="D76" s="151"/>
      <c r="E76" s="151"/>
      <c r="F76" s="151"/>
      <c r="G76" s="151"/>
      <c r="H76" s="151"/>
      <c r="I76" s="163"/>
    </row>
    <row r="79" spans="2:9" x14ac:dyDescent="0.3">
      <c r="C79" s="57" t="s">
        <v>293</v>
      </c>
      <c r="D79" s="57"/>
      <c r="E79" s="57"/>
      <c r="F79" s="57"/>
      <c r="G79" s="57"/>
      <c r="H79" s="57"/>
    </row>
    <row r="80" spans="2:9" x14ac:dyDescent="0.3">
      <c r="C80" s="58" t="s">
        <v>294</v>
      </c>
      <c r="D80" s="58"/>
      <c r="E80" s="58"/>
      <c r="F80" s="58"/>
      <c r="G80" s="58"/>
      <c r="H80" s="58"/>
    </row>
    <row r="81" spans="2:9" x14ac:dyDescent="0.3">
      <c r="C81" s="58" t="s">
        <v>295</v>
      </c>
      <c r="D81" s="58"/>
      <c r="E81" s="58"/>
      <c r="F81" s="58"/>
      <c r="G81" s="58"/>
      <c r="H81" s="58"/>
    </row>
    <row r="83" spans="2:9" x14ac:dyDescent="0.3">
      <c r="B83" s="154"/>
      <c r="C83" s="144"/>
      <c r="D83" s="144"/>
      <c r="E83" s="144"/>
      <c r="F83" s="144"/>
      <c r="G83" s="144"/>
      <c r="H83" s="144"/>
      <c r="I83" s="155"/>
    </row>
    <row r="84" spans="2:9" x14ac:dyDescent="0.3">
      <c r="B84" s="165"/>
      <c r="C84" s="158"/>
      <c r="D84" s="158"/>
      <c r="E84" s="158"/>
      <c r="F84" s="158"/>
      <c r="G84" s="158"/>
      <c r="H84" s="8" t="s">
        <v>296</v>
      </c>
      <c r="I84" s="166"/>
    </row>
    <row r="85" spans="2:9" x14ac:dyDescent="0.3">
      <c r="B85" s="165"/>
      <c r="C85" s="158"/>
      <c r="D85" s="158"/>
      <c r="E85" s="158"/>
      <c r="F85" s="158"/>
      <c r="G85" s="158"/>
      <c r="H85" s="12"/>
      <c r="I85" s="166"/>
    </row>
    <row r="86" spans="2:9" x14ac:dyDescent="0.3">
      <c r="B86" s="165"/>
      <c r="C86" s="158"/>
      <c r="D86" s="158" t="s">
        <v>297</v>
      </c>
      <c r="E86" s="158"/>
      <c r="F86" s="158"/>
      <c r="G86" s="158" t="s">
        <v>301</v>
      </c>
      <c r="H86" s="169">
        <f>-G10</f>
        <v>-176254760.97999984</v>
      </c>
      <c r="I86" s="166"/>
    </row>
    <row r="87" spans="2:9" x14ac:dyDescent="0.3">
      <c r="B87" s="165"/>
      <c r="C87" s="158"/>
      <c r="D87" s="158"/>
      <c r="E87" s="158"/>
      <c r="F87" s="158"/>
      <c r="G87" s="158"/>
      <c r="H87" s="170"/>
      <c r="I87" s="166"/>
    </row>
    <row r="88" spans="2:9" x14ac:dyDescent="0.3">
      <c r="B88" s="165"/>
      <c r="C88" s="158"/>
      <c r="D88" s="158" t="s">
        <v>298</v>
      </c>
      <c r="E88" s="158"/>
      <c r="F88" s="158"/>
      <c r="G88" s="158" t="s">
        <v>302</v>
      </c>
      <c r="H88" s="170">
        <f>L11</f>
        <v>145896088.24000001</v>
      </c>
      <c r="I88" s="166"/>
    </row>
    <row r="89" spans="2:9" x14ac:dyDescent="0.3">
      <c r="B89" s="165"/>
      <c r="C89" s="158"/>
      <c r="D89" s="158"/>
      <c r="E89" s="158"/>
      <c r="F89" s="158"/>
      <c r="G89" s="158"/>
      <c r="H89" s="170"/>
      <c r="I89" s="166"/>
    </row>
    <row r="90" spans="2:9" x14ac:dyDescent="0.3">
      <c r="B90" s="165"/>
      <c r="C90" s="158"/>
      <c r="D90" s="158" t="s">
        <v>299</v>
      </c>
      <c r="E90" s="158"/>
      <c r="F90" s="158"/>
      <c r="G90" s="158" t="s">
        <v>303</v>
      </c>
      <c r="H90" s="170">
        <f>-H51</f>
        <v>-129618737.05697709</v>
      </c>
      <c r="I90" s="166"/>
    </row>
    <row r="91" spans="2:9" x14ac:dyDescent="0.3">
      <c r="B91" s="165"/>
      <c r="C91" s="158"/>
      <c r="D91" s="158"/>
      <c r="E91" s="158"/>
      <c r="H91" s="174"/>
      <c r="I91" s="166"/>
    </row>
    <row r="92" spans="2:9" x14ac:dyDescent="0.3">
      <c r="B92" s="165"/>
      <c r="C92" s="158"/>
      <c r="D92" s="158" t="s">
        <v>300</v>
      </c>
      <c r="E92" s="158"/>
      <c r="F92" s="178" t="s">
        <v>321</v>
      </c>
      <c r="G92" s="179">
        <v>7.4399999999999994E-2</v>
      </c>
      <c r="H92" s="170">
        <f>SUM(H86:H91)</f>
        <v>-159977409.79697692</v>
      </c>
      <c r="I92" s="166"/>
    </row>
    <row r="93" spans="2:9" x14ac:dyDescent="0.3">
      <c r="B93" s="165"/>
      <c r="C93" s="158"/>
      <c r="D93" s="13" t="s">
        <v>304</v>
      </c>
      <c r="E93" s="158"/>
      <c r="F93" s="178" t="s">
        <v>320</v>
      </c>
      <c r="G93" s="179">
        <v>7.5999999999999998E-2</v>
      </c>
      <c r="H93" s="10">
        <f>H92*G93/G94+I93</f>
        <v>-16181249.119381841</v>
      </c>
      <c r="I93" s="166"/>
    </row>
    <row r="94" spans="2:9" x14ac:dyDescent="0.3">
      <c r="B94" s="165"/>
      <c r="C94" s="158"/>
      <c r="D94" s="158"/>
      <c r="E94" s="158"/>
      <c r="F94" s="178" t="s">
        <v>322</v>
      </c>
      <c r="G94" s="180">
        <v>0.75138099999999997</v>
      </c>
      <c r="H94" s="170"/>
      <c r="I94" s="166"/>
    </row>
    <row r="95" spans="2:9" x14ac:dyDescent="0.3">
      <c r="B95" s="165"/>
      <c r="C95" s="158"/>
      <c r="D95" s="13" t="s">
        <v>305</v>
      </c>
      <c r="E95" s="158"/>
      <c r="F95" s="158"/>
      <c r="G95" s="158"/>
      <c r="H95" s="65">
        <f>SUM(D69:E69)</f>
        <v>16277351.183022916</v>
      </c>
      <c r="I95" s="166"/>
    </row>
    <row r="96" spans="2:9" x14ac:dyDescent="0.3">
      <c r="B96" s="162"/>
      <c r="C96" s="151"/>
      <c r="D96" s="151"/>
      <c r="E96" s="151"/>
      <c r="F96" s="151"/>
      <c r="G96" s="151"/>
      <c r="H96" s="151"/>
      <c r="I96" s="16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workbookViewId="0">
      <pane ySplit="6" topLeftCell="A30" activePane="bottomLeft" state="frozen"/>
      <selection activeCell="B35" sqref="B35:B36"/>
      <selection pane="bottomLeft" activeCell="B35" sqref="B35:B36"/>
    </sheetView>
  </sheetViews>
  <sheetFormatPr defaultColWidth="9.109375" defaultRowHeight="14.4" x14ac:dyDescent="0.3"/>
  <cols>
    <col min="1" max="1" width="9.109375" style="19"/>
    <col min="2" max="2" width="16.5546875" style="19" customWidth="1"/>
    <col min="3" max="3" width="22.6640625" style="19" bestFit="1" customWidth="1"/>
    <col min="4" max="4" width="15.44140625" style="19" bestFit="1" customWidth="1"/>
    <col min="5" max="5" width="16" style="19" bestFit="1" customWidth="1"/>
    <col min="6" max="6" width="21.109375" style="19" bestFit="1" customWidth="1"/>
    <col min="7" max="7" width="20.5546875" style="19" bestFit="1" customWidth="1"/>
    <col min="8" max="16384" width="9.109375" style="19"/>
  </cols>
  <sheetData>
    <row r="1" spans="1:7" ht="18" x14ac:dyDescent="0.35">
      <c r="A1" s="43" t="s">
        <v>23</v>
      </c>
    </row>
    <row r="2" spans="1:7" ht="18" x14ac:dyDescent="0.35">
      <c r="A2" s="43" t="s">
        <v>24</v>
      </c>
    </row>
    <row r="3" spans="1:7" ht="18" x14ac:dyDescent="0.35">
      <c r="A3" s="43" t="s">
        <v>26</v>
      </c>
    </row>
    <row r="4" spans="1:7" ht="18" x14ac:dyDescent="0.35">
      <c r="A4" s="43" t="s">
        <v>25</v>
      </c>
    </row>
    <row r="5" spans="1:7" x14ac:dyDescent="0.3">
      <c r="B5" s="5"/>
      <c r="C5" s="5"/>
      <c r="D5" s="44" t="s">
        <v>15</v>
      </c>
      <c r="E5" s="5" t="s">
        <v>16</v>
      </c>
      <c r="F5" s="44" t="s">
        <v>27</v>
      </c>
      <c r="G5" s="44" t="s">
        <v>29</v>
      </c>
    </row>
    <row r="6" spans="1:7" x14ac:dyDescent="0.3">
      <c r="B6" s="45" t="s">
        <v>13</v>
      </c>
      <c r="C6" s="45" t="s">
        <v>14</v>
      </c>
      <c r="D6" s="46">
        <v>43465</v>
      </c>
      <c r="E6" s="46">
        <v>43465</v>
      </c>
      <c r="F6" s="47" t="s">
        <v>28</v>
      </c>
      <c r="G6" s="47" t="s">
        <v>30</v>
      </c>
    </row>
    <row r="7" spans="1:7" x14ac:dyDescent="0.3">
      <c r="B7" s="19" t="s">
        <v>0</v>
      </c>
      <c r="C7" s="19" t="s">
        <v>3</v>
      </c>
      <c r="D7" s="15">
        <v>28925.39</v>
      </c>
      <c r="E7" s="15">
        <v>0</v>
      </c>
    </row>
    <row r="8" spans="1:7" x14ac:dyDescent="0.3">
      <c r="B8" s="19" t="s">
        <v>0</v>
      </c>
      <c r="C8" s="19" t="s">
        <v>4</v>
      </c>
      <c r="D8" s="15">
        <v>9353913.0800000001</v>
      </c>
      <c r="E8" s="15">
        <v>-5847573.4000000004</v>
      </c>
    </row>
    <row r="9" spans="1:7" x14ac:dyDescent="0.3">
      <c r="B9" s="19" t="s">
        <v>0</v>
      </c>
      <c r="C9" s="19" t="s">
        <v>5</v>
      </c>
      <c r="D9" s="15">
        <f>90423370.58+151875</f>
        <v>90575245.579999998</v>
      </c>
      <c r="E9" s="15">
        <v>-48492648.299999997</v>
      </c>
    </row>
    <row r="10" spans="1:7" x14ac:dyDescent="0.3">
      <c r="B10" s="19" t="s">
        <v>0</v>
      </c>
      <c r="C10" s="19" t="s">
        <v>6</v>
      </c>
      <c r="D10" s="15">
        <v>28793522.690000001</v>
      </c>
      <c r="E10" s="15">
        <v>-11824104.220000001</v>
      </c>
    </row>
    <row r="11" spans="1:7" x14ac:dyDescent="0.3">
      <c r="B11" s="19" t="s">
        <v>0</v>
      </c>
      <c r="C11" s="19" t="s">
        <v>7</v>
      </c>
      <c r="D11" s="15">
        <v>7338719.1100000003</v>
      </c>
      <c r="E11" s="15">
        <v>-4894336.01</v>
      </c>
    </row>
    <row r="12" spans="1:7" x14ac:dyDescent="0.3">
      <c r="B12" s="19" t="s">
        <v>0</v>
      </c>
      <c r="C12" s="19" t="s">
        <v>8</v>
      </c>
      <c r="D12" s="15">
        <v>986710.17</v>
      </c>
      <c r="E12" s="15">
        <v>-449013.27</v>
      </c>
    </row>
    <row r="13" spans="1:7" x14ac:dyDescent="0.3">
      <c r="B13" s="19" t="s">
        <v>0</v>
      </c>
      <c r="C13" s="19" t="s">
        <v>9</v>
      </c>
      <c r="D13" s="15">
        <v>151677.92000000001</v>
      </c>
      <c r="E13" s="15">
        <v>-61404.85</v>
      </c>
    </row>
    <row r="14" spans="1:7" x14ac:dyDescent="0.3">
      <c r="B14" s="19" t="s">
        <v>0</v>
      </c>
      <c r="C14" s="19" t="s">
        <v>10</v>
      </c>
      <c r="D14" s="15">
        <v>204468.53</v>
      </c>
      <c r="E14" s="15">
        <v>-55816.57</v>
      </c>
    </row>
    <row r="15" spans="1:7" x14ac:dyDescent="0.3">
      <c r="B15" s="151" t="s">
        <v>0</v>
      </c>
      <c r="C15" s="151" t="s">
        <v>11</v>
      </c>
      <c r="D15" s="48">
        <v>140845.07999999999</v>
      </c>
      <c r="E15" s="48">
        <v>-34007.74</v>
      </c>
    </row>
    <row r="16" spans="1:7" x14ac:dyDescent="0.3">
      <c r="C16" s="5" t="s">
        <v>17</v>
      </c>
      <c r="D16" s="49">
        <f>SUBTOTAL(9,D7:D15)</f>
        <v>137574027.54999998</v>
      </c>
      <c r="E16" s="49">
        <f>SUBTOTAL(9,E7:E15)</f>
        <v>-71658904.35999997</v>
      </c>
    </row>
    <row r="17" spans="2:5" x14ac:dyDescent="0.3">
      <c r="B17" s="19" t="s">
        <v>2</v>
      </c>
      <c r="C17" s="19" t="s">
        <v>3</v>
      </c>
      <c r="D17" s="15">
        <v>28925.39</v>
      </c>
      <c r="E17" s="15">
        <v>0</v>
      </c>
    </row>
    <row r="18" spans="2:5" x14ac:dyDescent="0.3">
      <c r="B18" s="19" t="s">
        <v>2</v>
      </c>
      <c r="C18" s="19" t="s">
        <v>4</v>
      </c>
      <c r="D18" s="15">
        <v>4520471.05</v>
      </c>
      <c r="E18" s="15">
        <v>-1331200.95</v>
      </c>
    </row>
    <row r="19" spans="2:5" x14ac:dyDescent="0.3">
      <c r="B19" s="19" t="s">
        <v>2</v>
      </c>
      <c r="C19" s="19" t="s">
        <v>5</v>
      </c>
      <c r="D19" s="15">
        <f>89630803.33+151875</f>
        <v>89782678.329999998</v>
      </c>
      <c r="E19" s="15">
        <v>-42905367.43</v>
      </c>
    </row>
    <row r="20" spans="2:5" x14ac:dyDescent="0.3">
      <c r="B20" s="19" t="s">
        <v>2</v>
      </c>
      <c r="C20" s="19" t="s">
        <v>6</v>
      </c>
      <c r="D20" s="15">
        <v>33894225.079999998</v>
      </c>
      <c r="E20" s="15">
        <v>-14500075.140000001</v>
      </c>
    </row>
    <row r="21" spans="2:5" x14ac:dyDescent="0.3">
      <c r="B21" s="19" t="s">
        <v>2</v>
      </c>
      <c r="C21" s="19" t="s">
        <v>7</v>
      </c>
      <c r="D21" s="15">
        <v>4085300.7</v>
      </c>
      <c r="E21" s="15">
        <v>-1567212.82</v>
      </c>
    </row>
    <row r="22" spans="2:5" x14ac:dyDescent="0.3">
      <c r="B22" s="19" t="s">
        <v>2</v>
      </c>
      <c r="C22" s="19" t="s">
        <v>8</v>
      </c>
      <c r="D22" s="15">
        <v>1117146.6200000001</v>
      </c>
      <c r="E22" s="15">
        <v>-569510.43000000005</v>
      </c>
    </row>
    <row r="23" spans="2:5" x14ac:dyDescent="0.3">
      <c r="B23" s="19" t="s">
        <v>2</v>
      </c>
      <c r="C23" s="19" t="s">
        <v>9</v>
      </c>
      <c r="D23" s="15">
        <v>151677.93</v>
      </c>
      <c r="E23" s="15">
        <v>-58155.56</v>
      </c>
    </row>
    <row r="24" spans="2:5" x14ac:dyDescent="0.3">
      <c r="B24" s="19" t="s">
        <v>2</v>
      </c>
      <c r="C24" s="19" t="s">
        <v>10</v>
      </c>
      <c r="D24" s="15">
        <v>190851.64</v>
      </c>
      <c r="E24" s="15">
        <v>-49803.07</v>
      </c>
    </row>
    <row r="25" spans="2:5" x14ac:dyDescent="0.3">
      <c r="B25" s="151" t="s">
        <v>2</v>
      </c>
      <c r="C25" s="151" t="s">
        <v>11</v>
      </c>
      <c r="D25" s="15">
        <v>140844.29</v>
      </c>
      <c r="E25" s="48">
        <v>-30190.43</v>
      </c>
    </row>
    <row r="26" spans="2:5" x14ac:dyDescent="0.3">
      <c r="C26" s="5" t="s">
        <v>18</v>
      </c>
      <c r="D26" s="50">
        <f>SUBTOTAL(9,D17:D25)</f>
        <v>133912121.03000002</v>
      </c>
      <c r="E26" s="49">
        <f>SUBTOTAL(9,E17:E25)</f>
        <v>-61011515.830000006</v>
      </c>
    </row>
    <row r="27" spans="2:5" x14ac:dyDescent="0.3">
      <c r="B27" s="19" t="s">
        <v>1</v>
      </c>
      <c r="C27" s="19" t="s">
        <v>3</v>
      </c>
      <c r="D27" s="15">
        <v>948317.19</v>
      </c>
      <c r="E27" s="15">
        <v>0</v>
      </c>
    </row>
    <row r="28" spans="2:5" x14ac:dyDescent="0.3">
      <c r="B28" s="19" t="s">
        <v>1</v>
      </c>
      <c r="C28" s="19" t="s">
        <v>4</v>
      </c>
      <c r="D28" s="15">
        <v>30924398.899999999</v>
      </c>
      <c r="E28" s="15">
        <v>-28130473.489999998</v>
      </c>
    </row>
    <row r="29" spans="2:5" x14ac:dyDescent="0.3">
      <c r="B29" s="19" t="s">
        <v>1</v>
      </c>
      <c r="C29" s="19" t="s">
        <v>5</v>
      </c>
      <c r="D29" s="15">
        <f>6036236.27</f>
        <v>6036236.2699999996</v>
      </c>
      <c r="E29" s="15">
        <v>-5407193.5899999999</v>
      </c>
    </row>
    <row r="30" spans="2:5" x14ac:dyDescent="0.3">
      <c r="B30" s="19" t="s">
        <v>1</v>
      </c>
      <c r="C30" s="19" t="s">
        <v>6</v>
      </c>
      <c r="D30" s="15">
        <v>3813725.5</v>
      </c>
      <c r="E30" s="15">
        <v>-3742255.71</v>
      </c>
    </row>
    <row r="31" spans="2:5" x14ac:dyDescent="0.3">
      <c r="B31" s="19" t="s">
        <v>1</v>
      </c>
      <c r="C31" s="19" t="s">
        <v>7</v>
      </c>
      <c r="D31" s="15">
        <v>2272860.64</v>
      </c>
      <c r="E31" s="15">
        <v>-2090448.33</v>
      </c>
    </row>
    <row r="32" spans="2:5" x14ac:dyDescent="0.3">
      <c r="B32" s="19" t="s">
        <v>1</v>
      </c>
      <c r="C32" s="19" t="s">
        <v>8</v>
      </c>
      <c r="D32" s="15">
        <v>6204689.75</v>
      </c>
      <c r="E32" s="15">
        <v>-5645799.5599999996</v>
      </c>
    </row>
    <row r="33" spans="1:7" x14ac:dyDescent="0.3">
      <c r="B33" s="19" t="s">
        <v>1</v>
      </c>
      <c r="C33" s="19" t="s">
        <v>32</v>
      </c>
      <c r="D33" s="15">
        <v>3623.76</v>
      </c>
      <c r="E33" s="15">
        <v>-3162.03</v>
      </c>
    </row>
    <row r="34" spans="1:7" x14ac:dyDescent="0.3">
      <c r="B34" s="19" t="s">
        <v>1</v>
      </c>
      <c r="C34" s="19" t="s">
        <v>33</v>
      </c>
      <c r="D34" s="15">
        <v>1231130.94</v>
      </c>
      <c r="E34" s="15">
        <v>-1197808.76</v>
      </c>
    </row>
    <row r="35" spans="1:7" x14ac:dyDescent="0.3">
      <c r="B35" s="19" t="s">
        <v>1</v>
      </c>
      <c r="C35" s="19" t="s">
        <v>34</v>
      </c>
      <c r="D35" s="15">
        <v>88576.95</v>
      </c>
      <c r="E35" s="15">
        <v>-81879.77</v>
      </c>
    </row>
    <row r="36" spans="1:7" x14ac:dyDescent="0.3">
      <c r="B36" s="19" t="s">
        <v>1</v>
      </c>
      <c r="C36" s="19" t="s">
        <v>35</v>
      </c>
      <c r="D36" s="15">
        <v>49006.68</v>
      </c>
      <c r="E36" s="15">
        <v>-61601.83</v>
      </c>
    </row>
    <row r="37" spans="1:7" x14ac:dyDescent="0.3">
      <c r="B37" s="151" t="s">
        <v>1</v>
      </c>
      <c r="C37" s="19" t="s">
        <v>36</v>
      </c>
      <c r="D37" s="15">
        <v>254414.09</v>
      </c>
      <c r="E37" s="15">
        <v>-181458.27</v>
      </c>
    </row>
    <row r="38" spans="1:7" x14ac:dyDescent="0.3">
      <c r="C38" s="51" t="s">
        <v>19</v>
      </c>
      <c r="D38" s="52">
        <f>SUBTOTAL(9,D27:D37)</f>
        <v>51826980.670000002</v>
      </c>
      <c r="E38" s="52">
        <f>SUBTOTAL(9,E27:E37)</f>
        <v>-46542081.340000004</v>
      </c>
    </row>
    <row r="39" spans="1:7" ht="15" thickBot="1" x14ac:dyDescent="0.35">
      <c r="B39" s="53" t="s">
        <v>20</v>
      </c>
      <c r="C39" s="53"/>
      <c r="D39" s="54">
        <f>SUBTOTAL(9,D7:D38)</f>
        <v>323313129.24999988</v>
      </c>
      <c r="E39" s="54">
        <f>SUBTOTAL(9,E7:E38)</f>
        <v>-179212501.53000003</v>
      </c>
      <c r="F39" s="54">
        <v>32154133.260000002</v>
      </c>
      <c r="G39" s="54">
        <v>-81963000.090000004</v>
      </c>
    </row>
    <row r="40" spans="1:7" x14ac:dyDescent="0.3">
      <c r="B40" s="34"/>
      <c r="C40" s="34"/>
      <c r="D40" s="55"/>
      <c r="E40" s="55"/>
    </row>
    <row r="41" spans="1:7" x14ac:dyDescent="0.3">
      <c r="B41" s="19" t="s">
        <v>21</v>
      </c>
      <c r="C41" s="19" t="s">
        <v>8</v>
      </c>
      <c r="D41" s="15">
        <v>251533.56</v>
      </c>
      <c r="E41" s="15">
        <v>-206949.78</v>
      </c>
    </row>
    <row r="42" spans="1:7" x14ac:dyDescent="0.3">
      <c r="B42" s="151" t="s">
        <v>21</v>
      </c>
      <c r="C42" s="151" t="s">
        <v>12</v>
      </c>
      <c r="D42" s="48">
        <v>1902286.74</v>
      </c>
      <c r="E42" s="48">
        <v>-909137.23</v>
      </c>
      <c r="G42" s="15"/>
    </row>
    <row r="43" spans="1:7" ht="15" thickBot="1" x14ac:dyDescent="0.35">
      <c r="B43" s="53" t="s">
        <v>22</v>
      </c>
      <c r="C43" s="152"/>
      <c r="D43" s="56">
        <f>SUBTOTAL(9,D41:D42)</f>
        <v>2153820.2999999998</v>
      </c>
      <c r="E43" s="56">
        <f>SUBTOTAL(9,E41:E42)</f>
        <v>-1116087.01</v>
      </c>
    </row>
    <row r="45" spans="1:7" x14ac:dyDescent="0.3">
      <c r="A45" s="19" t="s">
        <v>31</v>
      </c>
    </row>
  </sheetData>
  <pageMargins left="0.7" right="0.7" top="0.75" bottom="0.75" header="0.3" footer="0.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E33" sqref="E33"/>
    </sheetView>
  </sheetViews>
  <sheetFormatPr defaultColWidth="9.109375" defaultRowHeight="14.4" x14ac:dyDescent="0.3"/>
  <cols>
    <col min="1" max="1" width="55.33203125" style="19" bestFit="1" customWidth="1"/>
    <col min="2" max="2" width="18.6640625" style="19" customWidth="1"/>
    <col min="3" max="16384" width="9.109375" style="19"/>
  </cols>
  <sheetData>
    <row r="1" spans="1:2" ht="16.2" thickBot="1" x14ac:dyDescent="0.35">
      <c r="A1" s="16" t="s">
        <v>14</v>
      </c>
      <c r="B1" s="191" t="s">
        <v>37</v>
      </c>
    </row>
    <row r="2" spans="1:2" ht="15.6" thickTop="1" thickBot="1" x14ac:dyDescent="0.35">
      <c r="A2" s="189" t="s">
        <v>38</v>
      </c>
      <c r="B2" s="192">
        <f>'Summary - 1065'!H52</f>
        <v>8235804</v>
      </c>
    </row>
    <row r="3" spans="1:2" ht="15" thickBot="1" x14ac:dyDescent="0.35">
      <c r="A3" s="189" t="s">
        <v>39</v>
      </c>
      <c r="B3" s="193">
        <f>'Summary - 1065'!H53</f>
        <v>78239858</v>
      </c>
    </row>
    <row r="4" spans="1:2" ht="15" thickBot="1" x14ac:dyDescent="0.35">
      <c r="A4" s="189" t="s">
        <v>40</v>
      </c>
      <c r="B4" s="193">
        <f>'Summary - 1065'!H54</f>
        <v>32303324</v>
      </c>
    </row>
    <row r="5" spans="1:2" ht="15" thickBot="1" x14ac:dyDescent="0.35">
      <c r="A5" s="189" t="s">
        <v>41</v>
      </c>
      <c r="B5" s="193">
        <f>'Summary - 1065'!H55</f>
        <v>4476249</v>
      </c>
    </row>
    <row r="6" spans="1:2" ht="15" thickBot="1" x14ac:dyDescent="0.35">
      <c r="A6" s="189" t="s">
        <v>42</v>
      </c>
      <c r="B6" s="193">
        <f>'Summary - 1065'!H56</f>
        <v>1318294</v>
      </c>
    </row>
    <row r="7" spans="1:2" ht="15" thickBot="1" x14ac:dyDescent="0.35">
      <c r="A7" s="189" t="s">
        <v>43</v>
      </c>
      <c r="B7" s="193">
        <f>'Summary - 1065'!H57</f>
        <v>52868135</v>
      </c>
    </row>
    <row r="8" spans="1:2" ht="15" thickBot="1" x14ac:dyDescent="0.35">
      <c r="A8" s="189" t="s">
        <v>44</v>
      </c>
      <c r="B8" s="194">
        <f>'Summary - 1065'!H58</f>
        <v>420</v>
      </c>
    </row>
    <row r="9" spans="1:2" ht="15" thickBot="1" x14ac:dyDescent="0.35">
      <c r="A9" s="189" t="s">
        <v>45</v>
      </c>
      <c r="B9" s="193">
        <f>'Summary - 1065'!H59</f>
        <v>14363</v>
      </c>
    </row>
    <row r="10" spans="1:2" ht="15" thickBot="1" x14ac:dyDescent="0.35">
      <c r="A10" s="189" t="s">
        <v>46</v>
      </c>
      <c r="B10" s="193">
        <f>'Summary - 1065'!H60</f>
        <v>6414</v>
      </c>
    </row>
    <row r="11" spans="1:2" ht="15" thickBot="1" x14ac:dyDescent="0.35">
      <c r="A11" s="189" t="s">
        <v>47</v>
      </c>
      <c r="B11" s="193">
        <f>'Summary - 1065'!H61</f>
        <v>-13260</v>
      </c>
    </row>
    <row r="12" spans="1:2" ht="15" thickBot="1" x14ac:dyDescent="0.35">
      <c r="A12" s="189" t="s">
        <v>48</v>
      </c>
      <c r="B12" s="193">
        <f>'Summary - 1065'!H62</f>
        <v>69822</v>
      </c>
    </row>
    <row r="13" spans="1:2" ht="15" thickBot="1" x14ac:dyDescent="0.35">
      <c r="A13" s="189" t="s">
        <v>49</v>
      </c>
      <c r="B13" s="193">
        <f>'Summary - 1065'!H63</f>
        <v>196721</v>
      </c>
    </row>
    <row r="14" spans="1:2" ht="15" thickBot="1" x14ac:dyDescent="0.35">
      <c r="A14" s="189" t="s">
        <v>50</v>
      </c>
      <c r="B14" s="193">
        <f>'Summary - 1065'!H64</f>
        <v>289576</v>
      </c>
    </row>
    <row r="15" spans="1:2" ht="15" thickBot="1" x14ac:dyDescent="0.35">
      <c r="A15" s="189" t="s">
        <v>51</v>
      </c>
      <c r="B15" s="193">
        <f>'Summary - 1065'!H65</f>
        <v>241482</v>
      </c>
    </row>
    <row r="16" spans="1:2" ht="15" thickBot="1" x14ac:dyDescent="0.35">
      <c r="A16" s="190" t="s">
        <v>52</v>
      </c>
      <c r="B16" s="195">
        <f>SUM(B2:B15)</f>
        <v>178247202</v>
      </c>
    </row>
    <row r="22" spans="2:2" x14ac:dyDescent="0.3">
      <c r="B22" s="66">
        <f>B16</f>
        <v>178247202</v>
      </c>
    </row>
    <row r="23" spans="2:2" x14ac:dyDescent="0.3">
      <c r="B23" s="66">
        <f>-B7</f>
        <v>-52868135</v>
      </c>
    </row>
    <row r="24" spans="2:2" x14ac:dyDescent="0.3">
      <c r="B24" s="66">
        <f>SUM(B22:B23)</f>
        <v>125379067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F22" sqref="F22"/>
    </sheetView>
  </sheetViews>
  <sheetFormatPr defaultColWidth="9.109375" defaultRowHeight="14.4" x14ac:dyDescent="0.3"/>
  <cols>
    <col min="1" max="1" width="40.5546875" style="19" customWidth="1"/>
    <col min="2" max="2" width="35.6640625" style="19" customWidth="1"/>
    <col min="3" max="3" width="13.5546875" style="19" bestFit="1" customWidth="1"/>
    <col min="4" max="16384" width="9.109375" style="19"/>
  </cols>
  <sheetData>
    <row r="1" spans="1:3" ht="15.6" x14ac:dyDescent="0.3">
      <c r="A1" s="39" t="s">
        <v>236</v>
      </c>
    </row>
    <row r="2" spans="1:3" ht="15" x14ac:dyDescent="0.3">
      <c r="A2" s="40"/>
    </row>
    <row r="3" spans="1:3" ht="42" customHeight="1" x14ac:dyDescent="0.3">
      <c r="A3" s="204" t="s">
        <v>237</v>
      </c>
      <c r="B3" s="204"/>
      <c r="C3" s="204"/>
    </row>
    <row r="4" spans="1:3" ht="15" x14ac:dyDescent="0.3">
      <c r="A4" s="40"/>
    </row>
    <row r="5" spans="1:3" ht="65.25" customHeight="1" x14ac:dyDescent="0.3">
      <c r="A5" s="204" t="s">
        <v>238</v>
      </c>
      <c r="B5" s="204"/>
      <c r="C5" s="204"/>
    </row>
    <row r="6" spans="1:3" ht="15.6" thickBot="1" x14ac:dyDescent="0.35">
      <c r="A6" s="40"/>
    </row>
    <row r="7" spans="1:3" s="150" customFormat="1" ht="16.2" thickBot="1" x14ac:dyDescent="0.35">
      <c r="A7" s="196" t="s">
        <v>239</v>
      </c>
      <c r="B7" s="197" t="s">
        <v>229</v>
      </c>
      <c r="C7" s="197" t="s">
        <v>240</v>
      </c>
    </row>
    <row r="8" spans="1:3" s="150" customFormat="1" ht="16.2" thickTop="1" thickBot="1" x14ac:dyDescent="0.35">
      <c r="A8" s="198">
        <v>10800651</v>
      </c>
      <c r="B8" s="199" t="s">
        <v>241</v>
      </c>
      <c r="C8" s="200">
        <v>4287263</v>
      </c>
    </row>
    <row r="9" spans="1:3" s="150" customFormat="1" ht="15.6" thickBot="1" x14ac:dyDescent="0.35">
      <c r="A9" s="201">
        <v>10800651</v>
      </c>
      <c r="B9" s="202" t="s">
        <v>242</v>
      </c>
      <c r="C9" s="203">
        <v>82937179</v>
      </c>
    </row>
    <row r="10" spans="1:3" s="150" customFormat="1" ht="15.6" thickTop="1" x14ac:dyDescent="0.3">
      <c r="A10" s="40"/>
    </row>
    <row r="11" spans="1:3" s="150" customFormat="1" ht="44.4" customHeight="1" x14ac:dyDescent="0.3">
      <c r="A11" s="204" t="s">
        <v>243</v>
      </c>
      <c r="B11" s="204"/>
      <c r="C11" s="204"/>
    </row>
    <row r="12" spans="1:3" s="150" customFormat="1" ht="15.6" thickBot="1" x14ac:dyDescent="0.35">
      <c r="A12" s="40"/>
    </row>
    <row r="13" spans="1:3" s="150" customFormat="1" ht="16.2" thickBot="1" x14ac:dyDescent="0.35">
      <c r="A13" s="196" t="s">
        <v>229</v>
      </c>
      <c r="B13" s="197"/>
      <c r="C13" s="197" t="s">
        <v>240</v>
      </c>
    </row>
    <row r="14" spans="1:3" s="150" customFormat="1" ht="16.2" thickTop="1" thickBot="1" x14ac:dyDescent="0.35">
      <c r="A14" s="198" t="s">
        <v>244</v>
      </c>
      <c r="B14" s="199"/>
      <c r="C14" s="200">
        <v>5000000</v>
      </c>
    </row>
    <row r="15" spans="1:3" s="150" customFormat="1" ht="15.6" thickBot="1" x14ac:dyDescent="0.35">
      <c r="A15" s="201" t="s">
        <v>245</v>
      </c>
      <c r="B15" s="202"/>
      <c r="C15" s="203">
        <v>82224442</v>
      </c>
    </row>
    <row r="16" spans="1:3" ht="15.6" thickTop="1" x14ac:dyDescent="0.3">
      <c r="A16" s="40"/>
    </row>
    <row r="17" spans="1:3" ht="15" x14ac:dyDescent="0.3">
      <c r="A17" s="40"/>
    </row>
    <row r="18" spans="1:3" ht="15.6" x14ac:dyDescent="0.3">
      <c r="A18" s="41"/>
    </row>
    <row r="19" spans="1:3" x14ac:dyDescent="0.3">
      <c r="A19" s="42"/>
    </row>
    <row r="20" spans="1:3" ht="45" customHeight="1" x14ac:dyDescent="0.3">
      <c r="A20" s="204" t="s">
        <v>246</v>
      </c>
      <c r="B20" s="204"/>
      <c r="C20" s="204"/>
    </row>
  </sheetData>
  <mergeCells count="4">
    <mergeCell ref="A5:C5"/>
    <mergeCell ref="A3:C3"/>
    <mergeCell ref="A11:C11"/>
    <mergeCell ref="A20:C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1"/>
  <sheetViews>
    <sheetView workbookViewId="0">
      <selection activeCell="B35" sqref="B35:B36"/>
    </sheetView>
  </sheetViews>
  <sheetFormatPr defaultColWidth="9.109375" defaultRowHeight="14.4" outlineLevelCol="1" x14ac:dyDescent="0.3"/>
  <cols>
    <col min="1" max="1" width="4.33203125" style="19" customWidth="1"/>
    <col min="2" max="2" width="15" style="19" customWidth="1"/>
    <col min="3" max="3" width="12.5546875" style="19" customWidth="1" outlineLevel="1"/>
    <col min="4" max="4" width="11.5546875" style="19" customWidth="1" outlineLevel="1"/>
    <col min="5" max="5" width="12.5546875" style="19" customWidth="1" outlineLevel="1"/>
    <col min="6" max="6" width="11.5546875" style="19" bestFit="1" customWidth="1" outlineLevel="1"/>
    <col min="7" max="7" width="21.6640625" style="33" bestFit="1" customWidth="1"/>
    <col min="8" max="8" width="9.6640625" style="33" bestFit="1" customWidth="1"/>
    <col min="9" max="9" width="19.6640625" style="33" bestFit="1" customWidth="1"/>
    <col min="10" max="10" width="12.5546875" style="33" bestFit="1" customWidth="1"/>
    <col min="11" max="11" width="11.5546875" style="33" bestFit="1" customWidth="1"/>
    <col min="12" max="16" width="9.33203125" style="33"/>
    <col min="17" max="16384" width="9.109375" style="19"/>
  </cols>
  <sheetData>
    <row r="1" spans="2:10" x14ac:dyDescent="0.3">
      <c r="B1" s="5" t="s">
        <v>230</v>
      </c>
    </row>
    <row r="2" spans="2:10" x14ac:dyDescent="0.3">
      <c r="B2" s="5" t="s">
        <v>231</v>
      </c>
    </row>
    <row r="3" spans="2:10" x14ac:dyDescent="0.3">
      <c r="B3" s="34"/>
    </row>
    <row r="4" spans="2:10" x14ac:dyDescent="0.3">
      <c r="B4" s="34"/>
    </row>
    <row r="5" spans="2:10" x14ac:dyDescent="0.3">
      <c r="C5" s="205" t="s">
        <v>232</v>
      </c>
      <c r="D5" s="206"/>
      <c r="E5" s="207"/>
    </row>
    <row r="6" spans="2:10" x14ac:dyDescent="0.3">
      <c r="C6" s="35">
        <v>25300071</v>
      </c>
      <c r="D6" s="35">
        <v>25400261</v>
      </c>
      <c r="E6" s="36" t="s">
        <v>52</v>
      </c>
      <c r="G6" s="37" t="s">
        <v>233</v>
      </c>
      <c r="H6" s="37" t="s">
        <v>234</v>
      </c>
      <c r="I6" s="37" t="s">
        <v>235</v>
      </c>
    </row>
    <row r="7" spans="2:10" x14ac:dyDescent="0.3">
      <c r="B7" s="133">
        <v>2016</v>
      </c>
      <c r="C7" s="33">
        <v>197205295</v>
      </c>
      <c r="D7" s="33">
        <v>93615823</v>
      </c>
      <c r="E7" s="33">
        <f>SUM(C7:D7)</f>
        <v>290821118</v>
      </c>
      <c r="G7" s="33">
        <f>E7*0.65</f>
        <v>189033726.70000002</v>
      </c>
      <c r="H7" s="38">
        <v>0.35</v>
      </c>
      <c r="I7" s="33">
        <f>G7/0.65</f>
        <v>290821118</v>
      </c>
    </row>
    <row r="8" spans="2:10" x14ac:dyDescent="0.3">
      <c r="B8" s="133">
        <v>2017</v>
      </c>
      <c r="C8" s="33">
        <v>143874194</v>
      </c>
      <c r="D8" s="33">
        <v>93615823</v>
      </c>
      <c r="E8" s="33">
        <f>SUM(C8:D8)</f>
        <v>237490017</v>
      </c>
      <c r="F8" s="33"/>
      <c r="G8" s="33">
        <f>E8*0.79</f>
        <v>187617113.43000001</v>
      </c>
      <c r="H8" s="38">
        <v>0.21</v>
      </c>
      <c r="I8" s="33">
        <f>G8/0.79</f>
        <v>237490017</v>
      </c>
      <c r="J8" s="33">
        <f>I7-I8</f>
        <v>53331101</v>
      </c>
    </row>
    <row r="9" spans="2:10" x14ac:dyDescent="0.3">
      <c r="B9" s="133">
        <v>2018</v>
      </c>
      <c r="C9" s="33">
        <v>60328609</v>
      </c>
      <c r="D9" s="33">
        <v>93615823</v>
      </c>
      <c r="E9" s="33">
        <f>SUM(C9:D9)</f>
        <v>153944432</v>
      </c>
      <c r="F9" s="33"/>
      <c r="G9" s="33">
        <f>E9*0.79</f>
        <v>121616101.28</v>
      </c>
      <c r="H9" s="38">
        <v>0.21</v>
      </c>
      <c r="I9" s="33">
        <f>G9/0.79</f>
        <v>153944432</v>
      </c>
      <c r="J9" s="33">
        <f>I8-I9</f>
        <v>83545585</v>
      </c>
    </row>
    <row r="10" spans="2:10" x14ac:dyDescent="0.3">
      <c r="B10" s="133" t="s">
        <v>70</v>
      </c>
      <c r="C10" s="33">
        <v>24858901</v>
      </c>
      <c r="D10" s="33">
        <v>93615823</v>
      </c>
      <c r="E10" s="33">
        <f>SUM(C10:D10)</f>
        <v>118474724</v>
      </c>
      <c r="G10" s="33">
        <f>E10*0.79</f>
        <v>93595031.960000008</v>
      </c>
      <c r="H10" s="38">
        <v>0.21</v>
      </c>
      <c r="I10" s="33">
        <f>G10/0.79</f>
        <v>118474724</v>
      </c>
      <c r="J10" s="33">
        <f>I9-I10</f>
        <v>35469708</v>
      </c>
    </row>
    <row r="11" spans="2:10" x14ac:dyDescent="0.3">
      <c r="B11" s="133"/>
    </row>
  </sheetData>
  <mergeCells count="1">
    <mergeCell ref="C5:E5"/>
  </mergeCells>
  <pageMargins left="0.7" right="0.7" top="0.75" bottom="0.75" header="0.3" footer="0.3"/>
  <pageSetup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workbookViewId="0">
      <selection activeCell="B35" sqref="B35:B36"/>
    </sheetView>
  </sheetViews>
  <sheetFormatPr defaultColWidth="9.33203125" defaultRowHeight="13.8" x14ac:dyDescent="0.25"/>
  <cols>
    <col min="1" max="1" width="9.33203125" style="24"/>
    <col min="2" max="2" width="33" style="24" customWidth="1"/>
    <col min="3" max="3" width="24.33203125" style="24" customWidth="1"/>
    <col min="4" max="16384" width="9.33203125" style="24"/>
  </cols>
  <sheetData>
    <row r="2" spans="1:4" x14ac:dyDescent="0.25">
      <c r="B2" s="25" t="s">
        <v>239</v>
      </c>
      <c r="C2" s="26" t="s">
        <v>37</v>
      </c>
    </row>
    <row r="3" spans="1:4" ht="15.6" x14ac:dyDescent="0.3">
      <c r="B3" s="27">
        <v>10800801</v>
      </c>
      <c r="C3" s="1">
        <v>82224442</v>
      </c>
    </row>
    <row r="4" spans="1:4" ht="15.6" x14ac:dyDescent="0.3">
      <c r="B4" s="27">
        <v>10800811</v>
      </c>
      <c r="C4" s="1">
        <v>0</v>
      </c>
    </row>
    <row r="5" spans="1:4" x14ac:dyDescent="0.25">
      <c r="B5" s="25" t="s">
        <v>268</v>
      </c>
      <c r="C5" s="1">
        <f>SUM(C3:C4)</f>
        <v>82224442</v>
      </c>
    </row>
    <row r="6" spans="1:4" x14ac:dyDescent="0.25">
      <c r="B6" s="28" t="s">
        <v>269</v>
      </c>
      <c r="C6" s="1"/>
    </row>
    <row r="7" spans="1:4" ht="15.6" x14ac:dyDescent="0.3">
      <c r="B7" s="27">
        <v>10800821</v>
      </c>
      <c r="C7" s="1"/>
    </row>
    <row r="8" spans="1:4" ht="15.6" x14ac:dyDescent="0.3">
      <c r="B8" s="27">
        <v>10800851</v>
      </c>
      <c r="C8" s="1"/>
    </row>
    <row r="9" spans="1:4" x14ac:dyDescent="0.25">
      <c r="B9" s="25" t="s">
        <v>270</v>
      </c>
      <c r="C9" s="1">
        <f>C5-SUM(C7:C8)</f>
        <v>82224442</v>
      </c>
    </row>
    <row r="10" spans="1:4" x14ac:dyDescent="0.25">
      <c r="B10" s="29"/>
      <c r="C10" s="30"/>
    </row>
    <row r="11" spans="1:4" x14ac:dyDescent="0.25">
      <c r="B11" s="29" t="s">
        <v>271</v>
      </c>
      <c r="C11" s="31">
        <f>0.0689/0.79</f>
        <v>8.7215189873417726E-2</v>
      </c>
    </row>
    <row r="12" spans="1:4" x14ac:dyDescent="0.25">
      <c r="B12" s="29"/>
      <c r="C12" s="30"/>
    </row>
    <row r="13" spans="1:4" ht="14.4" x14ac:dyDescent="0.3">
      <c r="B13" s="29" t="s">
        <v>272</v>
      </c>
      <c r="C13" s="32">
        <f>C9*(C11/12)</f>
        <v>597601.69343881856</v>
      </c>
      <c r="D13" s="131" t="s">
        <v>273</v>
      </c>
    </row>
    <row r="15" spans="1:4" ht="14.4" x14ac:dyDescent="0.3">
      <c r="A15" s="131" t="s">
        <v>273</v>
      </c>
      <c r="B15" s="146" t="s">
        <v>274</v>
      </c>
      <c r="C15" s="19"/>
    </row>
    <row r="16" spans="1:4" ht="14.4" x14ac:dyDescent="0.3">
      <c r="B16" s="146" t="s">
        <v>275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DA2BB54-3D11-4F60-869C-C0AF2362E535}"/>
</file>

<file path=customXml/itemProps2.xml><?xml version="1.0" encoding="utf-8"?>
<ds:datastoreItem xmlns:ds="http://schemas.openxmlformats.org/officeDocument/2006/customXml" ds:itemID="{A0DCBEB6-8719-4F86-A766-1C1810EAE0A5}"/>
</file>

<file path=customXml/itemProps3.xml><?xml version="1.0" encoding="utf-8"?>
<ds:datastoreItem xmlns:ds="http://schemas.openxmlformats.org/officeDocument/2006/customXml" ds:itemID="{19659DF5-D240-4814-A51D-55945949AC29}"/>
</file>

<file path=customXml/itemProps4.xml><?xml version="1.0" encoding="utf-8"?>
<ds:datastoreItem xmlns:ds="http://schemas.openxmlformats.org/officeDocument/2006/customXml" ds:itemID="{FA96F42F-DD7F-4E40-955E-7E7CB6C749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Exh. 29 p1</vt:lpstr>
      <vt:lpstr>Exh. 29 p2</vt:lpstr>
      <vt:lpstr>Exh. 29 p3</vt:lpstr>
      <vt:lpstr>BGM Tables</vt:lpstr>
      <vt:lpstr>AWEC 38 2018 no ARC</vt:lpstr>
      <vt:lpstr>AWEC 34 2019 w ARC</vt:lpstr>
      <vt:lpstr>AWEC 36 Mtzd PTCs</vt:lpstr>
      <vt:lpstr>AWEC 46 Total PTCs</vt:lpstr>
      <vt:lpstr>AWEC 49 PSE Int Tab 1</vt:lpstr>
      <vt:lpstr>AWEC 49 PSE Int Tab 2</vt:lpstr>
      <vt:lpstr>Summary - 1065</vt:lpstr>
      <vt:lpstr>Supports =&gt;</vt:lpstr>
      <vt:lpstr>1065</vt:lpstr>
      <vt:lpstr>PP</vt:lpstr>
      <vt:lpstr>ARO 12-2017</vt:lpstr>
      <vt:lpstr>Colstrip Depn Update</vt:lpstr>
      <vt:lpstr>'AWEC 46 Total PTCs'!Print_Area</vt:lpstr>
      <vt:lpstr>'AWEC 49 PSE Int Tab 1'!Print_Area</vt:lpstr>
      <vt:lpstr>'AWEC 49 PSE Int Tab 2'!Print_Area</vt:lpstr>
      <vt:lpstr>'Colstrip Depn Update'!Print_Area</vt:lpstr>
      <vt:lpstr>'Colstrip Depn Update'!Print_Titles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Peterson, Pete</cp:lastModifiedBy>
  <cp:lastPrinted>2020-01-09T18:08:47Z</cp:lastPrinted>
  <dcterms:created xsi:type="dcterms:W3CDTF">2019-12-11T15:59:14Z</dcterms:created>
  <dcterms:modified xsi:type="dcterms:W3CDTF">2020-02-28T19:44:49Z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